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2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drawings/drawing3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drawings/drawing4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5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drawings/drawing6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drawings/drawing7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drawings/drawing8.xml" ContentType="application/vnd.openxmlformats-officedocument.drawing+xml"/>
  <Override PartName="/xl/activeX/activeX14.xml" ContentType="application/vnd.ms-office.activeX+xml"/>
  <Override PartName="/xl/activeX/activeX14.bin" ContentType="application/vnd.ms-office.activeX"/>
  <Override PartName="/xl/drawings/drawing9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drawings/drawing10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drawings/drawing11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drawings/drawing12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drawings/drawing13.xml" ContentType="application/vnd.openxmlformats-officedocument.drawing+xml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drawings/drawing14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drawings/drawing15.xml" ContentType="application/vnd.openxmlformats-officedocument.drawing+xml"/>
  <Override PartName="/xl/activeX/activeX24.xml" ContentType="application/vnd.ms-office.activeX+xml"/>
  <Override PartName="/xl/activeX/activeX24.bin" ContentType="application/vnd.ms-office.activeX"/>
  <Override PartName="/xl/drawings/drawing16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drawings/drawing17.xml" ContentType="application/vnd.openxmlformats-officedocument.drawing+xml"/>
  <Override PartName="/xl/activeX/activeX26.xml" ContentType="application/vnd.ms-office.activeX+xml"/>
  <Override PartName="/xl/activeX/activeX26.bin" ContentType="application/vnd.ms-office.activeX"/>
  <Override PartName="/xl/drawings/drawing18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19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20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drawings/drawing21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22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RA\BST\1. BST Forecast\24.Jan-June 2026\2026 Q2\3. Dispatch-30.03.2026\EGL\"/>
    </mc:Choice>
  </mc:AlternateContent>
  <xr:revisionPtr revIDLastSave="0" documentId="13_ncr:1_{8D6F8AAA-E2E9-4F4F-80A3-8EBFDBAB9386}" xr6:coauthVersionLast="47" xr6:coauthVersionMax="47" xr10:uidLastSave="{00000000-0000-0000-0000-000000000000}"/>
  <bookViews>
    <workbookView xWindow="-108" yWindow="-108" windowWidth="23256" windowHeight="12456" tabRatio="856" activeTab="1" xr2:uid="{00000000-000D-0000-FFFF-FFFF00000000}"/>
  </bookViews>
  <sheets>
    <sheet name="Index" sheetId="32" r:id="rId1"/>
    <sheet name="DispatchSchedule" sheetId="68" r:id="rId2"/>
    <sheet name="Bulk Supply Tariffs" sheetId="23" r:id="rId3"/>
    <sheet name="Gen. Capacity" sheetId="24" r:id="rId4"/>
    <sheet name="Gen. Energy Cost" sheetId="58" r:id="rId5"/>
    <sheet name="TR &amp; BSS, TLF" sheetId="22" r:id="rId6"/>
    <sheet name="Transmission Tariff_1" sheetId="72" state="hidden" r:id="rId7"/>
    <sheet name="Transmission Tariff_2" sheetId="73" state="hidden" r:id="rId8"/>
    <sheet name="Transmission Tariff_3" sheetId="74" state="hidden" r:id="rId9"/>
    <sheet name="LAXAPANA" sheetId="44" r:id="rId10"/>
    <sheet name="MAHAWELI" sheetId="43" r:id="rId11"/>
    <sheet name="Samanala" sheetId="45" r:id="rId12"/>
    <sheet name="Mannar wind" sheetId="125" r:id="rId13"/>
    <sheet name="DSP1" sheetId="47" r:id="rId14"/>
    <sheet name="DSP2" sheetId="48" r:id="rId15"/>
    <sheet name="GT16" sheetId="40" r:id="rId16"/>
    <sheet name="GT07" sheetId="41" r:id="rId17"/>
    <sheet name="CCKP" sheetId="52" r:id="rId18"/>
    <sheet name="CCKP 02" sheetId="135" r:id="rId19"/>
    <sheet name="CPUT" sheetId="130" r:id="rId20"/>
    <sheet name="DNCHU" sheetId="70" r:id="rId21"/>
    <sheet name="Island Gen" sheetId="46" r:id="rId22"/>
    <sheet name="Barge" sheetId="71" r:id="rId23"/>
    <sheet name="DHOR" sheetId="59" state="hidden" r:id="rId24"/>
    <sheet name="10MW - Thulhiriya" sheetId="82" state="hidden" r:id="rId25"/>
    <sheet name="30MW-Hambantota" sheetId="83" r:id="rId26"/>
    <sheet name="20MW-Mathugama" sheetId="84" r:id="rId27"/>
    <sheet name="HQ Cost" sheetId="134" state="hidden" r:id="rId28"/>
    <sheet name="HQ cost prev" sheetId="128" state="hidden" r:id="rId29"/>
    <sheet name="DAPL" sheetId="63" state="hidden" r:id="rId30"/>
    <sheet name="Altaaqa-Mahi" sheetId="85" state="hidden" r:id="rId31"/>
    <sheet name="Altaaqa-Pol" sheetId="86" state="hidden" r:id="rId32"/>
    <sheet name="VPower-Galle" sheetId="87" state="hidden" r:id="rId33"/>
    <sheet name="Vpower-Pallekale" sheetId="88" state="hidden" r:id="rId34"/>
    <sheet name="VPower-Hambantota" sheetId="89" state="hidden" r:id="rId35"/>
    <sheet name="VPower-Horana" sheetId="90" state="hidden" r:id="rId36"/>
    <sheet name="DCPL" sheetId="62" state="hidden" r:id="rId37"/>
    <sheet name="DPUT" sheetId="61" state="hidden" r:id="rId38"/>
    <sheet name="DLDL" sheetId="66" state="hidden" r:id="rId39"/>
    <sheet name="DAGG" sheetId="49" state="hidden" r:id="rId40"/>
    <sheet name="130MW Supplementary Power" sheetId="120" state="hidden" r:id="rId41"/>
    <sheet name="DNOR" sheetId="50" state="hidden" r:id="rId42"/>
    <sheet name="EMG" sheetId="78" state="hidden" r:id="rId43"/>
    <sheet name="135MW Sup Power" sheetId="92" state="hidden" r:id="rId44"/>
    <sheet name="VPower Valachchenei" sheetId="121" state="hidden" r:id="rId45"/>
    <sheet name="ACE-Matara" sheetId="139" state="hidden" r:id="rId46"/>
    <sheet name="ACE-Embilipitíya" sheetId="140" state="hidden" r:id="rId47"/>
    <sheet name="SGPS 100MW" sheetId="142" state="hidden" r:id="rId48"/>
    <sheet name="SGPS 03" sheetId="137" state="hidden" r:id="rId49"/>
    <sheet name="Sobadhanavi" sheetId="138" r:id="rId50"/>
    <sheet name="Sojitz" sheetId="64" state="hidden" r:id="rId51"/>
    <sheet name="CCKW" sheetId="141" r:id="rId52"/>
    <sheet name="RENW" sheetId="39" r:id="rId53"/>
    <sheet name="Solar Rooftop &amp; self generation" sheetId="91" r:id="rId54"/>
    <sheet name="Inputs" sheetId="33" r:id="rId55"/>
    <sheet name="Summary" sheetId="143" r:id="rId56"/>
    <sheet name="Average Cost" sheetId="76" state="hidden" r:id="rId57"/>
    <sheet name="auxiliary" sheetId="34" state="hidden" r:id="rId58"/>
    <sheet name="Tr Bulk Supply Tariffs" sheetId="109" state="hidden" r:id="rId59"/>
    <sheet name="Tr Customer Tariff" sheetId="119" state="hidden" r:id="rId60"/>
    <sheet name="Gen. Capacity 220" sheetId="94" state="hidden" r:id="rId61"/>
    <sheet name="Gen. Capacity 132" sheetId="95" state="hidden" r:id="rId62"/>
    <sheet name="Gen. Capacity 33" sheetId="97" state="hidden" r:id="rId63"/>
    <sheet name="Gen. Energy Cost 220" sheetId="98" state="hidden" r:id="rId64"/>
    <sheet name="Gen. Energy Cost 132" sheetId="99" state="hidden" r:id="rId65"/>
    <sheet name="Gen. Energy Cost 33" sheetId="102" state="hidden" r:id="rId66"/>
    <sheet name="Energy Tariff" sheetId="117" state="hidden" r:id="rId67"/>
    <sheet name="TR &amp; BSS, TLF voltage wise" sheetId="108" state="hidden" r:id="rId68"/>
    <sheet name="tr.customer tariff-PUCSL method" sheetId="127" state="hidden" r:id="rId69"/>
    <sheet name="tx consumer data" sheetId="105" state="hidden" r:id="rId70"/>
    <sheet name="hydro en &amp; capcost voltage wise" sheetId="106" state="hidden" r:id="rId71"/>
    <sheet name="MW voltage wise" sheetId="93" state="hidden" r:id="rId72"/>
    <sheet name="Loss %" sheetId="103" state="hidden" r:id="rId73"/>
    <sheet name="Tr Bulk Supply Tariffs (2)" sheetId="114" state="hidden" r:id="rId74"/>
    <sheet name="Gen. Energy Cost 220 &amp; 132kV" sheetId="113" state="hidden" r:id="rId75"/>
    <sheet name="Gen. Energy Cost 220 (2)" sheetId="111" state="hidden" r:id="rId76"/>
    <sheet name="Gen. Energy Cost 132 (2)" sheetId="112" state="hidden" r:id="rId77"/>
    <sheet name="Gen. Energy Cost 33 (2)" sheetId="115" state="hidden" r:id="rId78"/>
    <sheet name="tx consumer data (2)" sheetId="116" state="hidden" r:id="rId79"/>
    <sheet name="TOU loss factors" sheetId="118" state="hidden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CEB_Plants">auxiliary!$B$4:$B$16</definedName>
    <definedName name="Combustible" localSheetId="40">[1]auxiliary!$D$4:$D$17</definedName>
    <definedName name="Combustible" localSheetId="30">[2]auxiliary!$D$4:$D$17</definedName>
    <definedName name="Combustible" localSheetId="31">[2]auxiliary!$D$4:$D$17</definedName>
    <definedName name="Combustible" localSheetId="56">[3]auxiliary!$D$4:$D$17</definedName>
    <definedName name="Combustible" localSheetId="61">[4]auxiliary!$D$4:$D$17</definedName>
    <definedName name="Combustible" localSheetId="60">[4]auxiliary!$D$4:$D$17</definedName>
    <definedName name="Combustible" localSheetId="62">[4]auxiliary!$D$4:$D$17</definedName>
    <definedName name="Combustible" localSheetId="64">[4]auxiliary!$D$4:$D$17</definedName>
    <definedName name="Combustible" localSheetId="76">[4]auxiliary!$D$4:$D$17</definedName>
    <definedName name="Combustible" localSheetId="63">[4]auxiliary!$D$4:$D$17</definedName>
    <definedName name="Combustible" localSheetId="74">[4]auxiliary!$D$4:$D$17</definedName>
    <definedName name="Combustible" localSheetId="75">[4]auxiliary!$D$4:$D$17</definedName>
    <definedName name="Combustible" localSheetId="65">[4]auxiliary!$D$4:$D$17</definedName>
    <definedName name="Combustible" localSheetId="77">[4]auxiliary!$D$4:$D$17</definedName>
    <definedName name="Combustible" localSheetId="28">[5]auxiliary!$D$4:$D$17</definedName>
    <definedName name="Combustible" localSheetId="70">[4]auxiliary!$D$4:$D$17</definedName>
    <definedName name="Combustible" localSheetId="72">[4]auxiliary!$D$4:$D$17</definedName>
    <definedName name="Combustible" localSheetId="48">[6]auxiliary!$D$4:$D$17</definedName>
    <definedName name="Combustible" localSheetId="49">[7]auxiliary!$D$4:$D$17</definedName>
    <definedName name="Combustible" localSheetId="67">[4]auxiliary!$D$4:$D$17</definedName>
    <definedName name="Combustible" localSheetId="58">[4]auxiliary!$D$4:$D$17</definedName>
    <definedName name="Combustible" localSheetId="73">[4]auxiliary!$D$4:$D$17</definedName>
    <definedName name="Combustible" localSheetId="59">[4]auxiliary!$D$4:$D$17</definedName>
    <definedName name="Combustible" localSheetId="68">[8]auxiliary!$D$4:$D$17</definedName>
    <definedName name="Combustible" localSheetId="69">[4]auxiliary!$D$4:$D$17</definedName>
    <definedName name="Combustible" localSheetId="78">[4]auxiliary!$D$4:$D$17</definedName>
    <definedName name="Combustible" localSheetId="32">[1]auxiliary!$D$4:$D$17</definedName>
    <definedName name="Combustible" localSheetId="34">[1]auxiliary!$D$4:$D$17</definedName>
    <definedName name="Combustible" localSheetId="35">[1]auxiliary!$D$4:$D$17</definedName>
    <definedName name="Combustible" localSheetId="33">[1]auxiliary!$D$4:$D$17</definedName>
    <definedName name="Combustible">auxiliary!$D$4:$D$17</definedName>
    <definedName name="combustible_2" localSheetId="48">[9]auxiliary!$D$4:$D$17</definedName>
    <definedName name="combustible_2" localSheetId="49">[9]auxiliary!$D$4:$D$17</definedName>
    <definedName name="combustible_2">[10]auxiliary!$D$4:$D$17</definedName>
    <definedName name="Currency" localSheetId="40">[1]auxiliary!$E$4:$E$7</definedName>
    <definedName name="Currency" localSheetId="30">[2]auxiliary!$E$4:$E$7</definedName>
    <definedName name="Currency" localSheetId="31">[2]auxiliary!$E$4:$E$7</definedName>
    <definedName name="Currency" localSheetId="56">[3]auxiliary!$E$4:$E$7</definedName>
    <definedName name="Currency" localSheetId="61">[4]auxiliary!$E$4:$E$7</definedName>
    <definedName name="Currency" localSheetId="60">[4]auxiliary!$E$4:$E$7</definedName>
    <definedName name="Currency" localSheetId="62">[4]auxiliary!$E$4:$E$7</definedName>
    <definedName name="Currency" localSheetId="64">[4]auxiliary!$E$4:$E$7</definedName>
    <definedName name="Currency" localSheetId="76">[4]auxiliary!$E$4:$E$7</definedName>
    <definedName name="Currency" localSheetId="63">[4]auxiliary!$E$4:$E$7</definedName>
    <definedName name="Currency" localSheetId="74">[4]auxiliary!$E$4:$E$7</definedName>
    <definedName name="Currency" localSheetId="75">[4]auxiliary!$E$4:$E$7</definedName>
    <definedName name="Currency" localSheetId="65">[4]auxiliary!$E$4:$E$7</definedName>
    <definedName name="Currency" localSheetId="77">[4]auxiliary!$E$4:$E$7</definedName>
    <definedName name="Currency" localSheetId="28">[5]auxiliary!$E$4:$E$7</definedName>
    <definedName name="Currency" localSheetId="70">[4]auxiliary!$E$4:$E$7</definedName>
    <definedName name="Currency" localSheetId="72">[4]auxiliary!$E$4:$E$7</definedName>
    <definedName name="Currency" localSheetId="48">[6]auxiliary!$E$4:$E$7</definedName>
    <definedName name="Currency" localSheetId="49">[7]auxiliary!$E$4:$E$7</definedName>
    <definedName name="Currency" localSheetId="67">[4]auxiliary!$E$4:$E$7</definedName>
    <definedName name="Currency" localSheetId="58">[4]auxiliary!$E$4:$E$7</definedName>
    <definedName name="Currency" localSheetId="73">[4]auxiliary!$E$4:$E$7</definedName>
    <definedName name="Currency" localSheetId="59">[4]auxiliary!$E$4:$E$7</definedName>
    <definedName name="Currency" localSheetId="68">[8]auxiliary!$E$4:$E$7</definedName>
    <definedName name="Currency" localSheetId="69">[4]auxiliary!$E$4:$E$7</definedName>
    <definedName name="Currency" localSheetId="78">[4]auxiliary!$E$4:$E$7</definedName>
    <definedName name="Currency" localSheetId="32">[1]auxiliary!$E$4:$E$7</definedName>
    <definedName name="Currency" localSheetId="34">[1]auxiliary!$E$4:$E$7</definedName>
    <definedName name="Currency" localSheetId="35">[1]auxiliary!$E$4:$E$7</definedName>
    <definedName name="Currency" localSheetId="33">[1]auxiliary!$E$4:$E$7</definedName>
    <definedName name="Currency">auxiliary!$E$4:$E$7</definedName>
    <definedName name="Fuel">auxiliary!$D$4:$D$17</definedName>
    <definedName name="IPP_Plants">auxiliary!$C$4:$C$15</definedName>
    <definedName name="LOCAL_MYSQL_DATE_FORMAT" localSheetId="40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6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4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75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6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7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3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59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8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5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3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lants">auxiliary!$C$4:$C$26</definedName>
    <definedName name="_xlnm.Print_Area" localSheetId="24">'10MW - Thulhiriya'!$A$1:$H$60</definedName>
    <definedName name="_xlnm.Print_Area" localSheetId="26">'20MW-Mathugama'!$A$1:$H$60</definedName>
    <definedName name="_xlnm.Print_Area" localSheetId="25">'30MW-Hambantota'!$A$1:$H$60</definedName>
    <definedName name="_xlnm.Print_Area" localSheetId="46">'ACE-Embilipitíya'!$A$1:$H$62</definedName>
    <definedName name="_xlnm.Print_Area" localSheetId="45">'ACE-Matara'!$A$1:$H$76</definedName>
    <definedName name="_xlnm.Print_Area" localSheetId="22">Barge!$A$1:$H$58</definedName>
    <definedName name="_xlnm.Print_Area" localSheetId="2">'Bulk Supply Tariffs'!$A$1:$H$60</definedName>
    <definedName name="_xlnm.Print_Area" localSheetId="17">CCKP!$A$1:$H$85</definedName>
    <definedName name="_xlnm.Print_Area" localSheetId="18">'CCKP 02'!$A$1:$H$74</definedName>
    <definedName name="_xlnm.Print_Area" localSheetId="51">CCKW!$A$1:$H$94</definedName>
    <definedName name="_xlnm.Print_Area" localSheetId="19">CPUT!$A$1:$H$76</definedName>
    <definedName name="_xlnm.Print_Area" localSheetId="1">DispatchSchedule!$A$1:$L$118</definedName>
    <definedName name="_xlnm.Print_Area" localSheetId="20">DNCHU!$A$1:$H$58</definedName>
    <definedName name="_xlnm.Print_Area" localSheetId="13">'DSP1'!$A$1:$H$68</definedName>
    <definedName name="_xlnm.Print_Area" localSheetId="14">'DSP2'!$A$1:$H$69</definedName>
    <definedName name="_xlnm.Print_Area" localSheetId="3">'Gen. Capacity'!$A$10:$K$63</definedName>
    <definedName name="_xlnm.Print_Area" localSheetId="61">'Gen. Capacity 132'!$A$1:$H$57</definedName>
    <definedName name="_xlnm.Print_Area" localSheetId="60">'Gen. Capacity 220'!$A$1:$H$51</definedName>
    <definedName name="_xlnm.Print_Area" localSheetId="62">'Gen. Capacity 33'!$A$1:$H$66</definedName>
    <definedName name="_xlnm.Print_Area" localSheetId="4">'Gen. Energy Cost'!$A$1:$AL$92</definedName>
    <definedName name="_xlnm.Print_Area" localSheetId="64">'Gen. Energy Cost 132'!$A$20:$I$126</definedName>
    <definedName name="_xlnm.Print_Area" localSheetId="76">'Gen. Energy Cost 132 (2)'!$A$20:$I$126</definedName>
    <definedName name="_xlnm.Print_Area" localSheetId="63">'Gen. Energy Cost 220'!$A$20:$I$106</definedName>
    <definedName name="_xlnm.Print_Area" localSheetId="74">'Gen. Energy Cost 220 &amp; 132kV'!$A$20:$I$161</definedName>
    <definedName name="_xlnm.Print_Area" localSheetId="75">'Gen. Energy Cost 220 (2)'!$A$20:$I$106</definedName>
    <definedName name="_xlnm.Print_Area" localSheetId="65">'Gen. Energy Cost 33'!$A$20:$I$102</definedName>
    <definedName name="_xlnm.Print_Area" localSheetId="77">'Gen. Energy Cost 33 (2)'!$A$20:$I$102</definedName>
    <definedName name="_xlnm.Print_Area" localSheetId="16">'GT07'!$A$1:$H$64</definedName>
    <definedName name="_xlnm.Print_Area" localSheetId="15">'GT16'!$A$1:$H$79</definedName>
    <definedName name="_xlnm.Print_Area" localSheetId="27">'HQ Cost'!$A$80:$D$125</definedName>
    <definedName name="_xlnm.Print_Area" localSheetId="28">'HQ cost prev'!$A$78:$D$127</definedName>
    <definedName name="_xlnm.Print_Area" localSheetId="21">'Island Gen'!$A$1:$H$58</definedName>
    <definedName name="_xlnm.Print_Area" localSheetId="9">LAXAPANA!$A$57:$H$143</definedName>
    <definedName name="_xlnm.Print_Area" localSheetId="10">MAHAWELI!$A$167:$H$200</definedName>
    <definedName name="_xlnm.Print_Area" localSheetId="12">'Mannar wind'!$A$1:$H$32</definedName>
    <definedName name="_xlnm.Print_Area" localSheetId="52">RENW!$A$1:$K$60</definedName>
    <definedName name="_xlnm.Print_Area" localSheetId="11">Samanala!$A$58:$H$142</definedName>
    <definedName name="_xlnm.Print_Area" localSheetId="48">'SGPS 03'!$A$1:$N$76</definedName>
    <definedName name="_xlnm.Print_Area" localSheetId="47">'SGPS 100MW'!$A$1:$H$63</definedName>
    <definedName name="_xlnm.Print_Area" localSheetId="49">Sobadhanavi!$A$1:$H$131</definedName>
    <definedName name="_xlnm.Print_Area" localSheetId="53">'Solar Rooftop &amp; self generation'!$A$1:$I$81</definedName>
    <definedName name="_xlnm.Print_Area" localSheetId="79">'TOU loss factors'!$A$1:$H$20</definedName>
    <definedName name="_xlnm.Print_Area" localSheetId="5">'TR &amp; BSS, TLF'!$A$1:$H$116</definedName>
    <definedName name="_xlnm.Print_Area" localSheetId="67">'TR &amp; BSS, TLF voltage wise'!$A$1:$H$59</definedName>
    <definedName name="_xlnm.Print_Area" localSheetId="68">'tr.customer tariff-PUCSL method'!$A$1:$D$84</definedName>
    <definedName name="Units" localSheetId="40">[1]auxiliary!$F$4:$F$6</definedName>
    <definedName name="Units" localSheetId="30">[2]auxiliary!$F$4:$F$6</definedName>
    <definedName name="Units" localSheetId="31">[2]auxiliary!$F$4:$F$6</definedName>
    <definedName name="Units" localSheetId="56">[3]auxiliary!$F$4:$F$6</definedName>
    <definedName name="Units" localSheetId="61">[4]auxiliary!$F$4:$F$6</definedName>
    <definedName name="Units" localSheetId="60">[4]auxiliary!$F$4:$F$6</definedName>
    <definedName name="Units" localSheetId="62">[4]auxiliary!$F$4:$F$6</definedName>
    <definedName name="Units" localSheetId="64">[4]auxiliary!$F$4:$F$6</definedName>
    <definedName name="Units" localSheetId="76">[4]auxiliary!$F$4:$F$6</definedName>
    <definedName name="Units" localSheetId="63">[4]auxiliary!$F$4:$F$6</definedName>
    <definedName name="Units" localSheetId="74">[4]auxiliary!$F$4:$F$6</definedName>
    <definedName name="Units" localSheetId="75">[4]auxiliary!$F$4:$F$6</definedName>
    <definedName name="Units" localSheetId="65">[4]auxiliary!$F$4:$F$6</definedName>
    <definedName name="Units" localSheetId="77">[4]auxiliary!$F$4:$F$6</definedName>
    <definedName name="Units" localSheetId="28">[5]auxiliary!$F$4:$F$6</definedName>
    <definedName name="Units" localSheetId="70">[4]auxiliary!$F$4:$F$6</definedName>
    <definedName name="Units" localSheetId="72">[4]auxiliary!$F$4:$F$6</definedName>
    <definedName name="Units" localSheetId="48">[6]auxiliary!$F$4:$F$6</definedName>
    <definedName name="Units" localSheetId="49">[7]auxiliary!$F$4:$F$6</definedName>
    <definedName name="Units" localSheetId="67">[4]auxiliary!$F$4:$F$6</definedName>
    <definedName name="Units" localSheetId="58">[4]auxiliary!$F$4:$F$6</definedName>
    <definedName name="Units" localSheetId="73">[4]auxiliary!$F$4:$F$6</definedName>
    <definedName name="Units" localSheetId="59">[4]auxiliary!$F$4:$F$6</definedName>
    <definedName name="Units" localSheetId="68">[8]auxiliary!$F$4:$F$6</definedName>
    <definedName name="Units" localSheetId="69">[4]auxiliary!$F$4:$F$6</definedName>
    <definedName name="Units" localSheetId="78">[4]auxiliary!$F$4:$F$6</definedName>
    <definedName name="Units" localSheetId="32">[1]auxiliary!$F$4:$F$6</definedName>
    <definedName name="Units" localSheetId="34">[1]auxiliary!$F$4:$F$6</definedName>
    <definedName name="Units" localSheetId="35">[1]auxiliary!$F$4:$F$6</definedName>
    <definedName name="Units" localSheetId="33">[1]auxiliary!$F$4:$F$6</definedName>
    <definedName name="Units">auxiliary!$F$4:$F$6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39" l="1"/>
  <c r="E8" i="39"/>
  <c r="F8" i="39"/>
  <c r="G79" i="40"/>
  <c r="F12" i="23"/>
  <c r="K14" i="24"/>
  <c r="K13" i="24"/>
  <c r="I122" i="58"/>
  <c r="I123" i="58"/>
  <c r="I124" i="58"/>
  <c r="F41" i="138"/>
  <c r="F24" i="138"/>
  <c r="D31" i="138"/>
  <c r="C31" i="138"/>
  <c r="G59" i="138" l="1"/>
  <c r="H59" i="138"/>
  <c r="G60" i="138"/>
  <c r="H60" i="138"/>
  <c r="G69" i="138"/>
  <c r="H69" i="138"/>
  <c r="G70" i="138"/>
  <c r="H70" i="138"/>
  <c r="G71" i="138"/>
  <c r="H71" i="138"/>
  <c r="G72" i="138"/>
  <c r="H72" i="138"/>
  <c r="F72" i="138"/>
  <c r="F71" i="138"/>
  <c r="F70" i="138"/>
  <c r="F69" i="138"/>
  <c r="F60" i="138"/>
  <c r="F59" i="138"/>
  <c r="F57" i="138"/>
  <c r="E31" i="138"/>
  <c r="G31" i="138"/>
  <c r="H31" i="138"/>
  <c r="N61" i="68" l="1"/>
  <c r="M61" i="68"/>
  <c r="M49" i="68"/>
  <c r="M60" i="68"/>
  <c r="N75" i="68"/>
  <c r="M107" i="68"/>
  <c r="F70" i="22"/>
  <c r="F69" i="22"/>
  <c r="I14" i="24"/>
  <c r="I15" i="24"/>
  <c r="I16" i="24"/>
  <c r="I29" i="24"/>
  <c r="I30" i="24"/>
  <c r="I34" i="24"/>
  <c r="I13" i="24"/>
  <c r="M116" i="68"/>
  <c r="I93" i="68"/>
  <c r="I79" i="68"/>
  <c r="I72" i="22"/>
  <c r="J72" i="22"/>
  <c r="J71" i="22"/>
  <c r="H70" i="22"/>
  <c r="G70" i="22"/>
  <c r="E70" i="22"/>
  <c r="D70" i="22"/>
  <c r="C70" i="22"/>
  <c r="H17" i="22"/>
  <c r="G17" i="22"/>
  <c r="F17" i="22"/>
  <c r="K17" i="22"/>
  <c r="J17" i="22"/>
  <c r="B95" i="22"/>
  <c r="B99" i="22"/>
  <c r="J28" i="22"/>
  <c r="H17" i="130"/>
  <c r="G17" i="130"/>
  <c r="F17" i="130"/>
  <c r="G16" i="125" l="1"/>
  <c r="H16" i="125"/>
  <c r="F16" i="125"/>
  <c r="G17" i="125"/>
  <c r="H17" i="125"/>
  <c r="F17" i="125"/>
  <c r="G17" i="84"/>
  <c r="H17" i="84"/>
  <c r="F17" i="84"/>
  <c r="G17" i="83"/>
  <c r="H17" i="83"/>
  <c r="F17" i="83"/>
  <c r="G18" i="84"/>
  <c r="H18" i="84"/>
  <c r="F18" i="84"/>
  <c r="G18" i="83"/>
  <c r="H18" i="83"/>
  <c r="F18" i="83"/>
  <c r="G16" i="71"/>
  <c r="H16" i="71"/>
  <c r="F16" i="71"/>
  <c r="G17" i="71"/>
  <c r="H17" i="71"/>
  <c r="F17" i="71"/>
  <c r="G16" i="46"/>
  <c r="H16" i="46"/>
  <c r="F16" i="46"/>
  <c r="G17" i="46"/>
  <c r="H17" i="46"/>
  <c r="F17" i="46"/>
  <c r="G16" i="70"/>
  <c r="H16" i="70"/>
  <c r="F16" i="70"/>
  <c r="G17" i="70"/>
  <c r="H17" i="70"/>
  <c r="F17" i="70"/>
  <c r="G16" i="130"/>
  <c r="H16" i="130"/>
  <c r="F16" i="130"/>
  <c r="G16" i="135"/>
  <c r="H16" i="135"/>
  <c r="F16" i="135"/>
  <c r="G17" i="135"/>
  <c r="H17" i="135"/>
  <c r="F17" i="135"/>
  <c r="G16" i="52"/>
  <c r="H16" i="52"/>
  <c r="F16" i="52"/>
  <c r="G17" i="52"/>
  <c r="H17" i="52"/>
  <c r="F17" i="52"/>
  <c r="G16" i="41"/>
  <c r="H16" i="41"/>
  <c r="F16" i="41"/>
  <c r="G17" i="41"/>
  <c r="H17" i="41"/>
  <c r="F17" i="41"/>
  <c r="G16" i="40"/>
  <c r="H16" i="40"/>
  <c r="F16" i="40"/>
  <c r="G17" i="40"/>
  <c r="H17" i="40"/>
  <c r="F17" i="40"/>
  <c r="G16" i="48"/>
  <c r="H16" i="48"/>
  <c r="F16" i="48"/>
  <c r="G17" i="48"/>
  <c r="H17" i="48"/>
  <c r="F17" i="48"/>
  <c r="G16" i="47"/>
  <c r="H16" i="47"/>
  <c r="F16" i="47"/>
  <c r="G17" i="47"/>
  <c r="H17" i="47"/>
  <c r="F17" i="47"/>
  <c r="G125" i="45"/>
  <c r="H125" i="45"/>
  <c r="F125" i="45"/>
  <c r="G126" i="45"/>
  <c r="H126" i="45"/>
  <c r="F126" i="45"/>
  <c r="G98" i="45"/>
  <c r="H98" i="45"/>
  <c r="F98" i="45"/>
  <c r="G99" i="45"/>
  <c r="H99" i="45"/>
  <c r="F99" i="45"/>
  <c r="G70" i="45"/>
  <c r="H70" i="45"/>
  <c r="F70" i="45"/>
  <c r="G71" i="45"/>
  <c r="H71" i="45"/>
  <c r="F71" i="45"/>
  <c r="G43" i="45"/>
  <c r="H43" i="45"/>
  <c r="F43" i="45"/>
  <c r="G44" i="45"/>
  <c r="H44" i="45"/>
  <c r="F44" i="45"/>
  <c r="G16" i="45"/>
  <c r="H16" i="45"/>
  <c r="F16" i="45"/>
  <c r="G17" i="45"/>
  <c r="H17" i="45"/>
  <c r="F17" i="45"/>
  <c r="G128" i="44"/>
  <c r="H128" i="44"/>
  <c r="F128" i="44"/>
  <c r="G96" i="44"/>
  <c r="H96" i="44"/>
  <c r="F96" i="44"/>
  <c r="G69" i="44"/>
  <c r="H69" i="44"/>
  <c r="F69" i="44"/>
  <c r="G43" i="44"/>
  <c r="H43" i="44"/>
  <c r="F43" i="44"/>
  <c r="G16" i="44"/>
  <c r="H16" i="44"/>
  <c r="F16" i="44"/>
  <c r="G129" i="44"/>
  <c r="H129" i="44"/>
  <c r="F129" i="44"/>
  <c r="G97" i="44"/>
  <c r="H97" i="44"/>
  <c r="F97" i="44"/>
  <c r="G70" i="44"/>
  <c r="H70" i="44"/>
  <c r="F70" i="44"/>
  <c r="G44" i="44"/>
  <c r="H44" i="44"/>
  <c r="F44" i="44"/>
  <c r="G17" i="44"/>
  <c r="H17" i="44"/>
  <c r="F17" i="44"/>
  <c r="G179" i="43"/>
  <c r="H179" i="43"/>
  <c r="F179" i="43"/>
  <c r="G152" i="43"/>
  <c r="H152" i="43"/>
  <c r="F152" i="43"/>
  <c r="G125" i="43"/>
  <c r="H125" i="43"/>
  <c r="F125" i="43"/>
  <c r="G98" i="43"/>
  <c r="H98" i="43"/>
  <c r="F98" i="43"/>
  <c r="G70" i="43"/>
  <c r="H70" i="43"/>
  <c r="F70" i="43"/>
  <c r="G43" i="43"/>
  <c r="H43" i="43"/>
  <c r="F43" i="43"/>
  <c r="G16" i="43"/>
  <c r="H16" i="43"/>
  <c r="F16" i="43"/>
  <c r="G180" i="43"/>
  <c r="H180" i="43"/>
  <c r="F180" i="43"/>
  <c r="G153" i="43"/>
  <c r="H153" i="43"/>
  <c r="F153" i="43"/>
  <c r="D126" i="43"/>
  <c r="E126" i="43"/>
  <c r="C126" i="43"/>
  <c r="D99" i="43"/>
  <c r="E99" i="43"/>
  <c r="C99" i="43"/>
  <c r="D71" i="43"/>
  <c r="E71" i="43"/>
  <c r="C71" i="43"/>
  <c r="D44" i="43"/>
  <c r="E44" i="43"/>
  <c r="C44" i="43"/>
  <c r="D17" i="43"/>
  <c r="E17" i="43"/>
  <c r="C17" i="43"/>
  <c r="F126" i="43"/>
  <c r="G126" i="43"/>
  <c r="H126" i="43"/>
  <c r="F99" i="43"/>
  <c r="G99" i="43"/>
  <c r="H99" i="43"/>
  <c r="F71" i="43"/>
  <c r="G71" i="43"/>
  <c r="H71" i="43"/>
  <c r="F44" i="43"/>
  <c r="G44" i="43"/>
  <c r="H44" i="43"/>
  <c r="F17" i="43"/>
  <c r="G17" i="43"/>
  <c r="H17" i="43"/>
  <c r="G7" i="47" l="1"/>
  <c r="H7" i="47"/>
  <c r="F7" i="47"/>
  <c r="G116" i="45"/>
  <c r="H116" i="45"/>
  <c r="F116" i="45"/>
  <c r="G89" i="45"/>
  <c r="H89" i="45"/>
  <c r="F89" i="45"/>
  <c r="G7" i="48"/>
  <c r="H7" i="48"/>
  <c r="F7" i="48"/>
  <c r="G7" i="41"/>
  <c r="H7" i="41"/>
  <c r="F7" i="41"/>
  <c r="G7" i="40"/>
  <c r="H7" i="40"/>
  <c r="F7" i="40"/>
  <c r="F61" i="45"/>
  <c r="G34" i="45"/>
  <c r="H34" i="45"/>
  <c r="F34" i="45"/>
  <c r="G7" i="45"/>
  <c r="H7" i="45"/>
  <c r="F7" i="45"/>
  <c r="F7" i="125"/>
  <c r="G170" i="43"/>
  <c r="H170" i="43"/>
  <c r="F170" i="43"/>
  <c r="G116" i="43"/>
  <c r="H116" i="43"/>
  <c r="F116" i="43"/>
  <c r="G89" i="43"/>
  <c r="H89" i="43"/>
  <c r="F89" i="43"/>
  <c r="G143" i="43"/>
  <c r="H143" i="43"/>
  <c r="F143" i="43"/>
  <c r="G34" i="43"/>
  <c r="H34" i="43"/>
  <c r="F38" i="43"/>
  <c r="F34" i="43"/>
  <c r="G61" i="43"/>
  <c r="H61" i="43"/>
  <c r="F61" i="43"/>
  <c r="G7" i="43"/>
  <c r="H7" i="43"/>
  <c r="F7" i="43"/>
  <c r="G87" i="44"/>
  <c r="H87" i="44"/>
  <c r="F87" i="44"/>
  <c r="G60" i="44"/>
  <c r="H60" i="44"/>
  <c r="F60" i="44"/>
  <c r="G34" i="44"/>
  <c r="H34" i="44"/>
  <c r="F34" i="44"/>
  <c r="G7" i="44"/>
  <c r="H7" i="44"/>
  <c r="F7" i="44"/>
  <c r="G7" i="135"/>
  <c r="H7" i="135"/>
  <c r="F7" i="135"/>
  <c r="G7" i="70"/>
  <c r="H7" i="70"/>
  <c r="F7" i="70"/>
  <c r="G7" i="52"/>
  <c r="H7" i="52"/>
  <c r="F7" i="52"/>
  <c r="G7" i="130"/>
  <c r="H7" i="130"/>
  <c r="F7" i="130"/>
  <c r="D7" i="71"/>
  <c r="E7" i="71"/>
  <c r="C7" i="71"/>
  <c r="D7" i="70"/>
  <c r="E7" i="70"/>
  <c r="C7" i="70"/>
  <c r="D7" i="135"/>
  <c r="E7" i="135"/>
  <c r="C7" i="135"/>
  <c r="D7" i="52"/>
  <c r="E7" i="52"/>
  <c r="C7" i="52"/>
  <c r="D7" i="130"/>
  <c r="E7" i="130"/>
  <c r="C7" i="130"/>
  <c r="G61" i="45"/>
  <c r="H61" i="45"/>
  <c r="G7" i="125"/>
  <c r="H7" i="125"/>
  <c r="F7" i="71"/>
  <c r="G7" i="71"/>
  <c r="H7" i="71"/>
  <c r="K28" i="22" l="1"/>
  <c r="D28" i="22" l="1"/>
  <c r="C28" i="22"/>
  <c r="E28" i="22"/>
  <c r="H115" i="138" l="1"/>
  <c r="G115" i="138"/>
  <c r="F115" i="138"/>
  <c r="E115" i="138"/>
  <c r="D115" i="138"/>
  <c r="C115" i="138"/>
  <c r="H66" i="58" l="1"/>
  <c r="G66" i="58"/>
  <c r="F66" i="58"/>
  <c r="E66" i="58"/>
  <c r="D66" i="58"/>
  <c r="C66" i="58"/>
  <c r="B110" i="22"/>
  <c r="B107" i="22" s="1"/>
  <c r="B111" i="22" s="1"/>
  <c r="B113" i="22" s="1"/>
  <c r="J18" i="22" s="1"/>
  <c r="K18" i="22" s="1"/>
  <c r="E88" i="22"/>
  <c r="E87" i="22"/>
  <c r="E86" i="22"/>
  <c r="E85" i="22"/>
  <c r="E84" i="22"/>
  <c r="E89" i="22" l="1"/>
  <c r="C29" i="141"/>
  <c r="E72" i="138"/>
  <c r="D72" i="138"/>
  <c r="C72" i="138"/>
  <c r="E71" i="138"/>
  <c r="D71" i="138"/>
  <c r="C71" i="138"/>
  <c r="E70" i="138"/>
  <c r="D70" i="138"/>
  <c r="C70" i="138"/>
  <c r="E69" i="138"/>
  <c r="D69" i="138"/>
  <c r="C69" i="138"/>
  <c r="H118" i="138"/>
  <c r="G118" i="138"/>
  <c r="F118" i="138"/>
  <c r="E118" i="138"/>
  <c r="D118" i="138"/>
  <c r="C118" i="138"/>
  <c r="H58" i="138"/>
  <c r="G58" i="138"/>
  <c r="F58" i="138"/>
  <c r="E58" i="138"/>
  <c r="E60" i="138" s="1"/>
  <c r="D58" i="138"/>
  <c r="D60" i="138" s="1"/>
  <c r="C58" i="138"/>
  <c r="C60" i="138" s="1"/>
  <c r="H57" i="138"/>
  <c r="G57" i="138"/>
  <c r="E57" i="138"/>
  <c r="E59" i="138" s="1"/>
  <c r="D57" i="138"/>
  <c r="D59" i="138" s="1"/>
  <c r="C57" i="138"/>
  <c r="C59" i="138" s="1"/>
  <c r="D121" i="45" l="1"/>
  <c r="E121" i="45"/>
  <c r="F121" i="45"/>
  <c r="G121" i="45"/>
  <c r="H121" i="45"/>
  <c r="D120" i="45"/>
  <c r="E120" i="45"/>
  <c r="F120" i="45"/>
  <c r="G120" i="45"/>
  <c r="H120" i="45"/>
  <c r="D119" i="45"/>
  <c r="E119" i="45"/>
  <c r="F119" i="45"/>
  <c r="G119" i="45"/>
  <c r="H119" i="45"/>
  <c r="D118" i="45"/>
  <c r="E118" i="45"/>
  <c r="F118" i="45"/>
  <c r="G118" i="45"/>
  <c r="H118" i="45"/>
  <c r="C121" i="45"/>
  <c r="C120" i="45"/>
  <c r="C119" i="45"/>
  <c r="C118" i="45"/>
  <c r="D94" i="45"/>
  <c r="E94" i="45"/>
  <c r="F94" i="45"/>
  <c r="G94" i="45"/>
  <c r="H94" i="45"/>
  <c r="D93" i="45"/>
  <c r="E93" i="45"/>
  <c r="F93" i="45"/>
  <c r="G93" i="45"/>
  <c r="H93" i="45"/>
  <c r="D92" i="45"/>
  <c r="E92" i="45"/>
  <c r="F92" i="45"/>
  <c r="G92" i="45"/>
  <c r="H92" i="45"/>
  <c r="D91" i="45"/>
  <c r="E91" i="45"/>
  <c r="F91" i="45"/>
  <c r="G91" i="45"/>
  <c r="H91" i="45"/>
  <c r="C94" i="45"/>
  <c r="C93" i="45"/>
  <c r="C92" i="45"/>
  <c r="C91" i="45"/>
  <c r="D66" i="45"/>
  <c r="E66" i="45"/>
  <c r="F66" i="45"/>
  <c r="G66" i="45"/>
  <c r="H66" i="45"/>
  <c r="D65" i="45"/>
  <c r="E65" i="45"/>
  <c r="F65" i="45"/>
  <c r="G65" i="45"/>
  <c r="H65" i="45"/>
  <c r="D64" i="45"/>
  <c r="E64" i="45"/>
  <c r="F64" i="45"/>
  <c r="G64" i="45"/>
  <c r="H64" i="45"/>
  <c r="D63" i="45"/>
  <c r="E63" i="45"/>
  <c r="F63" i="45"/>
  <c r="G63" i="45"/>
  <c r="H63" i="45"/>
  <c r="C66" i="45"/>
  <c r="C65" i="45"/>
  <c r="C64" i="45"/>
  <c r="C63" i="45"/>
  <c r="D38" i="45"/>
  <c r="E38" i="45"/>
  <c r="F38" i="45"/>
  <c r="G38" i="45"/>
  <c r="H38" i="45"/>
  <c r="D39" i="45"/>
  <c r="E39" i="45"/>
  <c r="F39" i="45"/>
  <c r="G39" i="45"/>
  <c r="H39" i="45"/>
  <c r="D37" i="45"/>
  <c r="E37" i="45"/>
  <c r="F37" i="45"/>
  <c r="G37" i="45"/>
  <c r="H37" i="45"/>
  <c r="D36" i="45"/>
  <c r="E36" i="45"/>
  <c r="F36" i="45"/>
  <c r="G36" i="45"/>
  <c r="H36" i="45"/>
  <c r="C39" i="45"/>
  <c r="C38" i="45"/>
  <c r="C37" i="45"/>
  <c r="C36" i="45"/>
  <c r="D12" i="45"/>
  <c r="E12" i="45"/>
  <c r="F12" i="45"/>
  <c r="G12" i="45"/>
  <c r="H12" i="45"/>
  <c r="C12" i="45"/>
  <c r="D11" i="45"/>
  <c r="E11" i="45"/>
  <c r="F11" i="45"/>
  <c r="G11" i="45"/>
  <c r="H11" i="45"/>
  <c r="C11" i="45"/>
  <c r="D10" i="45"/>
  <c r="E10" i="45"/>
  <c r="F10" i="45"/>
  <c r="G10" i="45"/>
  <c r="H10" i="45"/>
  <c r="D9" i="45"/>
  <c r="E9" i="45"/>
  <c r="F9" i="45"/>
  <c r="G9" i="45"/>
  <c r="H9" i="45"/>
  <c r="C10" i="45"/>
  <c r="C9" i="45"/>
  <c r="D116" i="45" l="1"/>
  <c r="E116" i="45"/>
  <c r="C116" i="45"/>
  <c r="D89" i="45"/>
  <c r="E89" i="45"/>
  <c r="C89" i="45"/>
  <c r="D61" i="45"/>
  <c r="E61" i="45"/>
  <c r="C61" i="45"/>
  <c r="D34" i="45"/>
  <c r="E34" i="45"/>
  <c r="C34" i="45"/>
  <c r="D7" i="45"/>
  <c r="E7" i="45"/>
  <c r="C7" i="45"/>
  <c r="D67" i="45" l="1"/>
  <c r="H118" i="44"/>
  <c r="G118" i="44"/>
  <c r="F118" i="44"/>
  <c r="E118" i="44"/>
  <c r="C118" i="44"/>
  <c r="H119" i="44"/>
  <c r="G119" i="44"/>
  <c r="F119" i="44"/>
  <c r="E119" i="44"/>
  <c r="D119" i="44"/>
  <c r="C119" i="44"/>
  <c r="D133" i="44"/>
  <c r="E133" i="44"/>
  <c r="F133" i="44"/>
  <c r="G133" i="44"/>
  <c r="H133" i="44"/>
  <c r="C133" i="44"/>
  <c r="D12" i="84"/>
  <c r="D12" i="83"/>
  <c r="D12" i="71"/>
  <c r="D12" i="46"/>
  <c r="D6" i="46" s="1"/>
  <c r="D12" i="70"/>
  <c r="D12" i="130"/>
  <c r="D12" i="135"/>
  <c r="D12" i="41"/>
  <c r="D12" i="52"/>
  <c r="D12" i="40"/>
  <c r="D12" i="48"/>
  <c r="D12" i="47"/>
  <c r="D12" i="125"/>
  <c r="D175" i="43"/>
  <c r="D148" i="43"/>
  <c r="D121" i="43"/>
  <c r="D94" i="43"/>
  <c r="D66" i="43"/>
  <c r="D39" i="43"/>
  <c r="D12" i="43"/>
  <c r="D118" i="44"/>
  <c r="D92" i="44"/>
  <c r="D65" i="44"/>
  <c r="D39" i="44"/>
  <c r="D12" i="44"/>
  <c r="H67" i="45"/>
  <c r="G67" i="45"/>
  <c r="F67" i="45"/>
  <c r="E67" i="45"/>
  <c r="H13" i="45"/>
  <c r="G13" i="45"/>
  <c r="F13" i="45"/>
  <c r="E13" i="45"/>
  <c r="D13" i="45"/>
  <c r="C13" i="45"/>
  <c r="C29" i="71"/>
  <c r="C30" i="71" s="1"/>
  <c r="D11" i="84"/>
  <c r="E11" i="84"/>
  <c r="F11" i="84"/>
  <c r="G11" i="84"/>
  <c r="H11" i="84"/>
  <c r="C11" i="84"/>
  <c r="D11" i="83"/>
  <c r="E11" i="83"/>
  <c r="F11" i="83"/>
  <c r="G11" i="83"/>
  <c r="H11" i="83"/>
  <c r="C11" i="83"/>
  <c r="D11" i="71"/>
  <c r="E11" i="71"/>
  <c r="F11" i="71"/>
  <c r="G11" i="71"/>
  <c r="H11" i="71"/>
  <c r="C11" i="71"/>
  <c r="E6" i="46"/>
  <c r="F6" i="46"/>
  <c r="G6" i="46"/>
  <c r="H6" i="46"/>
  <c r="D11" i="70"/>
  <c r="E11" i="70"/>
  <c r="F11" i="70"/>
  <c r="G11" i="70"/>
  <c r="H11" i="70"/>
  <c r="C11" i="70"/>
  <c r="D11" i="130"/>
  <c r="E11" i="130"/>
  <c r="F11" i="130"/>
  <c r="G11" i="130"/>
  <c r="H11" i="130"/>
  <c r="C11" i="130"/>
  <c r="D11" i="135"/>
  <c r="E11" i="135"/>
  <c r="F11" i="135"/>
  <c r="G11" i="135"/>
  <c r="H11" i="135"/>
  <c r="C11" i="135"/>
  <c r="D11" i="52"/>
  <c r="E11" i="52"/>
  <c r="F11" i="52"/>
  <c r="G11" i="52"/>
  <c r="H11" i="52"/>
  <c r="C11" i="52"/>
  <c r="D11" i="41"/>
  <c r="E11" i="41"/>
  <c r="F11" i="41"/>
  <c r="G11" i="41"/>
  <c r="H11" i="41"/>
  <c r="C11" i="41"/>
  <c r="D11" i="40"/>
  <c r="E11" i="40"/>
  <c r="F11" i="40"/>
  <c r="G11" i="40"/>
  <c r="H11" i="40"/>
  <c r="C11" i="40"/>
  <c r="D11" i="48"/>
  <c r="E11" i="48"/>
  <c r="F11" i="48"/>
  <c r="G11" i="48"/>
  <c r="H11" i="48"/>
  <c r="C11" i="48"/>
  <c r="C11" i="47"/>
  <c r="D11" i="47"/>
  <c r="E11" i="47"/>
  <c r="F11" i="47"/>
  <c r="G11" i="47"/>
  <c r="H11" i="47"/>
  <c r="D11" i="125"/>
  <c r="E11" i="125"/>
  <c r="F11" i="125"/>
  <c r="G11" i="125"/>
  <c r="H11" i="125"/>
  <c r="C11" i="125"/>
  <c r="D174" i="43"/>
  <c r="E174" i="43"/>
  <c r="F174" i="43"/>
  <c r="G174" i="43"/>
  <c r="H174" i="43"/>
  <c r="C174" i="43"/>
  <c r="D147" i="43"/>
  <c r="E147" i="43"/>
  <c r="F147" i="43"/>
  <c r="G147" i="43"/>
  <c r="H147" i="43"/>
  <c r="C147" i="43"/>
  <c r="D120" i="43"/>
  <c r="E120" i="43"/>
  <c r="F120" i="43"/>
  <c r="G120" i="43"/>
  <c r="H120" i="43"/>
  <c r="C120" i="43"/>
  <c r="D93" i="43"/>
  <c r="E93" i="43"/>
  <c r="F93" i="43"/>
  <c r="G93" i="43"/>
  <c r="H93" i="43"/>
  <c r="C93" i="43"/>
  <c r="D65" i="43"/>
  <c r="E65" i="43"/>
  <c r="F65" i="43"/>
  <c r="G65" i="43"/>
  <c r="H65" i="43"/>
  <c r="C65" i="43"/>
  <c r="D38" i="43"/>
  <c r="E38" i="43"/>
  <c r="G38" i="43"/>
  <c r="H38" i="43"/>
  <c r="C38" i="43"/>
  <c r="D11" i="43"/>
  <c r="E11" i="43"/>
  <c r="F11" i="43"/>
  <c r="G11" i="43"/>
  <c r="H11" i="43"/>
  <c r="C11" i="43"/>
  <c r="D91" i="44"/>
  <c r="E91" i="44"/>
  <c r="E86" i="44" s="1"/>
  <c r="F91" i="44"/>
  <c r="F86" i="44" s="1"/>
  <c r="G91" i="44"/>
  <c r="G86" i="44" s="1"/>
  <c r="H91" i="44"/>
  <c r="H86" i="44" s="1"/>
  <c r="C91" i="44"/>
  <c r="C86" i="44" s="1"/>
  <c r="D117" i="44"/>
  <c r="E117" i="44"/>
  <c r="F117" i="44"/>
  <c r="G117" i="44"/>
  <c r="H117" i="44"/>
  <c r="C117" i="44"/>
  <c r="D64" i="44"/>
  <c r="E64" i="44"/>
  <c r="F64" i="44"/>
  <c r="G64" i="44"/>
  <c r="H64" i="44"/>
  <c r="C64" i="44"/>
  <c r="D38" i="44"/>
  <c r="E38" i="44"/>
  <c r="F38" i="44"/>
  <c r="G38" i="44"/>
  <c r="H38" i="44"/>
  <c r="C38" i="44"/>
  <c r="D11" i="44"/>
  <c r="E11" i="44"/>
  <c r="F11" i="44"/>
  <c r="G11" i="44"/>
  <c r="H11" i="44"/>
  <c r="C11" i="44"/>
  <c r="D86" i="44" l="1"/>
  <c r="E11" i="39"/>
  <c r="D11" i="39"/>
  <c r="B78" i="91" l="1"/>
  <c r="J21" i="84"/>
  <c r="J24" i="83"/>
  <c r="J24" i="84" l="1"/>
  <c r="K20" i="125"/>
  <c r="K22" i="125" s="1"/>
  <c r="J112" i="44"/>
  <c r="J113" i="44" s="1"/>
  <c r="H28" i="22" l="1"/>
  <c r="G28" i="22"/>
  <c r="F28" i="22"/>
  <c r="G18" i="22" l="1"/>
  <c r="F18" i="22"/>
  <c r="C18" i="22"/>
  <c r="D18" i="22"/>
  <c r="E18" i="22"/>
  <c r="H18" i="22"/>
  <c r="I36" i="22" l="1"/>
  <c r="J35" i="47"/>
  <c r="J34" i="47"/>
  <c r="J36" i="47" s="1"/>
  <c r="K27" i="130"/>
  <c r="K26" i="130"/>
  <c r="K28" i="130" l="1"/>
  <c r="J30" i="47"/>
  <c r="J29" i="47"/>
  <c r="L25" i="40"/>
  <c r="L24" i="40"/>
  <c r="L26" i="40" l="1"/>
  <c r="J31" i="47"/>
  <c r="J24" i="47"/>
  <c r="J23" i="47"/>
  <c r="L21" i="40"/>
  <c r="L20" i="40"/>
  <c r="L22" i="40" s="1"/>
  <c r="J25" i="47" l="1"/>
  <c r="D47" i="39"/>
  <c r="G8" i="39"/>
  <c r="H8" i="39"/>
  <c r="I8" i="39"/>
  <c r="E9" i="91" l="1"/>
  <c r="E10" i="91"/>
  <c r="E11" i="91"/>
  <c r="E12" i="91"/>
  <c r="E13" i="91"/>
  <c r="E14" i="91"/>
  <c r="E15" i="91"/>
  <c r="O135" i="58" l="1"/>
  <c r="P135" i="58"/>
  <c r="Q135" i="58"/>
  <c r="O126" i="58"/>
  <c r="P126" i="58"/>
  <c r="Q126" i="58"/>
  <c r="C69" i="91" l="1"/>
  <c r="K5" i="22" l="1"/>
  <c r="K4" i="22"/>
  <c r="K65" i="44" l="1"/>
  <c r="K66" i="44" s="1"/>
  <c r="K34" i="44"/>
  <c r="J24" i="40" l="1"/>
  <c r="K28" i="71" l="1"/>
  <c r="K27" i="71"/>
  <c r="K29" i="71" l="1"/>
  <c r="I49" i="135" l="1"/>
  <c r="C44" i="141" l="1"/>
  <c r="D44" i="141"/>
  <c r="E44" i="141"/>
  <c r="F44" i="141"/>
  <c r="G44" i="141"/>
  <c r="H44" i="141"/>
  <c r="D54" i="138"/>
  <c r="E54" i="138"/>
  <c r="F54" i="138"/>
  <c r="G54" i="138"/>
  <c r="G67" i="138" s="1"/>
  <c r="H54" i="138"/>
  <c r="C54" i="138"/>
  <c r="F67" i="138" l="1"/>
  <c r="F31" i="138"/>
  <c r="B22" i="91"/>
  <c r="E17" i="91"/>
  <c r="H5" i="22"/>
  <c r="G5" i="22"/>
  <c r="F5" i="22"/>
  <c r="H4" i="22"/>
  <c r="G4" i="22"/>
  <c r="F4" i="22"/>
  <c r="C4" i="22"/>
  <c r="F83" i="68"/>
  <c r="K16" i="22"/>
  <c r="L1" i="22"/>
  <c r="K1" i="22"/>
  <c r="C69" i="22" l="1"/>
  <c r="G69" i="22"/>
  <c r="H69" i="22"/>
  <c r="E4" i="22"/>
  <c r="K22" i="22"/>
  <c r="E69" i="22" l="1"/>
  <c r="H22" i="22"/>
  <c r="G22" i="22"/>
  <c r="F22" i="22"/>
  <c r="D22" i="22"/>
  <c r="E22" i="22"/>
  <c r="C22" i="22"/>
  <c r="K23" i="22"/>
  <c r="G23" i="22" l="1"/>
  <c r="F23" i="22"/>
  <c r="H23" i="22"/>
  <c r="E23" i="22"/>
  <c r="C23" i="22"/>
  <c r="D23" i="22"/>
  <c r="D27" i="22"/>
  <c r="E27" i="22"/>
  <c r="F27" i="22"/>
  <c r="G27" i="22"/>
  <c r="H27" i="22"/>
  <c r="C27" i="22"/>
  <c r="C70" i="91" l="1"/>
  <c r="C32" i="91" s="1"/>
  <c r="C71" i="91"/>
  <c r="H81" i="141" l="1"/>
  <c r="G81" i="141"/>
  <c r="F81" i="141"/>
  <c r="E81" i="141"/>
  <c r="D81" i="141"/>
  <c r="C81" i="141"/>
  <c r="H26" i="141"/>
  <c r="H27" i="141" s="1"/>
  <c r="G26" i="141"/>
  <c r="G50" i="141" s="1"/>
  <c r="F26" i="141"/>
  <c r="F50" i="141" s="1"/>
  <c r="E26" i="141"/>
  <c r="E50" i="141" s="1"/>
  <c r="D26" i="141"/>
  <c r="D65" i="141" s="1"/>
  <c r="C26" i="141"/>
  <c r="C50" i="141" s="1"/>
  <c r="H13" i="141"/>
  <c r="H38" i="141" s="1"/>
  <c r="G13" i="141"/>
  <c r="G14" i="141" s="1"/>
  <c r="F13" i="141"/>
  <c r="F14" i="141" s="1"/>
  <c r="E13" i="141"/>
  <c r="E14" i="141" s="1"/>
  <c r="D13" i="141"/>
  <c r="D14" i="141" s="1"/>
  <c r="D18" i="141" s="1"/>
  <c r="C13" i="141"/>
  <c r="C14" i="141" s="1"/>
  <c r="C18" i="141" s="1"/>
  <c r="H49" i="141"/>
  <c r="G49" i="141"/>
  <c r="F49" i="141"/>
  <c r="E49" i="141"/>
  <c r="D49" i="141"/>
  <c r="C49" i="141"/>
  <c r="H37" i="141"/>
  <c r="G37" i="141"/>
  <c r="F37" i="141"/>
  <c r="E37" i="141"/>
  <c r="D37" i="141"/>
  <c r="C37" i="141"/>
  <c r="H30" i="141"/>
  <c r="G30" i="141"/>
  <c r="F30" i="141"/>
  <c r="E30" i="141"/>
  <c r="D30" i="141"/>
  <c r="C30" i="141"/>
  <c r="H29" i="141"/>
  <c r="G29" i="141"/>
  <c r="F29" i="141"/>
  <c r="E29" i="141"/>
  <c r="D29" i="141"/>
  <c r="H28" i="141"/>
  <c r="H46" i="141" s="1"/>
  <c r="G28" i="141"/>
  <c r="G46" i="141" s="1"/>
  <c r="F28" i="141"/>
  <c r="F46" i="141" s="1"/>
  <c r="E28" i="141"/>
  <c r="E46" i="141" s="1"/>
  <c r="D28" i="141"/>
  <c r="D46" i="141" s="1"/>
  <c r="C28" i="141"/>
  <c r="C46" i="141" s="1"/>
  <c r="H22" i="141"/>
  <c r="G22" i="141"/>
  <c r="F22" i="141"/>
  <c r="E22" i="141"/>
  <c r="D22" i="141"/>
  <c r="C22" i="141"/>
  <c r="H36" i="138"/>
  <c r="G36" i="138"/>
  <c r="F36" i="138"/>
  <c r="E36" i="138"/>
  <c r="D36" i="138"/>
  <c r="C36" i="138"/>
  <c r="H13" i="138"/>
  <c r="H48" i="138" s="1"/>
  <c r="G13" i="138"/>
  <c r="G14" i="138" s="1"/>
  <c r="G19" i="138" s="1"/>
  <c r="F13" i="138"/>
  <c r="F48" i="138" s="1"/>
  <c r="E13" i="138"/>
  <c r="E14" i="138" s="1"/>
  <c r="E19" i="138" s="1"/>
  <c r="D13" i="138"/>
  <c r="D48" i="138" s="1"/>
  <c r="C13" i="138"/>
  <c r="C48" i="138" s="1"/>
  <c r="H62" i="138"/>
  <c r="G62" i="138"/>
  <c r="F62" i="138"/>
  <c r="E62" i="138"/>
  <c r="D62" i="138"/>
  <c r="C62" i="138"/>
  <c r="H47" i="138"/>
  <c r="G47" i="138"/>
  <c r="F47" i="138"/>
  <c r="E47" i="138"/>
  <c r="D47" i="138"/>
  <c r="C47" i="138"/>
  <c r="H40" i="138"/>
  <c r="G40" i="138"/>
  <c r="F40" i="138"/>
  <c r="E40" i="138"/>
  <c r="D40" i="138"/>
  <c r="C40" i="138"/>
  <c r="F39" i="138"/>
  <c r="H38" i="138"/>
  <c r="G38" i="138"/>
  <c r="F38" i="138"/>
  <c r="E38" i="138"/>
  <c r="D38" i="138"/>
  <c r="C38" i="138"/>
  <c r="H23" i="138"/>
  <c r="G23" i="138"/>
  <c r="F23" i="138"/>
  <c r="E23" i="138"/>
  <c r="D23" i="138"/>
  <c r="C23" i="138"/>
  <c r="H39" i="138"/>
  <c r="G39" i="138"/>
  <c r="E39" i="138"/>
  <c r="C39" i="138"/>
  <c r="H100" i="138" l="1"/>
  <c r="H101" i="138"/>
  <c r="H102" i="138"/>
  <c r="H103" i="138" s="1"/>
  <c r="G102" i="138"/>
  <c r="G100" i="138"/>
  <c r="G101" i="138"/>
  <c r="C100" i="138"/>
  <c r="C102" i="138"/>
  <c r="C101" i="138"/>
  <c r="D101" i="138"/>
  <c r="D102" i="138"/>
  <c r="D100" i="138"/>
  <c r="E102" i="138"/>
  <c r="E101" i="138"/>
  <c r="E100" i="138"/>
  <c r="F100" i="138"/>
  <c r="F101" i="138"/>
  <c r="F102" i="138"/>
  <c r="E84" i="138"/>
  <c r="H85" i="138"/>
  <c r="H86" i="138"/>
  <c r="H87" i="138"/>
  <c r="H88" i="138" s="1"/>
  <c r="C63" i="138"/>
  <c r="C85" i="138"/>
  <c r="C86" i="138"/>
  <c r="C87" i="138"/>
  <c r="G87" i="138"/>
  <c r="G86" i="138"/>
  <c r="G85" i="138"/>
  <c r="D63" i="138"/>
  <c r="D64" i="138" s="1"/>
  <c r="D67" i="138" s="1"/>
  <c r="D86" i="138"/>
  <c r="D87" i="138"/>
  <c r="D85" i="138"/>
  <c r="E63" i="138"/>
  <c r="E64" i="138" s="1"/>
  <c r="E67" i="138" s="1"/>
  <c r="E87" i="138"/>
  <c r="E85" i="138"/>
  <c r="E86" i="138"/>
  <c r="F37" i="138"/>
  <c r="F85" i="138"/>
  <c r="F86" i="138"/>
  <c r="F87" i="138"/>
  <c r="H37" i="138"/>
  <c r="E27" i="141"/>
  <c r="F27" i="141"/>
  <c r="D38" i="141"/>
  <c r="D39" i="141" s="1"/>
  <c r="D40" i="141" s="1"/>
  <c r="C27" i="141"/>
  <c r="C31" i="141" s="1"/>
  <c r="D50" i="141"/>
  <c r="D51" i="141" s="1"/>
  <c r="F47" i="141"/>
  <c r="G47" i="141"/>
  <c r="H24" i="138"/>
  <c r="H41" i="138" s="1"/>
  <c r="F84" i="138"/>
  <c r="E47" i="141"/>
  <c r="H63" i="138"/>
  <c r="H64" i="138" s="1"/>
  <c r="H67" i="138" s="1"/>
  <c r="C47" i="141"/>
  <c r="F14" i="138"/>
  <c r="F19" i="138" s="1"/>
  <c r="G84" i="138"/>
  <c r="H84" i="138"/>
  <c r="H14" i="141"/>
  <c r="H18" i="141" s="1"/>
  <c r="D27" i="141"/>
  <c r="D31" i="141" s="1"/>
  <c r="D37" i="138"/>
  <c r="G51" i="141"/>
  <c r="H47" i="141"/>
  <c r="D47" i="141"/>
  <c r="C37" i="138"/>
  <c r="G48" i="138"/>
  <c r="G49" i="138" s="1"/>
  <c r="G50" i="138" s="1"/>
  <c r="F49" i="138"/>
  <c r="F50" i="138" s="1"/>
  <c r="H50" i="141"/>
  <c r="H51" i="141" s="1"/>
  <c r="D84" i="138"/>
  <c r="E48" i="138"/>
  <c r="E49" i="138" s="1"/>
  <c r="E50" i="138" s="1"/>
  <c r="G37" i="138"/>
  <c r="G63" i="138"/>
  <c r="G64" i="138" s="1"/>
  <c r="C84" i="138"/>
  <c r="G38" i="141"/>
  <c r="G39" i="141" s="1"/>
  <c r="G40" i="141" s="1"/>
  <c r="F63" i="138"/>
  <c r="F64" i="138" s="1"/>
  <c r="D14" i="138"/>
  <c r="D19" i="138" s="1"/>
  <c r="G27" i="141"/>
  <c r="G31" i="141" s="1"/>
  <c r="E37" i="138"/>
  <c r="H49" i="138"/>
  <c r="H50" i="138" s="1"/>
  <c r="C51" i="141"/>
  <c r="H39" i="141"/>
  <c r="H40" i="141" s="1"/>
  <c r="G24" i="138"/>
  <c r="E51" i="141"/>
  <c r="G65" i="141"/>
  <c r="H67" i="141"/>
  <c r="E65" i="141"/>
  <c r="D66" i="141"/>
  <c r="E68" i="141"/>
  <c r="F65" i="141"/>
  <c r="E66" i="141"/>
  <c r="C49" i="138"/>
  <c r="C50" i="138" s="1"/>
  <c r="E31" i="141"/>
  <c r="E67" i="141"/>
  <c r="F51" i="141"/>
  <c r="D68" i="141"/>
  <c r="D39" i="138"/>
  <c r="C66" i="141"/>
  <c r="C64" i="138"/>
  <c r="C67" i="138" s="1"/>
  <c r="D67" i="141"/>
  <c r="H68" i="141"/>
  <c r="H65" i="141"/>
  <c r="H66" i="141"/>
  <c r="G68" i="141"/>
  <c r="G66" i="141"/>
  <c r="G67" i="141"/>
  <c r="F68" i="141"/>
  <c r="F67" i="141"/>
  <c r="F66" i="141"/>
  <c r="C67" i="141"/>
  <c r="C68" i="141"/>
  <c r="C65" i="141"/>
  <c r="G18" i="141"/>
  <c r="E18" i="141"/>
  <c r="F18" i="141"/>
  <c r="E38" i="141"/>
  <c r="E39" i="141" s="1"/>
  <c r="E40" i="141" s="1"/>
  <c r="F38" i="141"/>
  <c r="F39" i="141" s="1"/>
  <c r="F40" i="141" s="1"/>
  <c r="F31" i="141"/>
  <c r="H31" i="141"/>
  <c r="C38" i="141"/>
  <c r="C39" i="141" s="1"/>
  <c r="C40" i="141" s="1"/>
  <c r="D24" i="138"/>
  <c r="H14" i="138"/>
  <c r="H19" i="138" s="1"/>
  <c r="D49" i="138"/>
  <c r="D50" i="138" s="1"/>
  <c r="C14" i="138"/>
  <c r="C19" i="138" s="1"/>
  <c r="E24" i="138"/>
  <c r="F103" i="138" l="1"/>
  <c r="F88" i="138"/>
  <c r="D103" i="138"/>
  <c r="C88" i="138"/>
  <c r="G53" i="141"/>
  <c r="F53" i="141"/>
  <c r="D88" i="138"/>
  <c r="C103" i="138"/>
  <c r="E103" i="138"/>
  <c r="G103" i="138"/>
  <c r="G88" i="138"/>
  <c r="E88" i="138"/>
  <c r="H53" i="141"/>
  <c r="C53" i="141"/>
  <c r="D53" i="141"/>
  <c r="E53" i="141"/>
  <c r="G41" i="138"/>
  <c r="E41" i="138"/>
  <c r="D69" i="141"/>
  <c r="E69" i="141"/>
  <c r="F69" i="141"/>
  <c r="C69" i="141"/>
  <c r="G69" i="141"/>
  <c r="H69" i="141"/>
  <c r="D41" i="138"/>
  <c r="K15" i="83"/>
  <c r="K13" i="83"/>
  <c r="K16" i="83" l="1"/>
  <c r="I97" i="44"/>
  <c r="I42" i="48"/>
  <c r="I22" i="44" l="1"/>
  <c r="F6" i="83"/>
  <c r="H26" i="22" l="1"/>
  <c r="G25" i="22" l="1"/>
  <c r="H25" i="22"/>
  <c r="F25" i="22"/>
  <c r="F26" i="22"/>
  <c r="G26" i="22"/>
  <c r="L35" i="68" l="1"/>
  <c r="L36" i="68"/>
  <c r="L29" i="68" l="1"/>
  <c r="L32" i="68"/>
  <c r="D59" i="48" l="1"/>
  <c r="E59" i="48"/>
  <c r="F59" i="48"/>
  <c r="G59" i="48"/>
  <c r="H59" i="48"/>
  <c r="C59" i="48"/>
  <c r="E58" i="47"/>
  <c r="F58" i="47"/>
  <c r="G58" i="47"/>
  <c r="H58" i="47"/>
  <c r="D58" i="47"/>
  <c r="C58" i="47"/>
  <c r="I53" i="47"/>
  <c r="D13" i="39" l="1"/>
  <c r="D31" i="91"/>
  <c r="E31" i="91"/>
  <c r="F31" i="91"/>
  <c r="G31" i="91"/>
  <c r="H31" i="91"/>
  <c r="C31" i="91"/>
  <c r="B79" i="91" l="1"/>
  <c r="C38" i="91"/>
  <c r="C58" i="91" s="1"/>
  <c r="D44" i="91"/>
  <c r="E44" i="91" s="1"/>
  <c r="F44" i="91" s="1"/>
  <c r="G44" i="91" s="1"/>
  <c r="H44" i="91" s="1"/>
  <c r="D41" i="91"/>
  <c r="E41" i="91" s="1"/>
  <c r="F41" i="91" s="1"/>
  <c r="G41" i="91" s="1"/>
  <c r="H41" i="91" s="1"/>
  <c r="H37" i="91"/>
  <c r="G37" i="91"/>
  <c r="F51" i="91"/>
  <c r="E37" i="91"/>
  <c r="D37" i="91"/>
  <c r="C51" i="91"/>
  <c r="J25" i="22"/>
  <c r="E18" i="91" l="1"/>
  <c r="F38" i="91"/>
  <c r="G38" i="91"/>
  <c r="H38" i="91"/>
  <c r="D38" i="91"/>
  <c r="E16" i="91"/>
  <c r="B23" i="91"/>
  <c r="E38" i="91"/>
  <c r="D51" i="91"/>
  <c r="G51" i="91"/>
  <c r="E19" i="91"/>
  <c r="C37" i="91"/>
  <c r="H51" i="91"/>
  <c r="E20" i="91"/>
  <c r="E51" i="91"/>
  <c r="F37" i="91"/>
  <c r="K25" i="22"/>
  <c r="J26" i="22"/>
  <c r="K26" i="22" s="1"/>
  <c r="K21" i="22" l="1"/>
  <c r="C21" i="22" s="1"/>
  <c r="C22" i="91"/>
  <c r="D39" i="91" s="1"/>
  <c r="I38" i="91"/>
  <c r="H32" i="91"/>
  <c r="G32" i="91"/>
  <c r="F32" i="91"/>
  <c r="E32" i="91"/>
  <c r="E58" i="91" s="1"/>
  <c r="D32" i="91"/>
  <c r="F16" i="91"/>
  <c r="C53" i="91" s="1"/>
  <c r="C23" i="91"/>
  <c r="F9" i="91"/>
  <c r="C34" i="91" s="1"/>
  <c r="D6" i="44"/>
  <c r="H21" i="22" l="1"/>
  <c r="G21" i="22"/>
  <c r="F21" i="22"/>
  <c r="E21" i="22"/>
  <c r="D21" i="22"/>
  <c r="H34" i="91"/>
  <c r="J1" i="22"/>
  <c r="H33" i="91"/>
  <c r="C33" i="91"/>
  <c r="C35" i="91" s="1"/>
  <c r="H39" i="91"/>
  <c r="H40" i="91" s="1"/>
  <c r="H42" i="91" s="1"/>
  <c r="C39" i="91"/>
  <c r="C40" i="91" s="1"/>
  <c r="C43" i="91" s="1"/>
  <c r="F39" i="91"/>
  <c r="F40" i="91" s="1"/>
  <c r="F42" i="91" s="1"/>
  <c r="E39" i="91"/>
  <c r="E40" i="91" s="1"/>
  <c r="E42" i="91" s="1"/>
  <c r="G39" i="91"/>
  <c r="G40" i="91" s="1"/>
  <c r="G42" i="91" s="1"/>
  <c r="H58" i="91"/>
  <c r="C131" i="58"/>
  <c r="I32" i="91"/>
  <c r="E53" i="91"/>
  <c r="G53" i="91"/>
  <c r="D53" i="91"/>
  <c r="H53" i="91"/>
  <c r="F53" i="91"/>
  <c r="D34" i="91"/>
  <c r="G33" i="91"/>
  <c r="G58" i="91"/>
  <c r="E34" i="91"/>
  <c r="D58" i="91"/>
  <c r="D33" i="91"/>
  <c r="D52" i="91" s="1"/>
  <c r="E33" i="91"/>
  <c r="F58" i="91"/>
  <c r="F33" i="91"/>
  <c r="G34" i="91"/>
  <c r="F34" i="91"/>
  <c r="D40" i="91"/>
  <c r="D42" i="91" s="1"/>
  <c r="E6" i="44"/>
  <c r="F6" i="44"/>
  <c r="G6" i="44"/>
  <c r="H6" i="44"/>
  <c r="H35" i="91" l="1"/>
  <c r="H43" i="91"/>
  <c r="H45" i="91" s="1"/>
  <c r="H52" i="91"/>
  <c r="H54" i="91" s="1"/>
  <c r="C52" i="91"/>
  <c r="C54" i="91" s="1"/>
  <c r="I39" i="91"/>
  <c r="E52" i="91"/>
  <c r="E54" i="91" s="1"/>
  <c r="E43" i="91"/>
  <c r="E45" i="91" s="1"/>
  <c r="G52" i="91"/>
  <c r="G54" i="91" s="1"/>
  <c r="F52" i="91"/>
  <c r="D54" i="91"/>
  <c r="E35" i="91"/>
  <c r="F43" i="91"/>
  <c r="F45" i="91" s="1"/>
  <c r="F35" i="91"/>
  <c r="C42" i="91"/>
  <c r="I42" i="91" s="1"/>
  <c r="I33" i="91"/>
  <c r="D35" i="91"/>
  <c r="G43" i="91"/>
  <c r="G45" i="91" s="1"/>
  <c r="G35" i="91"/>
  <c r="I40" i="91"/>
  <c r="D43" i="91"/>
  <c r="D45" i="91" s="1"/>
  <c r="C45" i="91"/>
  <c r="H76" i="141"/>
  <c r="G76" i="141"/>
  <c r="F76" i="141"/>
  <c r="E76" i="141"/>
  <c r="D76" i="141"/>
  <c r="C76" i="141"/>
  <c r="B40" i="141"/>
  <c r="B18" i="141"/>
  <c r="H110" i="138"/>
  <c r="H112" i="138" s="1"/>
  <c r="H117" i="138" s="1"/>
  <c r="G110" i="138"/>
  <c r="G112" i="138" s="1"/>
  <c r="G117" i="138" s="1"/>
  <c r="F110" i="138"/>
  <c r="F112" i="138" s="1"/>
  <c r="F117" i="138" s="1"/>
  <c r="E110" i="138"/>
  <c r="D110" i="138"/>
  <c r="D112" i="138" s="1"/>
  <c r="D117" i="138" s="1"/>
  <c r="C110" i="138"/>
  <c r="C113" i="138" l="1"/>
  <c r="C116" i="138" s="1"/>
  <c r="E112" i="138"/>
  <c r="E117" i="138" s="1"/>
  <c r="E113" i="138"/>
  <c r="H57" i="91"/>
  <c r="H59" i="91" s="1"/>
  <c r="H67" i="58" s="1"/>
  <c r="E78" i="141"/>
  <c r="E79" i="141"/>
  <c r="E82" i="141" s="1"/>
  <c r="F78" i="141"/>
  <c r="F79" i="141"/>
  <c r="F82" i="141" s="1"/>
  <c r="G78" i="141"/>
  <c r="G79" i="141"/>
  <c r="G82" i="141" s="1"/>
  <c r="H78" i="141"/>
  <c r="H79" i="141"/>
  <c r="H82" i="141" s="1"/>
  <c r="C78" i="141"/>
  <c r="C79" i="141"/>
  <c r="C82" i="141" s="1"/>
  <c r="D78" i="141"/>
  <c r="D79" i="141"/>
  <c r="D82" i="141" s="1"/>
  <c r="I52" i="91"/>
  <c r="D62" i="58"/>
  <c r="D113" i="138"/>
  <c r="D116" i="138" s="1"/>
  <c r="G62" i="58"/>
  <c r="G113" i="138"/>
  <c r="G116" i="138" s="1"/>
  <c r="F62" i="58"/>
  <c r="F113" i="138"/>
  <c r="F116" i="138" s="1"/>
  <c r="E62" i="58"/>
  <c r="E116" i="138"/>
  <c r="H62" i="58"/>
  <c r="H113" i="138"/>
  <c r="H116" i="138" s="1"/>
  <c r="C62" i="58"/>
  <c r="F54" i="91"/>
  <c r="F57" i="91" s="1"/>
  <c r="F59" i="91" s="1"/>
  <c r="F67" i="58" s="1"/>
  <c r="E57" i="91"/>
  <c r="E59" i="91" s="1"/>
  <c r="E67" i="58" s="1"/>
  <c r="I35" i="91"/>
  <c r="G57" i="91"/>
  <c r="G59" i="91" s="1"/>
  <c r="G67" i="58" s="1"/>
  <c r="I43" i="91"/>
  <c r="I45" i="91"/>
  <c r="D57" i="91"/>
  <c r="D59" i="91" s="1"/>
  <c r="D67" i="58" s="1"/>
  <c r="C57" i="91"/>
  <c r="I58" i="91" l="1"/>
  <c r="I54" i="91"/>
  <c r="C59" i="91"/>
  <c r="C67" i="58" s="1"/>
  <c r="I57" i="91"/>
  <c r="H33" i="24" l="1"/>
  <c r="I88" i="138"/>
  <c r="E63" i="58"/>
  <c r="C63" i="58"/>
  <c r="D63" i="58"/>
  <c r="H63" i="58"/>
  <c r="F63" i="58"/>
  <c r="G63" i="58"/>
  <c r="E84" i="141"/>
  <c r="F84" i="141"/>
  <c r="C83" i="141"/>
  <c r="H84" i="141"/>
  <c r="D83" i="141"/>
  <c r="G84" i="141"/>
  <c r="E83" i="141"/>
  <c r="H83" i="141"/>
  <c r="D33" i="24"/>
  <c r="G33" i="24"/>
  <c r="C84" i="141"/>
  <c r="E33" i="24"/>
  <c r="F33" i="24"/>
  <c r="I33" i="24" s="1"/>
  <c r="F83" i="141"/>
  <c r="G83" i="141"/>
  <c r="D84" i="141"/>
  <c r="I11" i="39" l="1"/>
  <c r="H11" i="39"/>
  <c r="G11" i="39"/>
  <c r="F11" i="39"/>
  <c r="J8" i="39" l="1"/>
  <c r="J11" i="39"/>
  <c r="F115" i="68"/>
  <c r="G115" i="68"/>
  <c r="H115" i="68"/>
  <c r="I115" i="68"/>
  <c r="J115" i="68"/>
  <c r="K115" i="68"/>
  <c r="L11" i="39" l="1"/>
  <c r="L8" i="39"/>
  <c r="K20" i="22" l="1"/>
  <c r="C20" i="22" s="1"/>
  <c r="K19" i="22"/>
  <c r="C19" i="22" s="1"/>
  <c r="F20" i="22" l="1"/>
  <c r="H20" i="22"/>
  <c r="G20" i="22"/>
  <c r="F19" i="22"/>
  <c r="G19" i="22"/>
  <c r="H19" i="22"/>
  <c r="E19" i="22"/>
  <c r="D19" i="22"/>
  <c r="D20" i="22"/>
  <c r="E20" i="22"/>
  <c r="E29" i="130" l="1"/>
  <c r="F29" i="130"/>
  <c r="G29" i="130"/>
  <c r="H29" i="130"/>
  <c r="E23" i="143" l="1"/>
  <c r="F17" i="143" l="1"/>
  <c r="F18" i="143"/>
  <c r="F22" i="143"/>
  <c r="I8" i="135" l="1"/>
  <c r="I8" i="84" l="1"/>
  <c r="I9" i="84"/>
  <c r="I10" i="84"/>
  <c r="I12" i="84"/>
  <c r="I13" i="84"/>
  <c r="I14" i="84"/>
  <c r="I15" i="84"/>
  <c r="I16" i="84"/>
  <c r="I17" i="84"/>
  <c r="I19" i="84"/>
  <c r="I20" i="84"/>
  <c r="I21" i="84"/>
  <c r="I22" i="84"/>
  <c r="I23" i="84"/>
  <c r="I24" i="84"/>
  <c r="I25" i="84"/>
  <c r="I26" i="84"/>
  <c r="I27" i="84"/>
  <c r="I28" i="84"/>
  <c r="I29" i="84"/>
  <c r="I33" i="84"/>
  <c r="I34" i="84"/>
  <c r="I35" i="84"/>
  <c r="I36" i="84"/>
  <c r="I39" i="84"/>
  <c r="I40" i="84"/>
  <c r="I41" i="84"/>
  <c r="I42" i="84"/>
  <c r="I43" i="84"/>
  <c r="I44" i="84"/>
  <c r="I45" i="84"/>
  <c r="I46" i="84"/>
  <c r="I47" i="84"/>
  <c r="I51" i="84"/>
  <c r="I57" i="84"/>
  <c r="I8" i="83"/>
  <c r="I9" i="83"/>
  <c r="I10" i="83"/>
  <c r="I12" i="83"/>
  <c r="I13" i="83"/>
  <c r="I14" i="83"/>
  <c r="I15" i="83"/>
  <c r="I16" i="83"/>
  <c r="I17" i="83"/>
  <c r="I19" i="83"/>
  <c r="I20" i="83"/>
  <c r="I21" i="83"/>
  <c r="I22" i="83"/>
  <c r="I23" i="83"/>
  <c r="I24" i="83"/>
  <c r="I25" i="83"/>
  <c r="I26" i="83"/>
  <c r="I27" i="83"/>
  <c r="I28" i="83"/>
  <c r="I29" i="83"/>
  <c r="I33" i="83"/>
  <c r="I34" i="83"/>
  <c r="I35" i="83"/>
  <c r="I36" i="83"/>
  <c r="I39" i="83"/>
  <c r="I40" i="83"/>
  <c r="I41" i="83"/>
  <c r="I42" i="83"/>
  <c r="I43" i="83"/>
  <c r="I44" i="83"/>
  <c r="I45" i="83"/>
  <c r="I46" i="83"/>
  <c r="I47" i="83"/>
  <c r="I51" i="83"/>
  <c r="I57" i="83"/>
  <c r="I8" i="71"/>
  <c r="I9" i="71"/>
  <c r="I10" i="71"/>
  <c r="I12" i="71"/>
  <c r="I13" i="71"/>
  <c r="I14" i="71"/>
  <c r="I15" i="71"/>
  <c r="I16" i="71"/>
  <c r="I18" i="71"/>
  <c r="I20" i="71"/>
  <c r="I21" i="71"/>
  <c r="I22" i="71"/>
  <c r="I23" i="71"/>
  <c r="I24" i="71"/>
  <c r="I25" i="71"/>
  <c r="I26" i="71"/>
  <c r="I27" i="71"/>
  <c r="I28" i="71"/>
  <c r="I31" i="71"/>
  <c r="I32" i="71"/>
  <c r="I33" i="71"/>
  <c r="I36" i="71"/>
  <c r="I37" i="71"/>
  <c r="I38" i="71"/>
  <c r="I39" i="71"/>
  <c r="I40" i="71"/>
  <c r="I41" i="71"/>
  <c r="I42" i="71"/>
  <c r="I43" i="71"/>
  <c r="I44" i="71"/>
  <c r="I48" i="71"/>
  <c r="I55" i="71"/>
  <c r="I8" i="46"/>
  <c r="I9" i="46"/>
  <c r="I10" i="46"/>
  <c r="I11" i="46"/>
  <c r="I12" i="46"/>
  <c r="I13" i="46"/>
  <c r="I14" i="46"/>
  <c r="I15" i="46"/>
  <c r="I16" i="46"/>
  <c r="I18" i="46"/>
  <c r="I19" i="46"/>
  <c r="I20" i="46"/>
  <c r="I21" i="46"/>
  <c r="I22" i="46"/>
  <c r="I23" i="46"/>
  <c r="I24" i="46"/>
  <c r="I25" i="46"/>
  <c r="I26" i="46"/>
  <c r="I27" i="46"/>
  <c r="I28" i="46"/>
  <c r="I31" i="46"/>
  <c r="I32" i="46"/>
  <c r="I33" i="46"/>
  <c r="I35" i="46"/>
  <c r="I36" i="46"/>
  <c r="I37" i="46"/>
  <c r="I38" i="46"/>
  <c r="I39" i="46"/>
  <c r="I40" i="46"/>
  <c r="I41" i="46"/>
  <c r="I42" i="46"/>
  <c r="I43" i="46"/>
  <c r="I44" i="46"/>
  <c r="I48" i="46"/>
  <c r="I54" i="46"/>
  <c r="I55" i="46"/>
  <c r="I8" i="70"/>
  <c r="I9" i="70"/>
  <c r="I10" i="70"/>
  <c r="I12" i="70"/>
  <c r="I14" i="70"/>
  <c r="I15" i="70"/>
  <c r="I16" i="70"/>
  <c r="I18" i="70"/>
  <c r="I19" i="70"/>
  <c r="I20" i="70"/>
  <c r="I21" i="70"/>
  <c r="I22" i="70"/>
  <c r="I23" i="70"/>
  <c r="I24" i="70"/>
  <c r="I25" i="70"/>
  <c r="I26" i="70"/>
  <c r="I27" i="70"/>
  <c r="I28" i="70"/>
  <c r="I31" i="70"/>
  <c r="I32" i="70"/>
  <c r="I33" i="70"/>
  <c r="I36" i="70"/>
  <c r="I37" i="70"/>
  <c r="I38" i="70"/>
  <c r="I39" i="70"/>
  <c r="I40" i="70"/>
  <c r="I41" i="70"/>
  <c r="I42" i="70"/>
  <c r="I43" i="70"/>
  <c r="I44" i="70"/>
  <c r="I48" i="70"/>
  <c r="I55" i="70"/>
  <c r="I9" i="130"/>
  <c r="I10" i="130"/>
  <c r="I12" i="130"/>
  <c r="I13" i="130"/>
  <c r="I14" i="130"/>
  <c r="I15" i="130"/>
  <c r="I16" i="130"/>
  <c r="I18" i="130"/>
  <c r="I19" i="130"/>
  <c r="I20" i="130"/>
  <c r="I21" i="130"/>
  <c r="I22" i="130"/>
  <c r="I23" i="130"/>
  <c r="I24" i="130"/>
  <c r="I25" i="130"/>
  <c r="I26" i="130"/>
  <c r="I27" i="130"/>
  <c r="I28" i="130"/>
  <c r="I32" i="130"/>
  <c r="I33" i="130"/>
  <c r="I34" i="130"/>
  <c r="I35" i="130"/>
  <c r="I37" i="130"/>
  <c r="I40" i="130"/>
  <c r="I42" i="130"/>
  <c r="I43" i="130"/>
  <c r="I44" i="130"/>
  <c r="I45" i="130"/>
  <c r="I46" i="130"/>
  <c r="I49" i="130"/>
  <c r="I50" i="130"/>
  <c r="I51" i="130"/>
  <c r="I52" i="130"/>
  <c r="I53" i="130"/>
  <c r="I54" i="130"/>
  <c r="I55" i="130"/>
  <c r="I56" i="130"/>
  <c r="I57" i="130"/>
  <c r="I58" i="130"/>
  <c r="I59" i="130"/>
  <c r="I60" i="130"/>
  <c r="I61" i="130"/>
  <c r="I62" i="130"/>
  <c r="I66" i="130"/>
  <c r="I72" i="130"/>
  <c r="I73" i="130"/>
  <c r="I9" i="135"/>
  <c r="I10" i="135"/>
  <c r="I12" i="135"/>
  <c r="I13" i="135"/>
  <c r="I14" i="135"/>
  <c r="I15" i="135"/>
  <c r="I16" i="135"/>
  <c r="I18" i="135"/>
  <c r="I19" i="135"/>
  <c r="I20" i="135"/>
  <c r="I21" i="135"/>
  <c r="I22" i="135"/>
  <c r="I23" i="135"/>
  <c r="I24" i="135"/>
  <c r="I25" i="135"/>
  <c r="I26" i="135"/>
  <c r="I27" i="135"/>
  <c r="I29" i="135"/>
  <c r="I32" i="135"/>
  <c r="I35" i="135"/>
  <c r="I36" i="135"/>
  <c r="I37" i="135"/>
  <c r="I38" i="135"/>
  <c r="I39" i="135"/>
  <c r="I40" i="135"/>
  <c r="I41" i="135"/>
  <c r="I42" i="135"/>
  <c r="I43" i="135"/>
  <c r="I44" i="135"/>
  <c r="I45" i="135"/>
  <c r="I46" i="135"/>
  <c r="I47" i="135"/>
  <c r="I48" i="135"/>
  <c r="I50" i="135"/>
  <c r="I51" i="135"/>
  <c r="I52" i="135"/>
  <c r="I53" i="135"/>
  <c r="I57" i="135"/>
  <c r="I59" i="135"/>
  <c r="I60" i="135"/>
  <c r="I65" i="135"/>
  <c r="I66" i="135"/>
  <c r="I9" i="52"/>
  <c r="I10" i="52"/>
  <c r="I12" i="52"/>
  <c r="I14" i="52"/>
  <c r="I15" i="52"/>
  <c r="I16" i="52"/>
  <c r="I18" i="52"/>
  <c r="I19" i="52"/>
  <c r="I20" i="52"/>
  <c r="I21" i="52"/>
  <c r="I22" i="52"/>
  <c r="I23" i="52"/>
  <c r="I24" i="52"/>
  <c r="I25" i="52"/>
  <c r="I26" i="52"/>
  <c r="I27" i="52"/>
  <c r="I29" i="52"/>
  <c r="I32" i="52"/>
  <c r="I35" i="52"/>
  <c r="I36" i="52"/>
  <c r="I37" i="52"/>
  <c r="I38" i="52"/>
  <c r="I40" i="52"/>
  <c r="I43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3" i="52"/>
  <c r="I75" i="52"/>
  <c r="I76" i="52"/>
  <c r="I81" i="52"/>
  <c r="I82" i="52"/>
  <c r="I8" i="41"/>
  <c r="I9" i="41"/>
  <c r="I10" i="41"/>
  <c r="I12" i="41"/>
  <c r="I13" i="41"/>
  <c r="I14" i="41"/>
  <c r="I15" i="41"/>
  <c r="I16" i="41"/>
  <c r="I18" i="41"/>
  <c r="I20" i="41"/>
  <c r="I21" i="41"/>
  <c r="I22" i="41"/>
  <c r="I23" i="41"/>
  <c r="I24" i="41"/>
  <c r="I25" i="41"/>
  <c r="I26" i="41"/>
  <c r="I27" i="41"/>
  <c r="I29" i="41"/>
  <c r="I32" i="41"/>
  <c r="I35" i="41"/>
  <c r="I36" i="41"/>
  <c r="I37" i="41"/>
  <c r="I38" i="41"/>
  <c r="I39" i="41"/>
  <c r="I42" i="41"/>
  <c r="I43" i="41"/>
  <c r="I44" i="41"/>
  <c r="I45" i="41"/>
  <c r="I46" i="41"/>
  <c r="I47" i="41"/>
  <c r="I48" i="41"/>
  <c r="I49" i="41"/>
  <c r="I50" i="41"/>
  <c r="I51" i="41"/>
  <c r="I55" i="41"/>
  <c r="I61" i="41"/>
  <c r="I8" i="48"/>
  <c r="I9" i="48"/>
  <c r="I10" i="48"/>
  <c r="I12" i="48"/>
  <c r="I14" i="48"/>
  <c r="I15" i="48"/>
  <c r="I16" i="48"/>
  <c r="I18" i="48"/>
  <c r="I19" i="48"/>
  <c r="I20" i="48"/>
  <c r="I21" i="48"/>
  <c r="I22" i="48"/>
  <c r="I23" i="48"/>
  <c r="I24" i="48"/>
  <c r="I25" i="48"/>
  <c r="I26" i="48"/>
  <c r="I27" i="48"/>
  <c r="I28" i="48"/>
  <c r="I32" i="48"/>
  <c r="I33" i="48"/>
  <c r="I34" i="48"/>
  <c r="I35" i="48"/>
  <c r="I38" i="48"/>
  <c r="I39" i="48"/>
  <c r="I40" i="48"/>
  <c r="I41" i="48"/>
  <c r="I43" i="48"/>
  <c r="I46" i="48"/>
  <c r="I47" i="48"/>
  <c r="I48" i="48"/>
  <c r="I49" i="48"/>
  <c r="I51" i="48"/>
  <c r="I52" i="48"/>
  <c r="I53" i="48"/>
  <c r="I55" i="48"/>
  <c r="I56" i="48"/>
  <c r="I60" i="48"/>
  <c r="I66" i="48"/>
  <c r="I8" i="40"/>
  <c r="I9" i="40"/>
  <c r="I10" i="40"/>
  <c r="I12" i="40"/>
  <c r="I13" i="40"/>
  <c r="I14" i="40"/>
  <c r="I15" i="40"/>
  <c r="I16" i="40"/>
  <c r="I18" i="40"/>
  <c r="I19" i="40"/>
  <c r="I20" i="40"/>
  <c r="I21" i="40"/>
  <c r="I22" i="40"/>
  <c r="I23" i="40"/>
  <c r="I24" i="40"/>
  <c r="I25" i="40"/>
  <c r="I26" i="40"/>
  <c r="I27" i="40"/>
  <c r="I29" i="40"/>
  <c r="I32" i="40"/>
  <c r="I35" i="40"/>
  <c r="I36" i="40"/>
  <c r="I37" i="40"/>
  <c r="I38" i="40"/>
  <c r="I40" i="40"/>
  <c r="I41" i="40"/>
  <c r="I45" i="40"/>
  <c r="I48" i="40"/>
  <c r="I49" i="40"/>
  <c r="I50" i="40"/>
  <c r="I51" i="40"/>
  <c r="I52" i="40"/>
  <c r="I53" i="40"/>
  <c r="I54" i="40"/>
  <c r="I55" i="40"/>
  <c r="I58" i="40"/>
  <c r="I59" i="40"/>
  <c r="I60" i="40"/>
  <c r="I61" i="40"/>
  <c r="I62" i="40"/>
  <c r="I63" i="40"/>
  <c r="I64" i="40"/>
  <c r="I65" i="40"/>
  <c r="I66" i="40"/>
  <c r="I70" i="40"/>
  <c r="I76" i="40"/>
  <c r="I8" i="47"/>
  <c r="I9" i="47"/>
  <c r="I10" i="47"/>
  <c r="I12" i="47"/>
  <c r="I14" i="47"/>
  <c r="I15" i="47"/>
  <c r="I16" i="47"/>
  <c r="I18" i="47"/>
  <c r="I19" i="47"/>
  <c r="I20" i="47"/>
  <c r="I21" i="47"/>
  <c r="I22" i="47"/>
  <c r="I23" i="47"/>
  <c r="I24" i="47"/>
  <c r="I25" i="47"/>
  <c r="I26" i="47"/>
  <c r="I27" i="47"/>
  <c r="I28" i="47"/>
  <c r="I32" i="47"/>
  <c r="I33" i="47"/>
  <c r="I34" i="47"/>
  <c r="I35" i="47"/>
  <c r="I38" i="47"/>
  <c r="I39" i="47"/>
  <c r="I40" i="47"/>
  <c r="I41" i="47"/>
  <c r="I42" i="47"/>
  <c r="I45" i="47"/>
  <c r="I46" i="47"/>
  <c r="I47" i="47"/>
  <c r="I48" i="47"/>
  <c r="I50" i="47"/>
  <c r="I51" i="47"/>
  <c r="I52" i="47"/>
  <c r="I54" i="47"/>
  <c r="I55" i="47"/>
  <c r="I59" i="47"/>
  <c r="I65" i="47"/>
  <c r="I9" i="125"/>
  <c r="I10" i="125"/>
  <c r="I11" i="125"/>
  <c r="I12" i="125"/>
  <c r="I13" i="125"/>
  <c r="K25" i="125" s="1"/>
  <c r="I14" i="125"/>
  <c r="I15" i="125"/>
  <c r="I18" i="125"/>
  <c r="I19" i="125"/>
  <c r="I20" i="125"/>
  <c r="I21" i="125"/>
  <c r="I22" i="125"/>
  <c r="I23" i="125"/>
  <c r="I24" i="125"/>
  <c r="I26" i="125"/>
  <c r="I27" i="125"/>
  <c r="I29" i="125"/>
  <c r="I30" i="125"/>
  <c r="I31" i="125"/>
  <c r="I62" i="45"/>
  <c r="I63" i="45"/>
  <c r="I64" i="45"/>
  <c r="I68" i="45"/>
  <c r="I69" i="45"/>
  <c r="I70" i="45"/>
  <c r="I72" i="45"/>
  <c r="I73" i="45"/>
  <c r="I74" i="45"/>
  <c r="I75" i="45"/>
  <c r="I76" i="45"/>
  <c r="I77" i="45"/>
  <c r="I78" i="45"/>
  <c r="I80" i="45"/>
  <c r="I90" i="45"/>
  <c r="I91" i="45"/>
  <c r="I92" i="45"/>
  <c r="I94" i="45"/>
  <c r="I95" i="45"/>
  <c r="I96" i="45"/>
  <c r="I97" i="45"/>
  <c r="I98" i="45"/>
  <c r="I100" i="45"/>
  <c r="I102" i="45"/>
  <c r="I103" i="45"/>
  <c r="I104" i="45"/>
  <c r="I105" i="45"/>
  <c r="I106" i="45"/>
  <c r="I108" i="45"/>
  <c r="I109" i="45"/>
  <c r="I117" i="45"/>
  <c r="I118" i="45"/>
  <c r="I119" i="45"/>
  <c r="I121" i="45"/>
  <c r="I122" i="45"/>
  <c r="I123" i="45"/>
  <c r="I124" i="45"/>
  <c r="I125" i="45"/>
  <c r="I127" i="45"/>
  <c r="I129" i="45"/>
  <c r="I130" i="45"/>
  <c r="I131" i="45"/>
  <c r="I132" i="45"/>
  <c r="I133" i="45"/>
  <c r="I135" i="45"/>
  <c r="I136" i="45"/>
  <c r="I138" i="45"/>
  <c r="I139" i="45"/>
  <c r="I141" i="45"/>
  <c r="I35" i="45"/>
  <c r="I36" i="45"/>
  <c r="I37" i="45"/>
  <c r="I39" i="45"/>
  <c r="I41" i="45"/>
  <c r="I42" i="45"/>
  <c r="I43" i="45"/>
  <c r="I45" i="45"/>
  <c r="I47" i="45"/>
  <c r="I48" i="45"/>
  <c r="I49" i="45"/>
  <c r="I50" i="45"/>
  <c r="I51" i="45"/>
  <c r="I53" i="45"/>
  <c r="I54" i="45"/>
  <c r="I9" i="45"/>
  <c r="I10" i="45"/>
  <c r="I12" i="45"/>
  <c r="I14" i="45"/>
  <c r="I15" i="45"/>
  <c r="I16" i="45"/>
  <c r="I18" i="45"/>
  <c r="I19" i="45"/>
  <c r="I20" i="45"/>
  <c r="I21" i="45"/>
  <c r="I22" i="45"/>
  <c r="I23" i="45"/>
  <c r="I24" i="45"/>
  <c r="I26" i="45"/>
  <c r="I27" i="45"/>
  <c r="I114" i="44"/>
  <c r="I115" i="44"/>
  <c r="I116" i="44"/>
  <c r="I117" i="44"/>
  <c r="I118" i="44"/>
  <c r="I119" i="44"/>
  <c r="K121" i="44" s="1"/>
  <c r="I120" i="44"/>
  <c r="I121" i="44"/>
  <c r="I122" i="44"/>
  <c r="I123" i="44"/>
  <c r="I124" i="44"/>
  <c r="I125" i="44"/>
  <c r="I126" i="44"/>
  <c r="I127" i="44"/>
  <c r="I130" i="44"/>
  <c r="I131" i="44"/>
  <c r="I132" i="44"/>
  <c r="I133" i="44"/>
  <c r="I134" i="44"/>
  <c r="I135" i="44"/>
  <c r="I137" i="44"/>
  <c r="I139" i="44"/>
  <c r="I140" i="44"/>
  <c r="I142" i="44"/>
  <c r="I88" i="44"/>
  <c r="I89" i="44"/>
  <c r="I90" i="44"/>
  <c r="I92" i="44"/>
  <c r="I93" i="44"/>
  <c r="I94" i="44"/>
  <c r="I95" i="44"/>
  <c r="I96" i="44"/>
  <c r="I98" i="44"/>
  <c r="I100" i="44"/>
  <c r="I101" i="44"/>
  <c r="I102" i="44"/>
  <c r="I103" i="44"/>
  <c r="I104" i="44"/>
  <c r="I106" i="44"/>
  <c r="I61" i="44"/>
  <c r="I62" i="44"/>
  <c r="I63" i="44"/>
  <c r="I65" i="44"/>
  <c r="I66" i="44"/>
  <c r="I67" i="44"/>
  <c r="I68" i="44"/>
  <c r="I69" i="44"/>
  <c r="I71" i="44"/>
  <c r="I73" i="44"/>
  <c r="I74" i="44"/>
  <c r="I75" i="44"/>
  <c r="I76" i="44"/>
  <c r="I77" i="44"/>
  <c r="I79" i="44"/>
  <c r="I35" i="44"/>
  <c r="I36" i="44"/>
  <c r="I37" i="44"/>
  <c r="I39" i="44"/>
  <c r="I40" i="44"/>
  <c r="I41" i="44"/>
  <c r="I42" i="44"/>
  <c r="I43" i="44"/>
  <c r="I45" i="44"/>
  <c r="I47" i="44"/>
  <c r="I48" i="44"/>
  <c r="I49" i="44"/>
  <c r="I50" i="44"/>
  <c r="I51" i="44"/>
  <c r="I53" i="44"/>
  <c r="I8" i="44"/>
  <c r="I9" i="44"/>
  <c r="I10" i="44"/>
  <c r="I12" i="44"/>
  <c r="I13" i="44"/>
  <c r="I14" i="44"/>
  <c r="I15" i="44"/>
  <c r="I16" i="44"/>
  <c r="I18" i="44"/>
  <c r="I19" i="44"/>
  <c r="I20" i="44"/>
  <c r="I21" i="44"/>
  <c r="I23" i="44"/>
  <c r="I24" i="44"/>
  <c r="I26" i="44"/>
  <c r="I27" i="44"/>
  <c r="K7" i="44"/>
  <c r="I171" i="43"/>
  <c r="I172" i="43"/>
  <c r="I173" i="43"/>
  <c r="I175" i="43"/>
  <c r="I176" i="43"/>
  <c r="I177" i="43"/>
  <c r="I178" i="43"/>
  <c r="I179" i="43"/>
  <c r="I181" i="43"/>
  <c r="I183" i="43"/>
  <c r="I184" i="43"/>
  <c r="I185" i="43"/>
  <c r="I186" i="43"/>
  <c r="I187" i="43"/>
  <c r="I189" i="43"/>
  <c r="I190" i="43"/>
  <c r="I192" i="43"/>
  <c r="I145" i="43"/>
  <c r="I146" i="43"/>
  <c r="I148" i="43"/>
  <c r="I149" i="43"/>
  <c r="I150" i="43"/>
  <c r="I151" i="43"/>
  <c r="I152" i="43"/>
  <c r="I154" i="43"/>
  <c r="I156" i="43"/>
  <c r="I157" i="43"/>
  <c r="I158" i="43"/>
  <c r="I159" i="43"/>
  <c r="I160" i="43"/>
  <c r="I162" i="43"/>
  <c r="I163" i="43"/>
  <c r="I117" i="43"/>
  <c r="I118" i="43"/>
  <c r="I119" i="43"/>
  <c r="I121" i="43"/>
  <c r="I122" i="43"/>
  <c r="I123" i="43"/>
  <c r="I124" i="43"/>
  <c r="I125" i="43"/>
  <c r="I127" i="43"/>
  <c r="I129" i="43"/>
  <c r="I130" i="43"/>
  <c r="I131" i="43"/>
  <c r="I132" i="43"/>
  <c r="I133" i="43"/>
  <c r="I135" i="43"/>
  <c r="I136" i="43"/>
  <c r="I91" i="43"/>
  <c r="I92" i="43"/>
  <c r="I94" i="43"/>
  <c r="I95" i="43"/>
  <c r="I96" i="43"/>
  <c r="I97" i="43"/>
  <c r="I98" i="43"/>
  <c r="I100" i="43"/>
  <c r="I102" i="43"/>
  <c r="I103" i="43"/>
  <c r="I104" i="43"/>
  <c r="I105" i="43"/>
  <c r="I106" i="43"/>
  <c r="I108" i="43"/>
  <c r="I109" i="43"/>
  <c r="I62" i="43"/>
  <c r="I63" i="43"/>
  <c r="I64" i="43"/>
  <c r="I66" i="43"/>
  <c r="I67" i="43"/>
  <c r="I68" i="43"/>
  <c r="I69" i="43"/>
  <c r="I70" i="43"/>
  <c r="I72" i="43"/>
  <c r="I74" i="43"/>
  <c r="I75" i="43"/>
  <c r="I76" i="43"/>
  <c r="I77" i="43"/>
  <c r="I78" i="43"/>
  <c r="I80" i="43"/>
  <c r="I81" i="43"/>
  <c r="I35" i="43"/>
  <c r="I36" i="43"/>
  <c r="I37" i="43"/>
  <c r="I39" i="43"/>
  <c r="I40" i="43"/>
  <c r="I41" i="43"/>
  <c r="I42" i="43"/>
  <c r="I43" i="43"/>
  <c r="I45" i="43"/>
  <c r="I47" i="43"/>
  <c r="I48" i="43"/>
  <c r="I49" i="43"/>
  <c r="I50" i="43"/>
  <c r="I51" i="43"/>
  <c r="I53" i="43"/>
  <c r="I54" i="43"/>
  <c r="I9" i="43"/>
  <c r="I10" i="43"/>
  <c r="I12" i="43"/>
  <c r="I13" i="43"/>
  <c r="I14" i="43"/>
  <c r="I15" i="43"/>
  <c r="I16" i="43"/>
  <c r="I18" i="43"/>
  <c r="I19" i="43"/>
  <c r="I20" i="43"/>
  <c r="I21" i="43"/>
  <c r="I22" i="43"/>
  <c r="I23" i="43"/>
  <c r="I24" i="43"/>
  <c r="I26" i="43"/>
  <c r="I27" i="43"/>
  <c r="J18" i="45" l="1"/>
  <c r="J41" i="47"/>
  <c r="J20" i="44"/>
  <c r="J26" i="43"/>
  <c r="J22" i="43"/>
  <c r="J23" i="43"/>
  <c r="J14" i="43"/>
  <c r="J18" i="43"/>
  <c r="J15" i="43"/>
  <c r="J26" i="44"/>
  <c r="J21" i="44"/>
  <c r="J14" i="45"/>
  <c r="J13" i="43"/>
  <c r="J24" i="44"/>
  <c r="J27" i="45"/>
  <c r="J22" i="45"/>
  <c r="J10" i="43"/>
  <c r="J10" i="44"/>
  <c r="J24" i="43"/>
  <c r="J20" i="43"/>
  <c r="J9" i="43"/>
  <c r="J16" i="44"/>
  <c r="J12" i="44"/>
  <c r="J23" i="45"/>
  <c r="J27" i="43"/>
  <c r="J16" i="43"/>
  <c r="J12" i="43"/>
  <c r="J14" i="44"/>
  <c r="J9" i="44"/>
  <c r="J26" i="45"/>
  <c r="J21" i="45"/>
  <c r="J16" i="45"/>
  <c r="J10" i="45"/>
  <c r="J21" i="43"/>
  <c r="J18" i="44"/>
  <c r="J13" i="44"/>
  <c r="J8" i="44"/>
  <c r="J24" i="45"/>
  <c r="J20" i="45"/>
  <c r="J15" i="45"/>
  <c r="J9" i="45"/>
  <c r="J15" i="44"/>
  <c r="I153" i="43"/>
  <c r="I44" i="43"/>
  <c r="C13" i="143" l="1"/>
  <c r="G13" i="143" s="1"/>
  <c r="I89" i="43"/>
  <c r="I7" i="125"/>
  <c r="I87" i="44"/>
  <c r="I7" i="135"/>
  <c r="I7" i="71"/>
  <c r="I44" i="44"/>
  <c r="I17" i="135"/>
  <c r="I17" i="71"/>
  <c r="I17" i="48"/>
  <c r="I7" i="44"/>
  <c r="I113" i="44"/>
  <c r="C14" i="143"/>
  <c r="F14" i="143" s="1"/>
  <c r="C9" i="143"/>
  <c r="F9" i="143" s="1"/>
  <c r="C8" i="143"/>
  <c r="F8" i="143" s="1"/>
  <c r="I7" i="41"/>
  <c r="I116" i="43"/>
  <c r="I7" i="45"/>
  <c r="I7" i="43"/>
  <c r="I143" i="43"/>
  <c r="I34" i="44"/>
  <c r="I116" i="45"/>
  <c r="I61" i="43"/>
  <c r="I170" i="43"/>
  <c r="I60" i="44"/>
  <c r="I7" i="52"/>
  <c r="I7" i="46"/>
  <c r="I7" i="40"/>
  <c r="I17" i="43"/>
  <c r="I126" i="43"/>
  <c r="I17" i="44"/>
  <c r="I129" i="44"/>
  <c r="J23" i="44" s="1"/>
  <c r="I17" i="52"/>
  <c r="I17" i="46"/>
  <c r="I17" i="47"/>
  <c r="C20" i="143"/>
  <c r="F20" i="143" s="1"/>
  <c r="C19" i="143"/>
  <c r="F19" i="143" s="1"/>
  <c r="I7" i="130"/>
  <c r="I7" i="47"/>
  <c r="I7" i="83"/>
  <c r="I71" i="43"/>
  <c r="I180" i="43"/>
  <c r="I70" i="44"/>
  <c r="I17" i="130"/>
  <c r="I18" i="83"/>
  <c r="I17" i="40"/>
  <c r="I34" i="43"/>
  <c r="I7" i="70"/>
  <c r="I7" i="48"/>
  <c r="I7" i="84"/>
  <c r="I99" i="43"/>
  <c r="I17" i="125"/>
  <c r="I71" i="45"/>
  <c r="I17" i="70"/>
  <c r="I18" i="84"/>
  <c r="I17" i="41"/>
  <c r="I34" i="45"/>
  <c r="I126" i="45"/>
  <c r="I61" i="45"/>
  <c r="I17" i="45"/>
  <c r="I99" i="45"/>
  <c r="I89" i="45"/>
  <c r="I44" i="45"/>
  <c r="K6" i="44"/>
  <c r="K8" i="44" s="1"/>
  <c r="K9" i="44" s="1"/>
  <c r="F13" i="143" l="1"/>
  <c r="J7" i="43"/>
  <c r="J7" i="44"/>
  <c r="G14" i="143"/>
  <c r="G9" i="143"/>
  <c r="G8" i="143"/>
  <c r="J17" i="44"/>
  <c r="J7" i="45"/>
  <c r="J17" i="43"/>
  <c r="J17" i="45"/>
  <c r="C6" i="143" l="1"/>
  <c r="G6" i="143" s="1"/>
  <c r="C16" i="143"/>
  <c r="G16" i="143" s="1"/>
  <c r="F16" i="143" l="1"/>
  <c r="F6" i="143"/>
  <c r="I13" i="47" l="1"/>
  <c r="I13" i="70"/>
  <c r="I66" i="45"/>
  <c r="J12" i="45" s="1"/>
  <c r="C11" i="143" s="1"/>
  <c r="I13" i="48"/>
  <c r="I13" i="52"/>
  <c r="I13" i="45"/>
  <c r="I40" i="45"/>
  <c r="I67" i="45"/>
  <c r="D112" i="44"/>
  <c r="I8" i="45"/>
  <c r="J8" i="45" s="1"/>
  <c r="F11" i="143" l="1"/>
  <c r="G11" i="143"/>
  <c r="J13" i="45"/>
  <c r="C12" i="143" s="1"/>
  <c r="I8" i="130"/>
  <c r="I8" i="52"/>
  <c r="I8" i="125"/>
  <c r="I90" i="43"/>
  <c r="I144" i="43"/>
  <c r="I8" i="43"/>
  <c r="G12" i="143" l="1"/>
  <c r="F12" i="143"/>
  <c r="J8" i="43"/>
  <c r="C7" i="143" s="1"/>
  <c r="D62" i="39"/>
  <c r="G7" i="143" l="1"/>
  <c r="F7" i="143"/>
  <c r="I86" i="138" l="1"/>
  <c r="D26" i="22" l="1"/>
  <c r="C26" i="22"/>
  <c r="E26" i="22"/>
  <c r="D25" i="22" l="1"/>
  <c r="C80" i="24" l="1"/>
  <c r="C25" i="22"/>
  <c r="E25" i="22"/>
  <c r="D2" i="22" l="1"/>
  <c r="F80" i="24"/>
  <c r="D80" i="24"/>
  <c r="G80" i="24"/>
  <c r="E80" i="24"/>
  <c r="B80" i="24"/>
  <c r="I16" i="125"/>
  <c r="C15" i="143" s="1"/>
  <c r="I128" i="44"/>
  <c r="J22" i="44" l="1"/>
  <c r="C21" i="143" s="1"/>
  <c r="G21" i="143" s="1"/>
  <c r="F15" i="143"/>
  <c r="G15" i="143"/>
  <c r="F21" i="143" l="1"/>
  <c r="D124" i="58"/>
  <c r="E124" i="58"/>
  <c r="C124" i="58"/>
  <c r="F124" i="58"/>
  <c r="H124" i="58"/>
  <c r="G124" i="58"/>
  <c r="M124" i="58" l="1"/>
  <c r="N124" i="58"/>
  <c r="J74" i="33"/>
  <c r="K74" i="33" s="1"/>
  <c r="J78" i="33"/>
  <c r="J77" i="33"/>
  <c r="H53" i="142" l="1"/>
  <c r="H56" i="58" s="1"/>
  <c r="G53" i="142"/>
  <c r="G56" i="58" s="1"/>
  <c r="F53" i="142"/>
  <c r="F56" i="58" s="1"/>
  <c r="E53" i="142"/>
  <c r="E56" i="58" s="1"/>
  <c r="D53" i="142"/>
  <c r="C53" i="142"/>
  <c r="C54" i="142" s="1"/>
  <c r="C57" i="58" s="1"/>
  <c r="H48" i="142"/>
  <c r="G48" i="142"/>
  <c r="F48" i="142"/>
  <c r="E48" i="142"/>
  <c r="D48" i="142"/>
  <c r="C48" i="142"/>
  <c r="H40" i="142"/>
  <c r="G40" i="142"/>
  <c r="F40" i="142"/>
  <c r="E40" i="142"/>
  <c r="D40" i="142"/>
  <c r="C40" i="142"/>
  <c r="H21" i="142"/>
  <c r="H23" i="142" s="1"/>
  <c r="G21" i="142"/>
  <c r="G23" i="142" s="1"/>
  <c r="F21" i="142"/>
  <c r="F23" i="142" s="1"/>
  <c r="E21" i="142"/>
  <c r="E23" i="142" s="1"/>
  <c r="D21" i="142"/>
  <c r="D23" i="142" s="1"/>
  <c r="C21" i="142"/>
  <c r="C23" i="142" s="1"/>
  <c r="H55" i="142"/>
  <c r="G55" i="142"/>
  <c r="B29" i="142"/>
  <c r="B33" i="142" s="1"/>
  <c r="B23" i="142"/>
  <c r="B21" i="142"/>
  <c r="B20" i="142"/>
  <c r="B14" i="142"/>
  <c r="H12" i="142"/>
  <c r="H14" i="142" s="1"/>
  <c r="H50" i="142" s="1"/>
  <c r="H56" i="142" s="1"/>
  <c r="G12" i="142"/>
  <c r="G14" i="142" s="1"/>
  <c r="G50" i="142" s="1"/>
  <c r="G56" i="142" s="1"/>
  <c r="F12" i="142"/>
  <c r="F14" i="142" s="1"/>
  <c r="F50" i="142" s="1"/>
  <c r="F56" i="142" s="1"/>
  <c r="E12" i="142"/>
  <c r="E14" i="142" s="1"/>
  <c r="E50" i="142" s="1"/>
  <c r="E56" i="142" s="1"/>
  <c r="D12" i="142"/>
  <c r="D14" i="142" s="1"/>
  <c r="D50" i="142" s="1"/>
  <c r="D56" i="142" s="1"/>
  <c r="C12" i="142"/>
  <c r="C14" i="142" s="1"/>
  <c r="C50" i="142" s="1"/>
  <c r="C56" i="142" s="1"/>
  <c r="H3" i="142"/>
  <c r="G3" i="142"/>
  <c r="F3" i="142"/>
  <c r="E3" i="142"/>
  <c r="D3" i="142"/>
  <c r="C3" i="142"/>
  <c r="B1" i="142"/>
  <c r="F55" i="142" l="1"/>
  <c r="H54" i="142"/>
  <c r="H57" i="58" s="1"/>
  <c r="E55" i="142"/>
  <c r="E54" i="142"/>
  <c r="E57" i="58" s="1"/>
  <c r="E42" i="142"/>
  <c r="E51" i="142" s="1"/>
  <c r="G42" i="142"/>
  <c r="G51" i="142" s="1"/>
  <c r="G54" i="142"/>
  <c r="G57" i="58" s="1"/>
  <c r="F42" i="142"/>
  <c r="F51" i="142" s="1"/>
  <c r="F54" i="142"/>
  <c r="F57" i="58" s="1"/>
  <c r="H42" i="142"/>
  <c r="H51" i="142" s="1"/>
  <c r="C42" i="142"/>
  <c r="C51" i="142" s="1"/>
  <c r="C56" i="58"/>
  <c r="D54" i="142"/>
  <c r="D57" i="58" s="1"/>
  <c r="D56" i="58"/>
  <c r="D42" i="142"/>
  <c r="D51" i="142" s="1"/>
  <c r="C55" i="142"/>
  <c r="D55" i="142"/>
  <c r="F79" i="68" l="1"/>
  <c r="K85" i="68"/>
  <c r="J85" i="68"/>
  <c r="I85" i="68"/>
  <c r="H85" i="68"/>
  <c r="G85" i="68"/>
  <c r="F85" i="68"/>
  <c r="K83" i="68"/>
  <c r="J83" i="68"/>
  <c r="I83" i="68"/>
  <c r="H83" i="68"/>
  <c r="G83" i="68"/>
  <c r="K79" i="68"/>
  <c r="J79" i="68"/>
  <c r="H79" i="68"/>
  <c r="G79" i="68"/>
  <c r="D51" i="39" l="1"/>
  <c r="H165" i="58" l="1"/>
  <c r="E165" i="58" l="1"/>
  <c r="F165" i="58"/>
  <c r="G165" i="58"/>
  <c r="D165" i="58"/>
  <c r="C165" i="58"/>
  <c r="I165" i="58" l="1"/>
  <c r="J8" i="48" l="1"/>
  <c r="K8" i="45"/>
  <c r="L9" i="43"/>
  <c r="L8" i="43"/>
  <c r="K7" i="45" l="1"/>
  <c r="K9" i="45" s="1"/>
  <c r="K10" i="45" s="1"/>
  <c r="L7" i="43"/>
  <c r="L10" i="43" s="1"/>
  <c r="L11" i="43" s="1"/>
  <c r="K7" i="130"/>
  <c r="J7" i="48" l="1"/>
  <c r="J9" i="48" s="1"/>
  <c r="J10" i="48" s="1"/>
  <c r="J17" i="130" l="1"/>
  <c r="J17" i="135"/>
  <c r="J17" i="125"/>
  <c r="G41" i="125" s="1"/>
  <c r="F173" i="45" l="1"/>
  <c r="C216" i="43"/>
  <c r="G160" i="44"/>
  <c r="J22" i="130"/>
  <c r="J13" i="130"/>
  <c r="C218" i="43" l="1"/>
  <c r="J13" i="135" l="1"/>
  <c r="J22" i="135"/>
  <c r="J22" i="125" l="1"/>
  <c r="J13" i="125"/>
  <c r="I147" i="43"/>
  <c r="I11" i="43" l="1"/>
  <c r="I38" i="43" l="1"/>
  <c r="I65" i="43"/>
  <c r="I93" i="43"/>
  <c r="I120" i="43"/>
  <c r="I174" i="43"/>
  <c r="I11" i="44"/>
  <c r="I38" i="44"/>
  <c r="I64" i="44"/>
  <c r="I91" i="44"/>
  <c r="I11" i="47"/>
  <c r="I11" i="48"/>
  <c r="I11" i="40"/>
  <c r="I11" i="41"/>
  <c r="I11" i="135"/>
  <c r="I11" i="52"/>
  <c r="I11" i="130"/>
  <c r="I11" i="70"/>
  <c r="I11" i="71"/>
  <c r="I11" i="83"/>
  <c r="I11" i="84"/>
  <c r="I11" i="45"/>
  <c r="I38" i="45"/>
  <c r="I65" i="45"/>
  <c r="I93" i="45"/>
  <c r="I120" i="45"/>
  <c r="H87" i="24"/>
  <c r="H86" i="24"/>
  <c r="H85" i="24"/>
  <c r="H82" i="24"/>
  <c r="J11" i="43" l="1"/>
  <c r="J11" i="44"/>
  <c r="J11" i="45"/>
  <c r="H48" i="139"/>
  <c r="G48" i="139"/>
  <c r="F48" i="139"/>
  <c r="E48" i="139"/>
  <c r="D48" i="139"/>
  <c r="C48" i="139"/>
  <c r="C10" i="143" l="1"/>
  <c r="F10" i="143" s="1"/>
  <c r="H3" i="138"/>
  <c r="H3" i="141" s="1"/>
  <c r="G3" i="138"/>
  <c r="G3" i="141" s="1"/>
  <c r="F3" i="138"/>
  <c r="F3" i="141" s="1"/>
  <c r="E3" i="138"/>
  <c r="E3" i="141" s="1"/>
  <c r="D3" i="138"/>
  <c r="D3" i="141" s="1"/>
  <c r="C3" i="138"/>
  <c r="C3" i="141" s="1"/>
  <c r="H3" i="140"/>
  <c r="G3" i="140"/>
  <c r="F3" i="140"/>
  <c r="E3" i="140"/>
  <c r="D3" i="140"/>
  <c r="C3" i="140"/>
  <c r="H3" i="139"/>
  <c r="G3" i="139"/>
  <c r="F3" i="139"/>
  <c r="E3" i="139"/>
  <c r="D3" i="139"/>
  <c r="C3" i="139"/>
  <c r="G10" i="143" l="1"/>
  <c r="D41" i="140"/>
  <c r="D60" i="39" l="1"/>
  <c r="H41" i="140"/>
  <c r="G41" i="140"/>
  <c r="F41" i="140"/>
  <c r="E41" i="140"/>
  <c r="C41" i="140"/>
  <c r="D5" i="140"/>
  <c r="C5" i="140"/>
  <c r="C64" i="58" l="1"/>
  <c r="C130" i="58" s="1"/>
  <c r="D80" i="39"/>
  <c r="C74" i="47" l="1"/>
  <c r="K95" i="33" l="1"/>
  <c r="H60" i="139" l="1"/>
  <c r="H28" i="58"/>
  <c r="H134" i="58" s="1"/>
  <c r="H22" i="58"/>
  <c r="H133" i="58" s="1"/>
  <c r="H52" i="140"/>
  <c r="G52" i="140"/>
  <c r="G49" i="140" s="1"/>
  <c r="F52" i="140"/>
  <c r="E52" i="140"/>
  <c r="E49" i="140" s="1"/>
  <c r="D52" i="140"/>
  <c r="D49" i="140" s="1"/>
  <c r="C52" i="140"/>
  <c r="C49" i="140" s="1"/>
  <c r="B1" i="140"/>
  <c r="B1" i="139"/>
  <c r="D42" i="68"/>
  <c r="F63" i="68"/>
  <c r="G62" i="68"/>
  <c r="F62" i="68"/>
  <c r="C30" i="24" l="1"/>
  <c r="H57" i="139"/>
  <c r="H56" i="139"/>
  <c r="F54" i="140"/>
  <c r="F49" i="140"/>
  <c r="H54" i="140"/>
  <c r="H49" i="140"/>
  <c r="H30" i="24"/>
  <c r="L115" i="68"/>
  <c r="D58" i="58"/>
  <c r="D50" i="140"/>
  <c r="G58" i="58"/>
  <c r="G54" i="140"/>
  <c r="E58" i="58"/>
  <c r="E50" i="140"/>
  <c r="E54" i="140"/>
  <c r="F58" i="58"/>
  <c r="H58" i="58"/>
  <c r="C58" i="58"/>
  <c r="H60" i="58"/>
  <c r="H63" i="139"/>
  <c r="E30" i="24" l="1"/>
  <c r="D30" i="24"/>
  <c r="I56" i="58"/>
  <c r="I57" i="58"/>
  <c r="I58" i="58"/>
  <c r="G30" i="24"/>
  <c r="F30" i="24"/>
  <c r="J63" i="68"/>
  <c r="K62" i="68"/>
  <c r="J62" i="68"/>
  <c r="I62" i="68"/>
  <c r="H62" i="68"/>
  <c r="H54" i="58" l="1"/>
  <c r="F54" i="58"/>
  <c r="E54" i="58"/>
  <c r="D54" i="58"/>
  <c r="C54" i="58"/>
  <c r="H21" i="140"/>
  <c r="G21" i="140"/>
  <c r="F21" i="140"/>
  <c r="E21" i="140"/>
  <c r="D21" i="140"/>
  <c r="C21" i="140"/>
  <c r="G60" i="139"/>
  <c r="F60" i="139"/>
  <c r="E60" i="139"/>
  <c r="D60" i="139"/>
  <c r="C60" i="139"/>
  <c r="H22" i="139"/>
  <c r="G22" i="139"/>
  <c r="F22" i="139"/>
  <c r="E22" i="139"/>
  <c r="D22" i="139"/>
  <c r="C22" i="139"/>
  <c r="H21" i="139"/>
  <c r="G21" i="139"/>
  <c r="F21" i="139"/>
  <c r="E21" i="139"/>
  <c r="D21" i="139"/>
  <c r="C21" i="139"/>
  <c r="B29" i="140"/>
  <c r="B33" i="140" s="1"/>
  <c r="B23" i="140"/>
  <c r="B21" i="140"/>
  <c r="B20" i="140"/>
  <c r="B14" i="140"/>
  <c r="B10" i="140"/>
  <c r="C54" i="140"/>
  <c r="D43" i="68"/>
  <c r="B40" i="139"/>
  <c r="B36" i="139"/>
  <c r="B31" i="139"/>
  <c r="B24" i="139"/>
  <c r="B22" i="139"/>
  <c r="B21" i="139"/>
  <c r="B20" i="139"/>
  <c r="D5" i="139"/>
  <c r="C5" i="139"/>
  <c r="D46" i="68"/>
  <c r="E56" i="139" l="1"/>
  <c r="E57" i="139"/>
  <c r="F56" i="139"/>
  <c r="F32" i="24" s="1"/>
  <c r="F57" i="139"/>
  <c r="D56" i="139"/>
  <c r="D32" i="24" s="1"/>
  <c r="D57" i="139"/>
  <c r="G56" i="139"/>
  <c r="G57" i="139"/>
  <c r="C56" i="139"/>
  <c r="C32" i="24" s="1"/>
  <c r="C57" i="139"/>
  <c r="F60" i="58"/>
  <c r="F63" i="139"/>
  <c r="G60" i="58"/>
  <c r="G63" i="139"/>
  <c r="D60" i="58"/>
  <c r="E60" i="58"/>
  <c r="E63" i="139"/>
  <c r="G54" i="58"/>
  <c r="C60" i="58"/>
  <c r="C129" i="58" s="1"/>
  <c r="D31" i="24"/>
  <c r="D54" i="140"/>
  <c r="G62" i="139"/>
  <c r="G61" i="58" s="1"/>
  <c r="C50" i="140"/>
  <c r="C53" i="140" s="1"/>
  <c r="C59" i="58" s="1"/>
  <c r="F62" i="139"/>
  <c r="F61" i="58" s="1"/>
  <c r="H50" i="140"/>
  <c r="H53" i="140" s="1"/>
  <c r="H59" i="58" s="1"/>
  <c r="H31" i="24"/>
  <c r="F31" i="24"/>
  <c r="I31" i="24" s="1"/>
  <c r="G31" i="24"/>
  <c r="D53" i="140"/>
  <c r="D59" i="58" s="1"/>
  <c r="E62" i="139"/>
  <c r="E61" i="58" s="1"/>
  <c r="F64" i="139"/>
  <c r="C31" i="24"/>
  <c r="H62" i="139"/>
  <c r="H61" i="58" s="1"/>
  <c r="H32" i="24"/>
  <c r="E53" i="140"/>
  <c r="E59" i="58" s="1"/>
  <c r="D55" i="140"/>
  <c r="E31" i="24"/>
  <c r="C55" i="140"/>
  <c r="G50" i="140"/>
  <c r="G53" i="140" s="1"/>
  <c r="G59" i="58" s="1"/>
  <c r="C62" i="139"/>
  <c r="C61" i="58" s="1"/>
  <c r="F50" i="140"/>
  <c r="F53" i="140" s="1"/>
  <c r="F59" i="58" s="1"/>
  <c r="I54" i="58" l="1"/>
  <c r="G129" i="58"/>
  <c r="H29" i="24"/>
  <c r="C29" i="24"/>
  <c r="G29" i="24"/>
  <c r="I59" i="58"/>
  <c r="I60" i="58"/>
  <c r="C63" i="139"/>
  <c r="D63" i="139"/>
  <c r="D62" i="139"/>
  <c r="D61" i="58" s="1"/>
  <c r="I61" i="58" s="1"/>
  <c r="E32" i="24"/>
  <c r="E64" i="139"/>
  <c r="G55" i="140"/>
  <c r="H55" i="140"/>
  <c r="G64" i="139"/>
  <c r="G32" i="24"/>
  <c r="I32" i="24" s="1"/>
  <c r="D64" i="139"/>
  <c r="F55" i="140"/>
  <c r="H64" i="139"/>
  <c r="C64" i="139"/>
  <c r="F29" i="24"/>
  <c r="E55" i="140"/>
  <c r="D29" i="24" l="1"/>
  <c r="E29" i="24"/>
  <c r="H22" i="137" l="1"/>
  <c r="H21" i="137"/>
  <c r="G22" i="137"/>
  <c r="G21" i="137"/>
  <c r="F84" i="58" l="1"/>
  <c r="G60" i="137"/>
  <c r="H60" i="137"/>
  <c r="F60" i="137"/>
  <c r="E60" i="137"/>
  <c r="D60" i="137"/>
  <c r="C60" i="137"/>
  <c r="E146" i="58" l="1"/>
  <c r="F146" i="58"/>
  <c r="D146" i="58"/>
  <c r="H48" i="137"/>
  <c r="H57" i="137" s="1"/>
  <c r="H62" i="137" s="1"/>
  <c r="G48" i="137"/>
  <c r="G57" i="137" s="1"/>
  <c r="B40" i="137"/>
  <c r="B36" i="137"/>
  <c r="B31" i="137"/>
  <c r="B24" i="137"/>
  <c r="B22" i="137"/>
  <c r="B21" i="137"/>
  <c r="B20" i="137"/>
  <c r="H5" i="137"/>
  <c r="H56" i="137" s="1"/>
  <c r="G5" i="137"/>
  <c r="G56" i="137" s="1"/>
  <c r="H3" i="137"/>
  <c r="G3" i="137"/>
  <c r="F3" i="137"/>
  <c r="E3" i="137"/>
  <c r="D3" i="137"/>
  <c r="C3" i="137"/>
  <c r="B1" i="137"/>
  <c r="H129" i="58" l="1"/>
  <c r="C146" i="58"/>
  <c r="E129" i="58"/>
  <c r="D129" i="58"/>
  <c r="F129" i="58"/>
  <c r="I62" i="58"/>
  <c r="J54" i="58" s="1"/>
  <c r="H63" i="137"/>
  <c r="H64" i="137"/>
  <c r="G64" i="137"/>
  <c r="G63" i="137"/>
  <c r="G62" i="137"/>
  <c r="M129" i="58" l="1"/>
  <c r="N129" i="58"/>
  <c r="I129" i="58"/>
  <c r="G146" i="58"/>
  <c r="H146" i="58"/>
  <c r="L50" i="68"/>
  <c r="L51" i="68"/>
  <c r="L52" i="68"/>
  <c r="L53" i="68"/>
  <c r="L54" i="68"/>
  <c r="L55" i="68"/>
  <c r="L56" i="68"/>
  <c r="L57" i="68"/>
  <c r="L58" i="68"/>
  <c r="L59" i="68"/>
  <c r="L60" i="68"/>
  <c r="J146" i="58" l="1"/>
  <c r="I146" i="58"/>
  <c r="I63" i="58"/>
  <c r="K18" i="68"/>
  <c r="H32" i="84" s="1"/>
  <c r="J18" i="68"/>
  <c r="G32" i="84" s="1"/>
  <c r="I18" i="68"/>
  <c r="F32" i="84" s="1"/>
  <c r="H18" i="68"/>
  <c r="E32" i="84" s="1"/>
  <c r="G18" i="68"/>
  <c r="D32" i="84" s="1"/>
  <c r="K17" i="68"/>
  <c r="J17" i="68"/>
  <c r="I17" i="68"/>
  <c r="H17" i="68"/>
  <c r="G17" i="68"/>
  <c r="D32" i="83" s="1"/>
  <c r="F18" i="68"/>
  <c r="F17" i="68"/>
  <c r="H16" i="68" l="1"/>
  <c r="I16" i="68"/>
  <c r="J16" i="68"/>
  <c r="L18" i="68"/>
  <c r="F16" i="68"/>
  <c r="C32" i="83"/>
  <c r="G32" i="83"/>
  <c r="K16" i="68"/>
  <c r="E32" i="83"/>
  <c r="F32" i="83"/>
  <c r="H32" i="83"/>
  <c r="L17" i="68"/>
  <c r="G16" i="68"/>
  <c r="C32" i="84"/>
  <c r="I32" i="84" s="1"/>
  <c r="D116" i="33"/>
  <c r="E116" i="33"/>
  <c r="F116" i="33"/>
  <c r="G116" i="33"/>
  <c r="H116" i="33"/>
  <c r="D117" i="33"/>
  <c r="E117" i="33"/>
  <c r="F117" i="33"/>
  <c r="G117" i="33"/>
  <c r="H117" i="33"/>
  <c r="D118" i="33"/>
  <c r="E118" i="33"/>
  <c r="F118" i="33"/>
  <c r="G118" i="33"/>
  <c r="H118" i="33"/>
  <c r="D119" i="33"/>
  <c r="E119" i="33"/>
  <c r="F119" i="33"/>
  <c r="G119" i="33"/>
  <c r="H119" i="33"/>
  <c r="D120" i="33"/>
  <c r="E120" i="33"/>
  <c r="F120" i="33"/>
  <c r="G120" i="33"/>
  <c r="H120" i="33"/>
  <c r="D121" i="33"/>
  <c r="E121" i="33"/>
  <c r="F121" i="33"/>
  <c r="G121" i="33"/>
  <c r="H121" i="33"/>
  <c r="D122" i="33"/>
  <c r="E122" i="33"/>
  <c r="F122" i="33"/>
  <c r="G122" i="33"/>
  <c r="H122" i="33"/>
  <c r="D123" i="33"/>
  <c r="E123" i="33"/>
  <c r="F123" i="33"/>
  <c r="G123" i="33"/>
  <c r="H123" i="33"/>
  <c r="D124" i="33"/>
  <c r="E124" i="33"/>
  <c r="F124" i="33"/>
  <c r="G124" i="33"/>
  <c r="H124" i="33"/>
  <c r="D125" i="33"/>
  <c r="E125" i="33"/>
  <c r="F125" i="33"/>
  <c r="G125" i="33"/>
  <c r="H125" i="33"/>
  <c r="D126" i="33"/>
  <c r="E126" i="33"/>
  <c r="F126" i="33"/>
  <c r="G126" i="33"/>
  <c r="H126" i="33"/>
  <c r="D127" i="33"/>
  <c r="E127" i="33"/>
  <c r="F127" i="33"/>
  <c r="G127" i="33"/>
  <c r="H127" i="33"/>
  <c r="D128" i="33"/>
  <c r="E128" i="33"/>
  <c r="F128" i="33"/>
  <c r="G128" i="33"/>
  <c r="H128" i="33"/>
  <c r="I32" i="83" l="1"/>
  <c r="L16" i="68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16" i="33"/>
  <c r="L61" i="68" l="1"/>
  <c r="J60" i="39" s="1"/>
  <c r="M43" i="68" l="1"/>
  <c r="I47" i="39" l="1"/>
  <c r="H47" i="39"/>
  <c r="G47" i="39"/>
  <c r="F47" i="39"/>
  <c r="E47" i="39"/>
  <c r="I37" i="39"/>
  <c r="H37" i="39"/>
  <c r="G37" i="39"/>
  <c r="F37" i="39"/>
  <c r="E37" i="39"/>
  <c r="D37" i="39"/>
  <c r="I28" i="39"/>
  <c r="H28" i="39"/>
  <c r="G28" i="39"/>
  <c r="F28" i="39"/>
  <c r="E28" i="39"/>
  <c r="D28" i="39"/>
  <c r="I13" i="39"/>
  <c r="H13" i="39"/>
  <c r="G13" i="39"/>
  <c r="F13" i="39"/>
  <c r="E13" i="39"/>
  <c r="D52" i="39" l="1"/>
  <c r="J13" i="39"/>
  <c r="H80" i="24" l="1"/>
  <c r="H34" i="70"/>
  <c r="D28" i="135"/>
  <c r="E28" i="135"/>
  <c r="F28" i="135"/>
  <c r="G28" i="135"/>
  <c r="H28" i="135"/>
  <c r="C28" i="135"/>
  <c r="I28" i="135" l="1"/>
  <c r="K42" i="33"/>
  <c r="J26" i="39" l="1"/>
  <c r="L49" i="68" l="1"/>
  <c r="I96" i="52" l="1"/>
  <c r="D145" i="45"/>
  <c r="E145" i="45"/>
  <c r="F145" i="45"/>
  <c r="G145" i="45"/>
  <c r="H145" i="45"/>
  <c r="C145" i="45"/>
  <c r="D146" i="44"/>
  <c r="E146" i="44"/>
  <c r="F146" i="44"/>
  <c r="G146" i="44"/>
  <c r="H146" i="44"/>
  <c r="C146" i="44"/>
  <c r="D202" i="43"/>
  <c r="E202" i="43"/>
  <c r="F202" i="43"/>
  <c r="G202" i="43"/>
  <c r="H202" i="43"/>
  <c r="C202" i="43"/>
  <c r="F85" i="58"/>
  <c r="D10" i="58" l="1"/>
  <c r="C87" i="52" l="1"/>
  <c r="C88" i="52"/>
  <c r="J14" i="130"/>
  <c r="J38" i="135" l="1"/>
  <c r="J45" i="130"/>
  <c r="C56" i="135" l="1"/>
  <c r="H56" i="135"/>
  <c r="G56" i="135"/>
  <c r="F56" i="135"/>
  <c r="E56" i="135"/>
  <c r="D56" i="135"/>
  <c r="I56" i="135" l="1"/>
  <c r="H52" i="83"/>
  <c r="G52" i="83"/>
  <c r="F52" i="83"/>
  <c r="E52" i="83"/>
  <c r="D52" i="83"/>
  <c r="C52" i="83"/>
  <c r="I52" i="83" l="1"/>
  <c r="L86" i="68"/>
  <c r="M17" i="68" s="1"/>
  <c r="C69" i="58"/>
  <c r="H58" i="135" l="1"/>
  <c r="G58" i="135"/>
  <c r="F58" i="135"/>
  <c r="E58" i="135"/>
  <c r="D58" i="135"/>
  <c r="C58" i="135"/>
  <c r="I58" i="135" l="1"/>
  <c r="K13" i="68"/>
  <c r="H34" i="135" s="1"/>
  <c r="J13" i="68"/>
  <c r="G34" i="135" s="1"/>
  <c r="I13" i="68"/>
  <c r="F34" i="135" s="1"/>
  <c r="H13" i="68"/>
  <c r="E34" i="135" s="1"/>
  <c r="G13" i="68"/>
  <c r="D34" i="135" s="1"/>
  <c r="F13" i="68"/>
  <c r="H31" i="135"/>
  <c r="G31" i="135"/>
  <c r="F31" i="135"/>
  <c r="E31" i="135"/>
  <c r="D31" i="135"/>
  <c r="C31" i="135"/>
  <c r="H30" i="135"/>
  <c r="G30" i="135"/>
  <c r="F30" i="135"/>
  <c r="E30" i="135"/>
  <c r="D30" i="135"/>
  <c r="C30" i="135"/>
  <c r="H6" i="135"/>
  <c r="H54" i="135" s="1"/>
  <c r="G6" i="135"/>
  <c r="G54" i="135" s="1"/>
  <c r="G64" i="135" s="1"/>
  <c r="F6" i="135"/>
  <c r="F54" i="135" s="1"/>
  <c r="F64" i="135" s="1"/>
  <c r="E6" i="135"/>
  <c r="D6" i="135"/>
  <c r="D54" i="135" s="1"/>
  <c r="C6" i="135"/>
  <c r="C54" i="135" s="1"/>
  <c r="H3" i="135"/>
  <c r="G3" i="135"/>
  <c r="F3" i="135"/>
  <c r="E3" i="135"/>
  <c r="D3" i="135"/>
  <c r="C3" i="135"/>
  <c r="L82" i="68"/>
  <c r="I31" i="135" l="1"/>
  <c r="E54" i="135"/>
  <c r="I54" i="135" s="1"/>
  <c r="I6" i="135"/>
  <c r="I30" i="135"/>
  <c r="C64" i="135"/>
  <c r="L13" i="68"/>
  <c r="M13" i="68" s="1"/>
  <c r="C34" i="135"/>
  <c r="I34" i="135" s="1"/>
  <c r="D64" i="135"/>
  <c r="H64" i="135"/>
  <c r="L48" i="68"/>
  <c r="E64" i="135" l="1"/>
  <c r="I64" i="135" s="1"/>
  <c r="D72" i="64"/>
  <c r="E72" i="64"/>
  <c r="F72" i="64"/>
  <c r="G72" i="64"/>
  <c r="H72" i="64"/>
  <c r="C72" i="64"/>
  <c r="D25" i="64"/>
  <c r="E25" i="64"/>
  <c r="F25" i="64"/>
  <c r="G25" i="64"/>
  <c r="H25" i="64"/>
  <c r="C25" i="64"/>
  <c r="D13" i="64"/>
  <c r="E13" i="64"/>
  <c r="F13" i="64"/>
  <c r="G13" i="64"/>
  <c r="H13" i="64"/>
  <c r="C13" i="64"/>
  <c r="F6" i="68"/>
  <c r="I51" i="39" l="1"/>
  <c r="H51" i="39"/>
  <c r="G51" i="39"/>
  <c r="F51" i="39"/>
  <c r="E51" i="39"/>
  <c r="J45" i="39"/>
  <c r="J35" i="39"/>
  <c r="J23" i="39"/>
  <c r="J62" i="39" l="1"/>
  <c r="J80" i="39" s="1"/>
  <c r="J47" i="39"/>
  <c r="J37" i="39"/>
  <c r="J28" i="39"/>
  <c r="J51" i="39"/>
  <c r="F52" i="39"/>
  <c r="G52" i="39"/>
  <c r="E52" i="39"/>
  <c r="H52" i="39"/>
  <c r="I52" i="39"/>
  <c r="D57" i="39"/>
  <c r="J52" i="39" l="1"/>
  <c r="L52" i="39" s="1"/>
  <c r="F64" i="64"/>
  <c r="E64" i="64"/>
  <c r="G63" i="64"/>
  <c r="F63" i="64"/>
  <c r="C63" i="64"/>
  <c r="F62" i="64"/>
  <c r="E62" i="64"/>
  <c r="D62" i="64"/>
  <c r="G49" i="64"/>
  <c r="G50" i="64" s="1"/>
  <c r="F49" i="64"/>
  <c r="F50" i="64" s="1"/>
  <c r="G37" i="64"/>
  <c r="G38" i="64" s="1"/>
  <c r="F37" i="64"/>
  <c r="F38" i="64" s="1"/>
  <c r="F29" i="64"/>
  <c r="C29" i="64"/>
  <c r="G26" i="64"/>
  <c r="F26" i="64"/>
  <c r="E26" i="64"/>
  <c r="H62" i="64"/>
  <c r="G62" i="64"/>
  <c r="E63" i="64"/>
  <c r="D64" i="64"/>
  <c r="C64" i="64"/>
  <c r="H16" i="64"/>
  <c r="H28" i="64" s="1"/>
  <c r="G16" i="64"/>
  <c r="G28" i="64" s="1"/>
  <c r="F16" i="64"/>
  <c r="F28" i="64" s="1"/>
  <c r="E16" i="64"/>
  <c r="D16" i="64"/>
  <c r="C16" i="64"/>
  <c r="C28" i="64" s="1"/>
  <c r="G14" i="64"/>
  <c r="F14" i="64"/>
  <c r="E14" i="64"/>
  <c r="H14" i="64"/>
  <c r="E37" i="64"/>
  <c r="E38" i="64" s="1"/>
  <c r="D37" i="64"/>
  <c r="D38" i="64" s="1"/>
  <c r="C37" i="64"/>
  <c r="C38" i="64" s="1"/>
  <c r="G30" i="64" l="1"/>
  <c r="C39" i="64"/>
  <c r="F30" i="64"/>
  <c r="F65" i="64"/>
  <c r="E65" i="64"/>
  <c r="H30" i="64"/>
  <c r="D28" i="64"/>
  <c r="C49" i="64"/>
  <c r="C50" i="64" s="1"/>
  <c r="C14" i="64"/>
  <c r="G18" i="64" s="1"/>
  <c r="C26" i="64"/>
  <c r="C30" i="64" s="1"/>
  <c r="E28" i="64"/>
  <c r="D49" i="64"/>
  <c r="D50" i="64" s="1"/>
  <c r="D63" i="64"/>
  <c r="D65" i="64" s="1"/>
  <c r="D14" i="64"/>
  <c r="D26" i="64"/>
  <c r="H37" i="64"/>
  <c r="H38" i="64" s="1"/>
  <c r="E49" i="64"/>
  <c r="E50" i="64" s="1"/>
  <c r="C62" i="64"/>
  <c r="C65" i="64" s="1"/>
  <c r="G64" i="64"/>
  <c r="G65" i="64" s="1"/>
  <c r="H64" i="64"/>
  <c r="H49" i="64"/>
  <c r="H50" i="64" s="1"/>
  <c r="H26" i="64"/>
  <c r="H63" i="64"/>
  <c r="G74" i="64" l="1"/>
  <c r="E30" i="64"/>
  <c r="H65" i="64"/>
  <c r="C18" i="64"/>
  <c r="C74" i="64" s="1"/>
  <c r="F18" i="64"/>
  <c r="F74" i="64" s="1"/>
  <c r="H18" i="64"/>
  <c r="H74" i="64" s="1"/>
  <c r="E18" i="64"/>
  <c r="D30" i="64"/>
  <c r="D18" i="64"/>
  <c r="E74" i="64" l="1"/>
  <c r="D74" i="64"/>
  <c r="E127" i="134"/>
  <c r="B48" i="134"/>
  <c r="B39" i="134"/>
  <c r="B30" i="134"/>
  <c r="B124" i="134"/>
  <c r="B126" i="134" s="1"/>
  <c r="B112" i="134"/>
  <c r="B103" i="134"/>
  <c r="B94" i="134"/>
  <c r="B128" i="134" l="1"/>
  <c r="D60" i="45"/>
  <c r="D79" i="45" s="1"/>
  <c r="M75" i="45" s="1"/>
  <c r="E60" i="45"/>
  <c r="E79" i="45" s="1"/>
  <c r="F60" i="45"/>
  <c r="F79" i="45" s="1"/>
  <c r="G60" i="45"/>
  <c r="G79" i="45" s="1"/>
  <c r="H60" i="45"/>
  <c r="H79" i="45" s="1"/>
  <c r="C60" i="45"/>
  <c r="F61" i="134"/>
  <c r="D61" i="134"/>
  <c r="E61" i="134"/>
  <c r="C61" i="134"/>
  <c r="F48" i="134"/>
  <c r="E48" i="134"/>
  <c r="D48" i="134"/>
  <c r="C48" i="134"/>
  <c r="F39" i="134"/>
  <c r="E39" i="134"/>
  <c r="D39" i="134"/>
  <c r="C39" i="134"/>
  <c r="E30" i="134"/>
  <c r="D30" i="134"/>
  <c r="C30" i="134"/>
  <c r="F29" i="134"/>
  <c r="F28" i="134"/>
  <c r="F27" i="134"/>
  <c r="F26" i="134"/>
  <c r="F25" i="134"/>
  <c r="F24" i="134"/>
  <c r="F23" i="134"/>
  <c r="F22" i="134"/>
  <c r="C79" i="45" l="1"/>
  <c r="L75" i="45" s="1"/>
  <c r="I60" i="45"/>
  <c r="F30" i="134"/>
  <c r="I79" i="45" l="1"/>
  <c r="C6" i="130"/>
  <c r="E62" i="39" l="1"/>
  <c r="F62" i="39"/>
  <c r="G62" i="39"/>
  <c r="H62" i="39"/>
  <c r="I62" i="39"/>
  <c r="H131" i="58" l="1"/>
  <c r="G131" i="58" l="1"/>
  <c r="F131" i="58"/>
  <c r="M131" i="58" s="1"/>
  <c r="D131" i="58"/>
  <c r="E131" i="58"/>
  <c r="H50" i="71"/>
  <c r="G50" i="71"/>
  <c r="F50" i="71"/>
  <c r="E50" i="71"/>
  <c r="D50" i="71"/>
  <c r="C50" i="71"/>
  <c r="H61" i="48"/>
  <c r="G61" i="48"/>
  <c r="F61" i="48"/>
  <c r="E61" i="48"/>
  <c r="D61" i="48"/>
  <c r="C61" i="48"/>
  <c r="H60" i="47"/>
  <c r="G60" i="47"/>
  <c r="F60" i="47"/>
  <c r="E60" i="47"/>
  <c r="D60" i="47"/>
  <c r="C60" i="47"/>
  <c r="L100" i="68"/>
  <c r="N131" i="58" l="1"/>
  <c r="I131" i="58"/>
  <c r="I60" i="47"/>
  <c r="I50" i="71"/>
  <c r="I61" i="48"/>
  <c r="G15" i="68"/>
  <c r="H15" i="68"/>
  <c r="I15" i="68"/>
  <c r="J15" i="68"/>
  <c r="K15" i="68"/>
  <c r="F15" i="68"/>
  <c r="L15" i="68" l="1"/>
  <c r="C31" i="47"/>
  <c r="G6" i="68"/>
  <c r="H6" i="68"/>
  <c r="I6" i="68"/>
  <c r="J6" i="68"/>
  <c r="K6" i="68"/>
  <c r="F7" i="68"/>
  <c r="G7" i="68"/>
  <c r="D31" i="48" s="1"/>
  <c r="H7" i="68"/>
  <c r="E31" i="48" s="1"/>
  <c r="I7" i="68"/>
  <c r="F31" i="48" s="1"/>
  <c r="J7" i="68"/>
  <c r="G31" i="48" s="1"/>
  <c r="K7" i="68"/>
  <c r="H31" i="48" s="1"/>
  <c r="F8" i="68"/>
  <c r="C34" i="40" s="1"/>
  <c r="G8" i="68"/>
  <c r="D34" i="40" s="1"/>
  <c r="H8" i="68"/>
  <c r="E34" i="40" s="1"/>
  <c r="I8" i="68"/>
  <c r="F34" i="40" s="1"/>
  <c r="J8" i="68"/>
  <c r="G34" i="40" s="1"/>
  <c r="K8" i="68"/>
  <c r="H34" i="40" s="1"/>
  <c r="F9" i="68"/>
  <c r="C34" i="41" s="1"/>
  <c r="G9" i="68"/>
  <c r="D34" i="41" s="1"/>
  <c r="H9" i="68"/>
  <c r="E34" i="41" s="1"/>
  <c r="I9" i="68"/>
  <c r="F34" i="41" s="1"/>
  <c r="J9" i="68"/>
  <c r="G34" i="41" s="1"/>
  <c r="K9" i="68"/>
  <c r="H34" i="41" s="1"/>
  <c r="F11" i="68"/>
  <c r="G11" i="68"/>
  <c r="H11" i="68"/>
  <c r="I11" i="68"/>
  <c r="J11" i="68"/>
  <c r="K11" i="68"/>
  <c r="F12" i="68"/>
  <c r="G12" i="68"/>
  <c r="H12" i="68"/>
  <c r="I12" i="68"/>
  <c r="J12" i="68"/>
  <c r="K12" i="68"/>
  <c r="F22" i="68"/>
  <c r="G22" i="68"/>
  <c r="H22" i="68"/>
  <c r="I22" i="68"/>
  <c r="J22" i="68"/>
  <c r="K22" i="68"/>
  <c r="F23" i="68"/>
  <c r="C49" i="70" s="1"/>
  <c r="G23" i="68"/>
  <c r="D49" i="70" s="1"/>
  <c r="H23" i="68"/>
  <c r="E49" i="70" s="1"/>
  <c r="I23" i="68"/>
  <c r="F49" i="70" s="1"/>
  <c r="J23" i="68"/>
  <c r="G49" i="70" s="1"/>
  <c r="K23" i="68"/>
  <c r="E26" i="68"/>
  <c r="E31" i="68" s="1"/>
  <c r="E28" i="68"/>
  <c r="E34" i="68" s="1"/>
  <c r="L28" i="68"/>
  <c r="L31" i="68"/>
  <c r="F40" i="68"/>
  <c r="G40" i="68"/>
  <c r="H40" i="68"/>
  <c r="I40" i="68"/>
  <c r="J40" i="68"/>
  <c r="K40" i="68"/>
  <c r="L42" i="68"/>
  <c r="L43" i="68"/>
  <c r="L44" i="68"/>
  <c r="L45" i="68"/>
  <c r="L46" i="68"/>
  <c r="L47" i="68"/>
  <c r="G63" i="68"/>
  <c r="H63" i="68"/>
  <c r="I63" i="68"/>
  <c r="K63" i="68"/>
  <c r="F72" i="68"/>
  <c r="G72" i="68"/>
  <c r="H72" i="68"/>
  <c r="I72" i="68"/>
  <c r="J72" i="68"/>
  <c r="K72" i="68"/>
  <c r="L75" i="68"/>
  <c r="L76" i="68"/>
  <c r="L77" i="68"/>
  <c r="L78" i="68"/>
  <c r="L80" i="68"/>
  <c r="L81" i="68"/>
  <c r="L84" i="68"/>
  <c r="L87" i="68"/>
  <c r="M18" i="68" s="1"/>
  <c r="L89" i="68"/>
  <c r="L90" i="68"/>
  <c r="F91" i="68"/>
  <c r="G91" i="68"/>
  <c r="G93" i="68" s="1"/>
  <c r="G37" i="68" s="1"/>
  <c r="H91" i="68"/>
  <c r="I91" i="68"/>
  <c r="J91" i="68"/>
  <c r="K91" i="68"/>
  <c r="L95" i="68"/>
  <c r="L99" i="68"/>
  <c r="L104" i="68"/>
  <c r="L105" i="68"/>
  <c r="L109" i="68"/>
  <c r="L110" i="68"/>
  <c r="L111" i="68"/>
  <c r="F112" i="68"/>
  <c r="G112" i="68"/>
  <c r="H112" i="68"/>
  <c r="H14" i="68" s="1"/>
  <c r="E31" i="130" s="1"/>
  <c r="I112" i="68"/>
  <c r="I14" i="68" s="1"/>
  <c r="F31" i="130" s="1"/>
  <c r="J112" i="68"/>
  <c r="K112" i="68"/>
  <c r="L6" i="68" l="1"/>
  <c r="I34" i="41"/>
  <c r="I34" i="40"/>
  <c r="L112" i="68"/>
  <c r="M15" i="68"/>
  <c r="L62" i="68"/>
  <c r="H93" i="68"/>
  <c r="H102" i="68" s="1"/>
  <c r="F93" i="68"/>
  <c r="C31" i="48"/>
  <c r="I31" i="48" s="1"/>
  <c r="H31" i="47"/>
  <c r="G31" i="47"/>
  <c r="F31" i="47"/>
  <c r="E31" i="47"/>
  <c r="D31" i="47"/>
  <c r="D45" i="52"/>
  <c r="C45" i="52"/>
  <c r="H63" i="135"/>
  <c r="H69" i="135"/>
  <c r="H40" i="58" s="1"/>
  <c r="H34" i="52"/>
  <c r="H33" i="135"/>
  <c r="H55" i="135" s="1"/>
  <c r="H67" i="135" s="1"/>
  <c r="H22" i="24" s="1"/>
  <c r="G34" i="52"/>
  <c r="G33" i="135"/>
  <c r="G55" i="135" s="1"/>
  <c r="G67" i="135" s="1"/>
  <c r="G22" i="24" s="1"/>
  <c r="H45" i="52"/>
  <c r="F34" i="52"/>
  <c r="F33" i="135"/>
  <c r="F55" i="135" s="1"/>
  <c r="F67" i="135" s="1"/>
  <c r="F22" i="24" s="1"/>
  <c r="E69" i="135"/>
  <c r="E40" i="58" s="1"/>
  <c r="E63" i="135"/>
  <c r="G45" i="52"/>
  <c r="E34" i="52"/>
  <c r="E33" i="135"/>
  <c r="E55" i="135" s="1"/>
  <c r="E67" i="135" s="1"/>
  <c r="E22" i="24" s="1"/>
  <c r="G69" i="135"/>
  <c r="G40" i="58" s="1"/>
  <c r="G63" i="135"/>
  <c r="D69" i="135"/>
  <c r="D40" i="58" s="1"/>
  <c r="D63" i="135"/>
  <c r="F45" i="52"/>
  <c r="D34" i="52"/>
  <c r="D33" i="135"/>
  <c r="D55" i="135" s="1"/>
  <c r="D67" i="135" s="1"/>
  <c r="F69" i="135"/>
  <c r="F40" i="58" s="1"/>
  <c r="F63" i="135"/>
  <c r="C63" i="135"/>
  <c r="C69" i="135"/>
  <c r="E45" i="52"/>
  <c r="C34" i="52"/>
  <c r="C33" i="135"/>
  <c r="I24" i="68"/>
  <c r="J14" i="68"/>
  <c r="G31" i="130" s="1"/>
  <c r="G97" i="68"/>
  <c r="J24" i="68"/>
  <c r="F10" i="68"/>
  <c r="F97" i="68"/>
  <c r="H24" i="68"/>
  <c r="K10" i="68"/>
  <c r="J10" i="68"/>
  <c r="H10" i="68"/>
  <c r="H19" i="68" s="1"/>
  <c r="H97" i="68"/>
  <c r="G10" i="68"/>
  <c r="I10" i="68"/>
  <c r="I19" i="68" s="1"/>
  <c r="I97" i="68"/>
  <c r="L91" i="68"/>
  <c r="K24" i="68"/>
  <c r="H49" i="70"/>
  <c r="I49" i="70" s="1"/>
  <c r="L22" i="68"/>
  <c r="G24" i="68"/>
  <c r="L23" i="68"/>
  <c r="L85" i="68"/>
  <c r="L11" i="68"/>
  <c r="M11" i="68" s="1"/>
  <c r="L12" i="68"/>
  <c r="M12" i="68" s="1"/>
  <c r="L7" i="68"/>
  <c r="M7" i="68" s="1"/>
  <c r="L8" i="68"/>
  <c r="M8" i="68" s="1"/>
  <c r="L9" i="68"/>
  <c r="M9" i="68" s="1"/>
  <c r="F14" i="68"/>
  <c r="L79" i="68"/>
  <c r="F24" i="68"/>
  <c r="C3" i="130"/>
  <c r="D3" i="130"/>
  <c r="E3" i="130"/>
  <c r="F3" i="130"/>
  <c r="G3" i="130"/>
  <c r="H3" i="130"/>
  <c r="C63" i="130"/>
  <c r="D6" i="130"/>
  <c r="E6" i="130"/>
  <c r="E63" i="130" s="1"/>
  <c r="E71" i="130" s="1"/>
  <c r="F6" i="130"/>
  <c r="F63" i="130" s="1"/>
  <c r="G6" i="130"/>
  <c r="G63" i="130" s="1"/>
  <c r="G71" i="130" s="1"/>
  <c r="H6" i="130"/>
  <c r="H63" i="130" s="1"/>
  <c r="C29" i="130"/>
  <c r="D29" i="130"/>
  <c r="D30" i="130" s="1"/>
  <c r="E30" i="130"/>
  <c r="F30" i="130"/>
  <c r="G30" i="130"/>
  <c r="H30" i="130"/>
  <c r="C36" i="130"/>
  <c r="D36" i="130"/>
  <c r="D41" i="130" s="1"/>
  <c r="E36" i="130"/>
  <c r="E41" i="130" s="1"/>
  <c r="F36" i="130"/>
  <c r="F41" i="130" s="1"/>
  <c r="G36" i="130"/>
  <c r="G41" i="130" s="1"/>
  <c r="H36" i="130"/>
  <c r="H41" i="130" s="1"/>
  <c r="C38" i="130"/>
  <c r="D38" i="130"/>
  <c r="E38" i="130"/>
  <c r="F38" i="130"/>
  <c r="G38" i="130"/>
  <c r="H38" i="130"/>
  <c r="C39" i="130"/>
  <c r="D39" i="130"/>
  <c r="E39" i="130"/>
  <c r="F39" i="130"/>
  <c r="G39" i="130"/>
  <c r="H39" i="130"/>
  <c r="C47" i="130"/>
  <c r="D47" i="130"/>
  <c r="E47" i="130"/>
  <c r="F47" i="130"/>
  <c r="G47" i="130"/>
  <c r="H47" i="130"/>
  <c r="C48" i="130"/>
  <c r="D48" i="130"/>
  <c r="E48" i="130"/>
  <c r="F48" i="130"/>
  <c r="G48" i="130"/>
  <c r="H48" i="130"/>
  <c r="C65" i="130"/>
  <c r="D65" i="130"/>
  <c r="E65" i="130"/>
  <c r="F65" i="130"/>
  <c r="G65" i="130"/>
  <c r="H65" i="130"/>
  <c r="C67" i="130"/>
  <c r="D67" i="130"/>
  <c r="E67" i="130"/>
  <c r="F67" i="130"/>
  <c r="F76" i="130" s="1"/>
  <c r="I22" i="24" l="1"/>
  <c r="F37" i="68"/>
  <c r="F102" i="68"/>
  <c r="F107" i="68" s="1"/>
  <c r="H107" i="68"/>
  <c r="H37" i="68"/>
  <c r="I102" i="68"/>
  <c r="I107" i="68" s="1"/>
  <c r="I37" i="68"/>
  <c r="I31" i="47"/>
  <c r="I65" i="130"/>
  <c r="I34" i="52"/>
  <c r="D63" i="130"/>
  <c r="D71" i="130" s="1"/>
  <c r="I6" i="130"/>
  <c r="C76" i="130"/>
  <c r="I48" i="130"/>
  <c r="I39" i="130"/>
  <c r="C41" i="130"/>
  <c r="I41" i="130" s="1"/>
  <c r="I36" i="130"/>
  <c r="C40" i="58"/>
  <c r="I69" i="135"/>
  <c r="C55" i="135"/>
  <c r="C61" i="135" s="1"/>
  <c r="I33" i="135"/>
  <c r="I63" i="135"/>
  <c r="I45" i="52"/>
  <c r="I47" i="130"/>
  <c r="I38" i="130"/>
  <c r="C30" i="130"/>
  <c r="I30" i="130" s="1"/>
  <c r="I29" i="130"/>
  <c r="D22" i="24"/>
  <c r="K67" i="135"/>
  <c r="F96" i="68"/>
  <c r="J19" i="68"/>
  <c r="J26" i="68" s="1"/>
  <c r="J34" i="68" s="1"/>
  <c r="F19" i="68"/>
  <c r="F26" i="68" s="1"/>
  <c r="F34" i="68" s="1"/>
  <c r="J97" i="68"/>
  <c r="M6" i="68"/>
  <c r="D61" i="135"/>
  <c r="I26" i="68"/>
  <c r="I34" i="68" s="1"/>
  <c r="L83" i="68"/>
  <c r="M28" i="68" s="1"/>
  <c r="G102" i="68"/>
  <c r="J93" i="68"/>
  <c r="K93" i="68"/>
  <c r="G14" i="68"/>
  <c r="G19" i="68" s="1"/>
  <c r="G67" i="130"/>
  <c r="G76" i="130" s="1"/>
  <c r="H67" i="130"/>
  <c r="H76" i="130" s="1"/>
  <c r="H42" i="58" s="1"/>
  <c r="K14" i="68"/>
  <c r="H31" i="130" s="1"/>
  <c r="H64" i="130" s="1"/>
  <c r="K97" i="68"/>
  <c r="H26" i="68"/>
  <c r="H34" i="68" s="1"/>
  <c r="L10" i="68"/>
  <c r="M10" i="68" s="1"/>
  <c r="L24" i="68"/>
  <c r="H94" i="68"/>
  <c r="H96" i="68"/>
  <c r="H103" i="68" s="1"/>
  <c r="H106" i="68" s="1"/>
  <c r="I38" i="68"/>
  <c r="I65" i="68" s="1"/>
  <c r="I66" i="68" s="1"/>
  <c r="F29" i="22" s="1"/>
  <c r="I96" i="68"/>
  <c r="I103" i="68" s="1"/>
  <c r="I106" i="68" s="1"/>
  <c r="C31" i="130"/>
  <c r="H38" i="68"/>
  <c r="H65" i="68" s="1"/>
  <c r="H66" i="68" s="1"/>
  <c r="G64" i="130"/>
  <c r="F64" i="130"/>
  <c r="F69" i="130" s="1"/>
  <c r="F38" i="68"/>
  <c r="F65" i="68" s="1"/>
  <c r="F66" i="68" s="1"/>
  <c r="C5" i="24" s="1"/>
  <c r="L63" i="68"/>
  <c r="F94" i="68"/>
  <c r="I94" i="68"/>
  <c r="F71" i="130"/>
  <c r="E64" i="130"/>
  <c r="E69" i="130" s="1"/>
  <c r="E70" i="130"/>
  <c r="H71" i="130"/>
  <c r="C71" i="130"/>
  <c r="C70" i="130"/>
  <c r="F70" i="130"/>
  <c r="E76" i="130"/>
  <c r="D76" i="130"/>
  <c r="F40" i="22" l="1"/>
  <c r="F39" i="22"/>
  <c r="K102" i="68"/>
  <c r="K107" i="68" s="1"/>
  <c r="K37" i="68"/>
  <c r="J102" i="68"/>
  <c r="J107" i="68" s="1"/>
  <c r="J37" i="68"/>
  <c r="D70" i="130"/>
  <c r="I63" i="130"/>
  <c r="I71" i="130"/>
  <c r="C67" i="135"/>
  <c r="I55" i="135"/>
  <c r="I67" i="130"/>
  <c r="C64" i="130"/>
  <c r="C69" i="130" s="1"/>
  <c r="I76" i="130"/>
  <c r="H132" i="58"/>
  <c r="K96" i="68"/>
  <c r="K103" i="68" s="1"/>
  <c r="K106" i="68" s="1"/>
  <c r="J96" i="68"/>
  <c r="J103" i="68" s="1"/>
  <c r="J106" i="68" s="1"/>
  <c r="G94" i="68"/>
  <c r="G107" i="68"/>
  <c r="K19" i="68"/>
  <c r="K26" i="68" s="1"/>
  <c r="K34" i="68" s="1"/>
  <c r="L97" i="68"/>
  <c r="D62" i="135"/>
  <c r="D41" i="58" s="1"/>
  <c r="D151" i="58" s="1"/>
  <c r="H74" i="130"/>
  <c r="C62" i="135"/>
  <c r="C68" i="135"/>
  <c r="H70" i="130"/>
  <c r="H68" i="130"/>
  <c r="D68" i="135"/>
  <c r="G61" i="135"/>
  <c r="G62" i="135"/>
  <c r="G41" i="58" s="1"/>
  <c r="G151" i="58" s="1"/>
  <c r="G68" i="135"/>
  <c r="G70" i="130"/>
  <c r="G68" i="130"/>
  <c r="J38" i="68"/>
  <c r="J65" i="68" s="1"/>
  <c r="J66" i="68" s="1"/>
  <c r="E61" i="135"/>
  <c r="E62" i="135"/>
  <c r="E41" i="58" s="1"/>
  <c r="E151" i="58" s="1"/>
  <c r="E68" i="135"/>
  <c r="F62" i="135"/>
  <c r="F41" i="58" s="1"/>
  <c r="F151" i="58" s="1"/>
  <c r="F68" i="135"/>
  <c r="F61" i="135"/>
  <c r="J94" i="68"/>
  <c r="H68" i="135"/>
  <c r="H61" i="135"/>
  <c r="H62" i="135"/>
  <c r="H41" i="58" s="1"/>
  <c r="H151" i="58" s="1"/>
  <c r="H75" i="130"/>
  <c r="K38" i="68"/>
  <c r="K65" i="68" s="1"/>
  <c r="K66" i="68" s="1"/>
  <c r="D31" i="130"/>
  <c r="D64" i="130" s="1"/>
  <c r="D69" i="130" s="1"/>
  <c r="G26" i="68"/>
  <c r="G34" i="68" s="1"/>
  <c r="G38" i="68"/>
  <c r="G65" i="68" s="1"/>
  <c r="G66" i="68" s="1"/>
  <c r="G96" i="68"/>
  <c r="G103" i="68" s="1"/>
  <c r="G106" i="68" s="1"/>
  <c r="L14" i="68"/>
  <c r="H69" i="130"/>
  <c r="H43" i="58" s="1"/>
  <c r="H125" i="58" s="1"/>
  <c r="I125" i="58" s="1"/>
  <c r="L93" i="68"/>
  <c r="N93" i="68" s="1"/>
  <c r="N98" i="68" s="1"/>
  <c r="K94" i="68"/>
  <c r="F74" i="130"/>
  <c r="G74" i="130"/>
  <c r="E74" i="130"/>
  <c r="F68" i="130"/>
  <c r="F75" i="130"/>
  <c r="G75" i="130"/>
  <c r="G69" i="130"/>
  <c r="F103" i="68"/>
  <c r="E75" i="130"/>
  <c r="E68" i="130"/>
  <c r="M110" i="68" l="1"/>
  <c r="L37" i="68"/>
  <c r="C74" i="130"/>
  <c r="K56" i="130" s="1"/>
  <c r="K57" i="130" s="1"/>
  <c r="C75" i="130"/>
  <c r="C68" i="130"/>
  <c r="I68" i="135"/>
  <c r="I61" i="135"/>
  <c r="I70" i="130"/>
  <c r="I31" i="130"/>
  <c r="C22" i="24"/>
  <c r="I67" i="135"/>
  <c r="I69" i="130"/>
  <c r="I64" i="130"/>
  <c r="C41" i="58"/>
  <c r="C151" i="58" s="1"/>
  <c r="I151" i="58" s="1"/>
  <c r="I62" i="135"/>
  <c r="L107" i="68"/>
  <c r="L102" i="68"/>
  <c r="M102" i="68" s="1"/>
  <c r="H140" i="58"/>
  <c r="D74" i="130"/>
  <c r="K74" i="130" s="1"/>
  <c r="M14" i="68"/>
  <c r="M19" i="68" s="1"/>
  <c r="L19" i="68"/>
  <c r="L26" i="68" s="1"/>
  <c r="L94" i="68"/>
  <c r="D75" i="130"/>
  <c r="D68" i="130"/>
  <c r="L34" i="68"/>
  <c r="L38" i="68"/>
  <c r="L96" i="68"/>
  <c r="L65" i="68"/>
  <c r="L66" i="68"/>
  <c r="L103" i="68"/>
  <c r="F106" i="68"/>
  <c r="L106" i="68" s="1"/>
  <c r="D54" i="41"/>
  <c r="E54" i="41"/>
  <c r="F54" i="41"/>
  <c r="G54" i="41"/>
  <c r="H54" i="41"/>
  <c r="C54" i="41"/>
  <c r="M108" i="68" l="1"/>
  <c r="I68" i="130"/>
  <c r="I75" i="130"/>
  <c r="I74" i="130"/>
  <c r="I54" i="41"/>
  <c r="C6" i="47"/>
  <c r="C6" i="46" l="1"/>
  <c r="C115" i="43" l="1"/>
  <c r="C142" i="43"/>
  <c r="C161" i="43" l="1"/>
  <c r="M157" i="43" s="1"/>
  <c r="D72" i="52"/>
  <c r="E72" i="52"/>
  <c r="F72" i="52"/>
  <c r="G72" i="52"/>
  <c r="H72" i="52"/>
  <c r="C72" i="52"/>
  <c r="I72" i="52" l="1"/>
  <c r="B122" i="128"/>
  <c r="B124" i="128" s="1"/>
  <c r="B110" i="128"/>
  <c r="B101" i="128"/>
  <c r="B92" i="128"/>
  <c r="E61" i="128"/>
  <c r="F61" i="128" s="1"/>
  <c r="D60" i="128"/>
  <c r="C60" i="128"/>
  <c r="B60" i="128"/>
  <c r="B62" i="128" s="1"/>
  <c r="E59" i="128"/>
  <c r="F59" i="128" s="1"/>
  <c r="E58" i="128"/>
  <c r="F58" i="128" s="1"/>
  <c r="E57" i="128"/>
  <c r="F57" i="128" s="1"/>
  <c r="E56" i="128"/>
  <c r="F56" i="128" s="1"/>
  <c r="E55" i="128"/>
  <c r="F55" i="128" s="1"/>
  <c r="E54" i="128"/>
  <c r="F54" i="128" s="1"/>
  <c r="E53" i="128"/>
  <c r="F53" i="128" s="1"/>
  <c r="E52" i="128"/>
  <c r="F52" i="128" s="1"/>
  <c r="E51" i="128"/>
  <c r="B48" i="128"/>
  <c r="E47" i="128"/>
  <c r="F47" i="128" s="1"/>
  <c r="E46" i="128"/>
  <c r="F46" i="128" s="1"/>
  <c r="E45" i="128"/>
  <c r="F45" i="128" s="1"/>
  <c r="E44" i="128"/>
  <c r="F44" i="128" s="1"/>
  <c r="E43" i="128"/>
  <c r="F43" i="128" s="1"/>
  <c r="B39" i="128"/>
  <c r="E38" i="128"/>
  <c r="F38" i="128" s="1"/>
  <c r="E37" i="128"/>
  <c r="F37" i="128" s="1"/>
  <c r="E36" i="128"/>
  <c r="F36" i="128" s="1"/>
  <c r="E35" i="128"/>
  <c r="E34" i="128"/>
  <c r="F34" i="128" s="1"/>
  <c r="D30" i="128"/>
  <c r="C30" i="128"/>
  <c r="B30" i="128"/>
  <c r="E29" i="128"/>
  <c r="F29" i="128" s="1"/>
  <c r="E28" i="128"/>
  <c r="F28" i="128" s="1"/>
  <c r="E27" i="128"/>
  <c r="F27" i="128" s="1"/>
  <c r="E26" i="128"/>
  <c r="F26" i="128" s="1"/>
  <c r="E25" i="128"/>
  <c r="F25" i="128" s="1"/>
  <c r="E24" i="128"/>
  <c r="F24" i="128" s="1"/>
  <c r="E23" i="128"/>
  <c r="F23" i="128" s="1"/>
  <c r="E22" i="128"/>
  <c r="F14" i="128"/>
  <c r="E14" i="128"/>
  <c r="D14" i="128"/>
  <c r="C14" i="128"/>
  <c r="B14" i="128"/>
  <c r="E60" i="128" l="1"/>
  <c r="F60" i="128" s="1"/>
  <c r="E39" i="128"/>
  <c r="F39" i="128" s="1"/>
  <c r="E30" i="128"/>
  <c r="F30" i="128" s="1"/>
  <c r="E48" i="128"/>
  <c r="F48" i="128" s="1"/>
  <c r="B127" i="128"/>
  <c r="C119" i="128" s="1"/>
  <c r="D119" i="128" s="1"/>
  <c r="C63" i="128"/>
  <c r="B128" i="128"/>
  <c r="F22" i="128"/>
  <c r="F35" i="128"/>
  <c r="F51" i="128"/>
  <c r="E62" i="128" l="1"/>
  <c r="F62" i="128" s="1"/>
  <c r="C97" i="128"/>
  <c r="D97" i="128" s="1"/>
  <c r="C88" i="128"/>
  <c r="D88" i="128" s="1"/>
  <c r="C89" i="128"/>
  <c r="D89" i="128" s="1"/>
  <c r="C121" i="128"/>
  <c r="D121" i="128" s="1"/>
  <c r="C99" i="128"/>
  <c r="D99" i="128" s="1"/>
  <c r="C91" i="128"/>
  <c r="D91" i="128" s="1"/>
  <c r="C108" i="128"/>
  <c r="D108" i="128" s="1"/>
  <c r="C96" i="128"/>
  <c r="D96" i="128" s="1"/>
  <c r="C86" i="128"/>
  <c r="D86" i="128" s="1"/>
  <c r="C114" i="128"/>
  <c r="D114" i="128" s="1"/>
  <c r="C100" i="128"/>
  <c r="D100" i="128" s="1"/>
  <c r="C123" i="128"/>
  <c r="D123" i="128" s="1"/>
  <c r="C120" i="128"/>
  <c r="D120" i="128" s="1"/>
  <c r="G120" i="128" s="1"/>
  <c r="C105" i="128"/>
  <c r="D105" i="128" s="1"/>
  <c r="C107" i="128"/>
  <c r="D107" i="128" s="1"/>
  <c r="C117" i="128"/>
  <c r="D117" i="128" s="1"/>
  <c r="C90" i="128"/>
  <c r="D90" i="128" s="1"/>
  <c r="C118" i="128"/>
  <c r="D118" i="128" s="1"/>
  <c r="C84" i="128"/>
  <c r="D84" i="128" s="1"/>
  <c r="C113" i="128"/>
  <c r="C87" i="128"/>
  <c r="D87" i="128" s="1"/>
  <c r="C109" i="128"/>
  <c r="D109" i="128" s="1"/>
  <c r="C115" i="128"/>
  <c r="D115" i="128" s="1"/>
  <c r="C85" i="128"/>
  <c r="D85" i="128" s="1"/>
  <c r="C116" i="128"/>
  <c r="D116" i="128" s="1"/>
  <c r="C106" i="128"/>
  <c r="D106" i="128" s="1"/>
  <c r="C98" i="128"/>
  <c r="D98" i="128" s="1"/>
  <c r="E63" i="128" l="1"/>
  <c r="C92" i="128"/>
  <c r="F120" i="128"/>
  <c r="C110" i="128"/>
  <c r="C124" i="128"/>
  <c r="C101" i="128"/>
  <c r="D113" i="128"/>
  <c r="C127" i="128" l="1"/>
  <c r="H45" i="46"/>
  <c r="H6" i="52"/>
  <c r="H70" i="52" s="1"/>
  <c r="H143" i="44" l="1"/>
  <c r="G143" i="44"/>
  <c r="F143" i="44"/>
  <c r="E143" i="44"/>
  <c r="D143" i="44"/>
  <c r="C143" i="44"/>
  <c r="I143" i="44" l="1"/>
  <c r="H112" i="44"/>
  <c r="H136" i="44" s="1"/>
  <c r="G112" i="44"/>
  <c r="G136" i="44" s="1"/>
  <c r="F112" i="44"/>
  <c r="F136" i="44" s="1"/>
  <c r="E112" i="44"/>
  <c r="E136" i="44" s="1"/>
  <c r="E138" i="44" s="1"/>
  <c r="D136" i="44"/>
  <c r="L133" i="44" s="1"/>
  <c r="C112" i="44"/>
  <c r="C136" i="44" l="1"/>
  <c r="I136" i="44" s="1"/>
  <c r="I112" i="44"/>
  <c r="D138" i="44"/>
  <c r="F138" i="44"/>
  <c r="G138" i="44"/>
  <c r="H138" i="44"/>
  <c r="C138" i="44" l="1"/>
  <c r="I138" i="44" s="1"/>
  <c r="K133" i="44"/>
  <c r="C16" i="105"/>
  <c r="D16" i="105"/>
  <c r="E16" i="105"/>
  <c r="F16" i="105"/>
  <c r="G16" i="105"/>
  <c r="B16" i="105"/>
  <c r="G18" i="105"/>
  <c r="F18" i="105"/>
  <c r="E18" i="105"/>
  <c r="D18" i="105"/>
  <c r="C18" i="105"/>
  <c r="B18" i="105"/>
  <c r="G17" i="105"/>
  <c r="F17" i="105"/>
  <c r="E17" i="105"/>
  <c r="D17" i="105"/>
  <c r="C17" i="105"/>
  <c r="B17" i="105"/>
  <c r="G15" i="105"/>
  <c r="F15" i="105"/>
  <c r="E15" i="105"/>
  <c r="D15" i="105"/>
  <c r="C15" i="105"/>
  <c r="B15" i="105"/>
  <c r="G8" i="105"/>
  <c r="G6" i="105" s="1"/>
  <c r="F8" i="105"/>
  <c r="F6" i="105" s="1"/>
  <c r="E8" i="105"/>
  <c r="E6" i="105" s="1"/>
  <c r="D8" i="105"/>
  <c r="D6" i="105" s="1"/>
  <c r="C8" i="105"/>
  <c r="C6" i="105" s="1"/>
  <c r="B8" i="105"/>
  <c r="B6" i="105" s="1"/>
  <c r="G5" i="105"/>
  <c r="F5" i="105"/>
  <c r="E5" i="105"/>
  <c r="D5" i="105"/>
  <c r="C5" i="105"/>
  <c r="B5" i="105"/>
  <c r="D4" i="105" l="1"/>
  <c r="G38" i="127" s="1"/>
  <c r="E4" i="105"/>
  <c r="G39" i="127" s="1"/>
  <c r="H16" i="105"/>
  <c r="B80" i="127" s="1"/>
  <c r="C4" i="105"/>
  <c r="G37" i="127" s="1"/>
  <c r="G4" i="105"/>
  <c r="G41" i="127" s="1"/>
  <c r="B4" i="105"/>
  <c r="F4" i="105"/>
  <c r="G40" i="127" s="1"/>
  <c r="G36" i="127" l="1"/>
  <c r="H49" i="127" s="1"/>
  <c r="C25" i="127"/>
  <c r="C26" i="127"/>
  <c r="C27" i="127"/>
  <c r="A36" i="127"/>
  <c r="A37" i="127"/>
  <c r="A38" i="127"/>
  <c r="H63" i="127"/>
  <c r="A39" i="127"/>
  <c r="A40" i="127"/>
  <c r="H53" i="127"/>
  <c r="A41" i="127"/>
  <c r="C41" i="127"/>
  <c r="D54" i="127" s="1"/>
  <c r="H50" i="127"/>
  <c r="H51" i="127"/>
  <c r="H52" i="127"/>
  <c r="H54" i="127"/>
  <c r="H62" i="127"/>
  <c r="H64" i="127"/>
  <c r="H65" i="127"/>
  <c r="H66" i="127"/>
  <c r="D41" i="127" l="1"/>
  <c r="E41" i="127" s="1"/>
  <c r="H41" i="127" s="1"/>
  <c r="I41" i="127" s="1"/>
  <c r="D66" i="127"/>
  <c r="E66" i="127" s="1"/>
  <c r="F66" i="127" s="1"/>
  <c r="I66" i="127" s="1"/>
  <c r="J66" i="127" s="1"/>
  <c r="H61" i="127"/>
  <c r="E54" i="127"/>
  <c r="F54" i="127" s="1"/>
  <c r="C6" i="48"/>
  <c r="I54" i="127" l="1"/>
  <c r="J54" i="127" s="1"/>
  <c r="C2" i="119"/>
  <c r="C30" i="82" l="1"/>
  <c r="C31" i="82" s="1"/>
  <c r="C54" i="70" l="1"/>
  <c r="D54" i="70"/>
  <c r="E54" i="70"/>
  <c r="F54" i="70"/>
  <c r="G54" i="70"/>
  <c r="H54" i="70"/>
  <c r="H44" i="58" s="1"/>
  <c r="I54" i="70" l="1"/>
  <c r="D22" i="58"/>
  <c r="D133" i="58" s="1"/>
  <c r="E22" i="58"/>
  <c r="E133" i="58" s="1"/>
  <c r="F22" i="58"/>
  <c r="F133" i="58" s="1"/>
  <c r="G22" i="58"/>
  <c r="G133" i="58" s="1"/>
  <c r="C22" i="58"/>
  <c r="D28" i="58"/>
  <c r="D134" i="58" s="1"/>
  <c r="E28" i="58"/>
  <c r="E134" i="58" s="1"/>
  <c r="F28" i="58"/>
  <c r="F134" i="58" s="1"/>
  <c r="G28" i="58"/>
  <c r="G134" i="58" s="1"/>
  <c r="C28" i="58"/>
  <c r="C134" i="58" s="1"/>
  <c r="C133" i="58" l="1"/>
  <c r="I23" i="58"/>
  <c r="M133" i="58"/>
  <c r="M134" i="58"/>
  <c r="N133" i="58"/>
  <c r="N134" i="58"/>
  <c r="I134" i="58"/>
  <c r="D32" i="106"/>
  <c r="C106" i="105" l="1"/>
  <c r="D106" i="105"/>
  <c r="E106" i="105"/>
  <c r="F106" i="105"/>
  <c r="G106" i="105"/>
  <c r="B106" i="105"/>
  <c r="D53" i="97" l="1"/>
  <c r="E53" i="97"/>
  <c r="F53" i="97"/>
  <c r="G53" i="97"/>
  <c r="H53" i="97"/>
  <c r="C53" i="97"/>
  <c r="D3" i="121" l="1"/>
  <c r="E3" i="121"/>
  <c r="F3" i="121"/>
  <c r="G3" i="121"/>
  <c r="H3" i="121"/>
  <c r="C3" i="121"/>
  <c r="D32" i="121"/>
  <c r="E32" i="121"/>
  <c r="F32" i="121"/>
  <c r="G32" i="121"/>
  <c r="H32" i="121"/>
  <c r="C32" i="121"/>
  <c r="C34" i="121" s="1"/>
  <c r="C53" i="121" s="1"/>
  <c r="D37" i="121"/>
  <c r="E37" i="121"/>
  <c r="F37" i="121"/>
  <c r="G37" i="121"/>
  <c r="H37" i="121"/>
  <c r="H38" i="121" s="1"/>
  <c r="C37" i="121"/>
  <c r="H36" i="121"/>
  <c r="H55" i="121" s="1"/>
  <c r="G36" i="121"/>
  <c r="G55" i="121" s="1"/>
  <c r="F36" i="121"/>
  <c r="F55" i="121" s="1"/>
  <c r="E36" i="121"/>
  <c r="E55" i="121" s="1"/>
  <c r="D36" i="121"/>
  <c r="D55" i="121" s="1"/>
  <c r="C36" i="121"/>
  <c r="C55" i="121" s="1"/>
  <c r="H29" i="121"/>
  <c r="G29" i="121"/>
  <c r="F29" i="121"/>
  <c r="E29" i="121"/>
  <c r="D29" i="121"/>
  <c r="C29" i="121"/>
  <c r="H23" i="121"/>
  <c r="G23" i="121"/>
  <c r="F23" i="121"/>
  <c r="E23" i="121"/>
  <c r="D23" i="121"/>
  <c r="C23" i="121"/>
  <c r="H17" i="121"/>
  <c r="G17" i="121"/>
  <c r="F17" i="121"/>
  <c r="E17" i="121"/>
  <c r="D17" i="121"/>
  <c r="C17" i="121"/>
  <c r="D11" i="121"/>
  <c r="F35" i="121" l="1"/>
  <c r="F54" i="121" s="1"/>
  <c r="D35" i="121"/>
  <c r="D54" i="121" s="1"/>
  <c r="H35" i="121"/>
  <c r="H54" i="121" s="1"/>
  <c r="H57" i="121"/>
  <c r="G38" i="121"/>
  <c r="G56" i="121"/>
  <c r="F56" i="121"/>
  <c r="C56" i="121"/>
  <c r="E56" i="121"/>
  <c r="H56" i="121"/>
  <c r="D56" i="121"/>
  <c r="D34" i="121"/>
  <c r="D53" i="121" s="1"/>
  <c r="C35" i="121"/>
  <c r="C54" i="121" s="1"/>
  <c r="E35" i="121"/>
  <c r="E54" i="121" s="1"/>
  <c r="F38" i="121"/>
  <c r="G35" i="121"/>
  <c r="G54" i="121" s="1"/>
  <c r="D38" i="121"/>
  <c r="E38" i="121"/>
  <c r="E11" i="121"/>
  <c r="F57" i="121" l="1"/>
  <c r="G57" i="121"/>
  <c r="E57" i="121"/>
  <c r="D57" i="121"/>
  <c r="C38" i="121"/>
  <c r="E34" i="121"/>
  <c r="E53" i="121" s="1"/>
  <c r="F11" i="121"/>
  <c r="C57" i="121" l="1"/>
  <c r="G11" i="121"/>
  <c r="F34" i="121"/>
  <c r="F53" i="121" s="1"/>
  <c r="G34" i="121" l="1"/>
  <c r="G53" i="121" s="1"/>
  <c r="H11" i="121"/>
  <c r="H34" i="121" s="1"/>
  <c r="H53" i="121" s="1"/>
  <c r="G6" i="125" l="1"/>
  <c r="H6" i="125"/>
  <c r="H25" i="125" l="1"/>
  <c r="G25" i="125"/>
  <c r="F6" i="125"/>
  <c r="F25" i="125" s="1"/>
  <c r="E6" i="125"/>
  <c r="E25" i="125" s="1"/>
  <c r="D6" i="125"/>
  <c r="D25" i="125" s="1"/>
  <c r="L27" i="125" s="1"/>
  <c r="C6" i="125"/>
  <c r="H3" i="125"/>
  <c r="G3" i="125"/>
  <c r="F3" i="125"/>
  <c r="E3" i="125"/>
  <c r="D3" i="125"/>
  <c r="C3" i="125"/>
  <c r="C25" i="125" l="1"/>
  <c r="C32" i="125" s="1"/>
  <c r="I6" i="125"/>
  <c r="E28" i="125"/>
  <c r="E32" i="125"/>
  <c r="E16" i="24" s="1"/>
  <c r="F28" i="125"/>
  <c r="F32" i="125"/>
  <c r="F16" i="24" s="1"/>
  <c r="G28" i="125"/>
  <c r="G32" i="125"/>
  <c r="G16" i="24" s="1"/>
  <c r="D28" i="125"/>
  <c r="D32" i="125"/>
  <c r="D16" i="24" s="1"/>
  <c r="H28" i="125"/>
  <c r="H32" i="125"/>
  <c r="H16" i="24" s="1"/>
  <c r="C28" i="125" l="1"/>
  <c r="I28" i="125" s="1"/>
  <c r="I25" i="125"/>
  <c r="K27" i="125"/>
  <c r="C16" i="24"/>
  <c r="I32" i="125"/>
  <c r="D15" i="94"/>
  <c r="E15" i="94"/>
  <c r="G15" i="94"/>
  <c r="F15" i="94"/>
  <c r="H15" i="94"/>
  <c r="C15" i="94" l="1"/>
  <c r="F36" i="50"/>
  <c r="G36" i="50"/>
  <c r="H36" i="50"/>
  <c r="E36" i="50"/>
  <c r="D36" i="50"/>
  <c r="C36" i="50"/>
  <c r="D3" i="50" l="1"/>
  <c r="E3" i="50"/>
  <c r="F3" i="50"/>
  <c r="G3" i="50"/>
  <c r="H3" i="50"/>
  <c r="C3" i="50"/>
  <c r="D3" i="120"/>
  <c r="E3" i="120"/>
  <c r="F3" i="120"/>
  <c r="G3" i="120"/>
  <c r="H3" i="120"/>
  <c r="C3" i="120"/>
  <c r="D3" i="64" l="1"/>
  <c r="E3" i="64"/>
  <c r="F3" i="64"/>
  <c r="G3" i="64"/>
  <c r="H3" i="64"/>
  <c r="C3" i="64"/>
  <c r="A79" i="63"/>
  <c r="D3" i="63"/>
  <c r="E3" i="63"/>
  <c r="F3" i="63"/>
  <c r="G3" i="63"/>
  <c r="H3" i="63"/>
  <c r="C3" i="63"/>
  <c r="A78" i="63"/>
  <c r="A77" i="63"/>
  <c r="D6" i="84" l="1"/>
  <c r="D5" i="84" s="1"/>
  <c r="E6" i="84"/>
  <c r="F6" i="84"/>
  <c r="F5" i="84" s="1"/>
  <c r="G6" i="84"/>
  <c r="G5" i="84" s="1"/>
  <c r="H6" i="84"/>
  <c r="H5" i="84" s="1"/>
  <c r="C6" i="84"/>
  <c r="C5" i="84" s="1"/>
  <c r="D6" i="82"/>
  <c r="D5" i="82" s="1"/>
  <c r="E6" i="82"/>
  <c r="E5" i="82" s="1"/>
  <c r="F6" i="82"/>
  <c r="F5" i="82" s="1"/>
  <c r="G6" i="82"/>
  <c r="G5" i="82" s="1"/>
  <c r="H6" i="82"/>
  <c r="H5" i="82" s="1"/>
  <c r="C6" i="82"/>
  <c r="C5" i="82" s="1"/>
  <c r="D6" i="83"/>
  <c r="E6" i="83"/>
  <c r="G6" i="83"/>
  <c r="H6" i="83"/>
  <c r="C6" i="83"/>
  <c r="E5" i="84" l="1"/>
  <c r="I6" i="84"/>
  <c r="I6" i="83"/>
  <c r="D34" i="24"/>
  <c r="E34" i="24"/>
  <c r="F34" i="24"/>
  <c r="G34" i="24"/>
  <c r="H34" i="24"/>
  <c r="C34" i="24"/>
  <c r="D37" i="120" l="1"/>
  <c r="E37" i="120"/>
  <c r="F37" i="120"/>
  <c r="G37" i="120"/>
  <c r="H37" i="120"/>
  <c r="C37" i="120"/>
  <c r="D22" i="120" l="1"/>
  <c r="E22" i="120"/>
  <c r="F22" i="120"/>
  <c r="G22" i="120"/>
  <c r="H22" i="120"/>
  <c r="C22" i="120"/>
  <c r="H17" i="120"/>
  <c r="G17" i="120"/>
  <c r="F17" i="120"/>
  <c r="E17" i="120"/>
  <c r="D17" i="120"/>
  <c r="C17" i="120"/>
  <c r="A45" i="120"/>
  <c r="A44" i="120"/>
  <c r="A43" i="120"/>
  <c r="A42" i="120"/>
  <c r="A41" i="120"/>
  <c r="H36" i="120"/>
  <c r="G36" i="120"/>
  <c r="F36" i="120"/>
  <c r="E36" i="120"/>
  <c r="D36" i="120"/>
  <c r="C36" i="120"/>
  <c r="H32" i="120"/>
  <c r="G32" i="120"/>
  <c r="F32" i="120"/>
  <c r="E32" i="120"/>
  <c r="D32" i="120"/>
  <c r="D34" i="120" s="1"/>
  <c r="C32" i="120"/>
  <c r="C34" i="120" s="1"/>
  <c r="H29" i="120"/>
  <c r="G29" i="120"/>
  <c r="F29" i="120"/>
  <c r="E29" i="120"/>
  <c r="D29" i="120"/>
  <c r="C29" i="120"/>
  <c r="H23" i="120"/>
  <c r="G23" i="120"/>
  <c r="F23" i="120"/>
  <c r="E23" i="120"/>
  <c r="D23" i="120"/>
  <c r="C23" i="120"/>
  <c r="C29" i="63"/>
  <c r="C28" i="63"/>
  <c r="D19" i="63"/>
  <c r="E19" i="63" s="1"/>
  <c r="F19" i="63" s="1"/>
  <c r="G19" i="63" s="1"/>
  <c r="H19" i="63" s="1"/>
  <c r="E35" i="120" l="1"/>
  <c r="D52" i="97"/>
  <c r="D40" i="120"/>
  <c r="D39" i="120"/>
  <c r="C52" i="97"/>
  <c r="C40" i="120"/>
  <c r="C39" i="120"/>
  <c r="F35" i="120"/>
  <c r="C35" i="120"/>
  <c r="G35" i="120"/>
  <c r="D35" i="120"/>
  <c r="H35" i="120"/>
  <c r="F34" i="120"/>
  <c r="E34" i="120"/>
  <c r="E38" i="120"/>
  <c r="F38" i="120"/>
  <c r="C38" i="120"/>
  <c r="G38" i="120"/>
  <c r="F52" i="97" l="1"/>
  <c r="F40" i="120"/>
  <c r="F39" i="120"/>
  <c r="E52" i="97"/>
  <c r="E40" i="120"/>
  <c r="E39" i="120"/>
  <c r="H38" i="120"/>
  <c r="D38" i="120"/>
  <c r="G34" i="120"/>
  <c r="H34" i="120"/>
  <c r="H52" i="97" l="1"/>
  <c r="H40" i="120"/>
  <c r="H39" i="120"/>
  <c r="G52" i="97"/>
  <c r="G39" i="120"/>
  <c r="G40" i="120"/>
  <c r="D85" i="119" l="1"/>
  <c r="D84" i="119"/>
  <c r="D83" i="119"/>
  <c r="D79" i="119"/>
  <c r="D78" i="119"/>
  <c r="D77" i="119"/>
  <c r="I68" i="119"/>
  <c r="H68" i="119"/>
  <c r="G68" i="119"/>
  <c r="F68" i="119"/>
  <c r="D68" i="119"/>
  <c r="I67" i="119"/>
  <c r="H67" i="119"/>
  <c r="G67" i="119"/>
  <c r="F67" i="119"/>
  <c r="D67" i="119"/>
  <c r="I63" i="119"/>
  <c r="H63" i="119"/>
  <c r="G63" i="119"/>
  <c r="F63" i="119"/>
  <c r="D63" i="119"/>
  <c r="I62" i="119"/>
  <c r="H62" i="119"/>
  <c r="G62" i="119"/>
  <c r="F62" i="119"/>
  <c r="D62" i="119"/>
  <c r="I58" i="119"/>
  <c r="H58" i="119"/>
  <c r="G58" i="119"/>
  <c r="F58" i="119"/>
  <c r="D58" i="119"/>
  <c r="I57" i="119"/>
  <c r="H57" i="119"/>
  <c r="G57" i="119"/>
  <c r="F57" i="119"/>
  <c r="D57" i="119"/>
  <c r="I41" i="119"/>
  <c r="H41" i="119"/>
  <c r="G41" i="119"/>
  <c r="F41" i="119"/>
  <c r="E41" i="119"/>
  <c r="D41" i="119"/>
  <c r="I27" i="119"/>
  <c r="H27" i="119"/>
  <c r="G27" i="119"/>
  <c r="F27" i="119"/>
  <c r="E27" i="119"/>
  <c r="D27" i="119"/>
  <c r="I14" i="119"/>
  <c r="H14" i="119"/>
  <c r="G14" i="119"/>
  <c r="F14" i="119"/>
  <c r="E14" i="119"/>
  <c r="D14" i="119"/>
  <c r="B92" i="117"/>
  <c r="B91" i="117"/>
  <c r="B90" i="117"/>
  <c r="C87" i="117"/>
  <c r="H61" i="118"/>
  <c r="G61" i="118"/>
  <c r="F61" i="118"/>
  <c r="E61" i="118"/>
  <c r="C61" i="118"/>
  <c r="H55" i="118"/>
  <c r="G55" i="118"/>
  <c r="F55" i="118"/>
  <c r="E55" i="118"/>
  <c r="C55" i="118"/>
  <c r="H49" i="118"/>
  <c r="G49" i="118"/>
  <c r="F49" i="118"/>
  <c r="E49" i="118"/>
  <c r="C49" i="118"/>
  <c r="D25" i="118"/>
  <c r="B22" i="118"/>
  <c r="B18" i="118"/>
  <c r="J11" i="118"/>
  <c r="J7" i="118"/>
  <c r="K5" i="118"/>
  <c r="G5" i="118" s="1"/>
  <c r="K4" i="118"/>
  <c r="H4" i="118" s="1"/>
  <c r="H66" i="118" s="1"/>
  <c r="H3" i="118"/>
  <c r="H17" i="118" s="1"/>
  <c r="G3" i="118"/>
  <c r="G17" i="118" s="1"/>
  <c r="F3" i="118"/>
  <c r="F39" i="118" s="1"/>
  <c r="E3" i="118"/>
  <c r="E17" i="118" s="1"/>
  <c r="D3" i="118"/>
  <c r="D17" i="118" s="1"/>
  <c r="C3" i="118"/>
  <c r="C17" i="118" s="1"/>
  <c r="H5" i="117"/>
  <c r="H17" i="117" s="1"/>
  <c r="G5" i="117"/>
  <c r="G44" i="117" s="1"/>
  <c r="F5" i="117"/>
  <c r="F17" i="117" s="1"/>
  <c r="E5" i="117"/>
  <c r="E17" i="117" s="1"/>
  <c r="D5" i="117"/>
  <c r="D17" i="117" s="1"/>
  <c r="C5" i="117"/>
  <c r="C17" i="117" s="1"/>
  <c r="H64" i="23"/>
  <c r="C90" i="117" l="1"/>
  <c r="F59" i="119"/>
  <c r="H64" i="119"/>
  <c r="F69" i="119"/>
  <c r="G64" i="119"/>
  <c r="D69" i="119"/>
  <c r="I69" i="119"/>
  <c r="G59" i="119"/>
  <c r="J14" i="119"/>
  <c r="J27" i="119"/>
  <c r="J41" i="119"/>
  <c r="D64" i="119"/>
  <c r="H59" i="119"/>
  <c r="H69" i="119"/>
  <c r="G69" i="119"/>
  <c r="D59" i="119"/>
  <c r="I59" i="119"/>
  <c r="I64" i="119"/>
  <c r="F64" i="119"/>
  <c r="C91" i="117"/>
  <c r="C92" i="117"/>
  <c r="E4" i="118"/>
  <c r="E66" i="118" s="1"/>
  <c r="D28" i="117"/>
  <c r="H44" i="117"/>
  <c r="F28" i="117"/>
  <c r="D44" i="117"/>
  <c r="H28" i="117"/>
  <c r="F44" i="117"/>
  <c r="D49" i="118"/>
  <c r="D55" i="118"/>
  <c r="D61" i="118"/>
  <c r="G11" i="118"/>
  <c r="F4" i="118"/>
  <c r="F66" i="118" s="1"/>
  <c r="D5" i="118"/>
  <c r="D67" i="118" s="1"/>
  <c r="C4" i="118"/>
  <c r="C66" i="118" s="1"/>
  <c r="G4" i="118"/>
  <c r="G66" i="118" s="1"/>
  <c r="E5" i="118"/>
  <c r="E67" i="118" s="1"/>
  <c r="D4" i="118"/>
  <c r="D66" i="118" s="1"/>
  <c r="H5" i="118"/>
  <c r="H67" i="118" s="1"/>
  <c r="G21" i="118"/>
  <c r="G27" i="118"/>
  <c r="G33" i="118"/>
  <c r="G39" i="118"/>
  <c r="H27" i="118"/>
  <c r="H33" i="118"/>
  <c r="H39" i="118"/>
  <c r="C11" i="118"/>
  <c r="C21" i="118"/>
  <c r="C27" i="118"/>
  <c r="C33" i="118"/>
  <c r="C39" i="118"/>
  <c r="F11" i="118"/>
  <c r="F21" i="118"/>
  <c r="D27" i="118"/>
  <c r="D33" i="118"/>
  <c r="D39" i="118"/>
  <c r="G67" i="118"/>
  <c r="F5" i="118"/>
  <c r="D11" i="118"/>
  <c r="H11" i="118"/>
  <c r="D21" i="118"/>
  <c r="H21" i="118"/>
  <c r="E27" i="118"/>
  <c r="E33" i="118"/>
  <c r="E39" i="118"/>
  <c r="F17" i="118"/>
  <c r="C5" i="118"/>
  <c r="E11" i="118"/>
  <c r="E21" i="118"/>
  <c r="F27" i="118"/>
  <c r="F33" i="118"/>
  <c r="G17" i="117"/>
  <c r="E28" i="117"/>
  <c r="E44" i="117"/>
  <c r="C28" i="117"/>
  <c r="G28" i="117"/>
  <c r="C44" i="117"/>
  <c r="D73" i="119" l="1"/>
  <c r="D71" i="119"/>
  <c r="D72" i="119"/>
  <c r="F67" i="118"/>
  <c r="C67" i="118"/>
  <c r="G79" i="116" l="1"/>
  <c r="F79" i="116"/>
  <c r="E79" i="116"/>
  <c r="D79" i="116"/>
  <c r="C79" i="116"/>
  <c r="B79" i="116"/>
  <c r="G78" i="116"/>
  <c r="F78" i="116"/>
  <c r="E78" i="116"/>
  <c r="D78" i="116"/>
  <c r="C78" i="116"/>
  <c r="B78" i="116"/>
  <c r="G77" i="116"/>
  <c r="F77" i="116"/>
  <c r="E77" i="116"/>
  <c r="D77" i="116"/>
  <c r="C77" i="116"/>
  <c r="B77" i="116"/>
  <c r="G74" i="116"/>
  <c r="F74" i="116"/>
  <c r="E74" i="116"/>
  <c r="D74" i="116"/>
  <c r="C74" i="116"/>
  <c r="B74" i="116"/>
  <c r="G73" i="116"/>
  <c r="F73" i="116"/>
  <c r="E73" i="116"/>
  <c r="D73" i="116"/>
  <c r="C73" i="116"/>
  <c r="B73" i="116"/>
  <c r="G72" i="116"/>
  <c r="F72" i="116"/>
  <c r="E72" i="116"/>
  <c r="D72" i="116"/>
  <c r="C72" i="116"/>
  <c r="B72" i="116"/>
  <c r="G66" i="116"/>
  <c r="G29" i="116" s="1"/>
  <c r="F66" i="116"/>
  <c r="F29" i="116" s="1"/>
  <c r="E66" i="116"/>
  <c r="E29" i="116" s="1"/>
  <c r="D66" i="116"/>
  <c r="D29" i="116" s="1"/>
  <c r="C66" i="116"/>
  <c r="C29" i="116" s="1"/>
  <c r="B66" i="116"/>
  <c r="B29" i="116" s="1"/>
  <c r="G61" i="116"/>
  <c r="F61" i="116"/>
  <c r="E61" i="116"/>
  <c r="D61" i="116"/>
  <c r="C61" i="116"/>
  <c r="B61" i="116"/>
  <c r="G57" i="116"/>
  <c r="F57" i="116"/>
  <c r="E57" i="116"/>
  <c r="D57" i="116"/>
  <c r="C57" i="116"/>
  <c r="B57" i="116"/>
  <c r="G51" i="116"/>
  <c r="G27" i="116" s="1"/>
  <c r="F51" i="116"/>
  <c r="F27" i="116" s="1"/>
  <c r="E51" i="116"/>
  <c r="E27" i="116" s="1"/>
  <c r="D51" i="116"/>
  <c r="D27" i="116" s="1"/>
  <c r="C51" i="116"/>
  <c r="C27" i="116" s="1"/>
  <c r="B51" i="116"/>
  <c r="B27" i="116" s="1"/>
  <c r="G46" i="116"/>
  <c r="G26" i="116" s="1"/>
  <c r="F46" i="116"/>
  <c r="F26" i="116" s="1"/>
  <c r="E46" i="116"/>
  <c r="E26" i="116" s="1"/>
  <c r="D46" i="116"/>
  <c r="D26" i="116" s="1"/>
  <c r="C46" i="116"/>
  <c r="C26" i="116" s="1"/>
  <c r="B46" i="116"/>
  <c r="B26" i="116" s="1"/>
  <c r="G41" i="116"/>
  <c r="F41" i="116"/>
  <c r="E41" i="116"/>
  <c r="D41" i="116"/>
  <c r="C41" i="116"/>
  <c r="B41" i="116"/>
  <c r="G37" i="116"/>
  <c r="F37" i="116"/>
  <c r="E37" i="116"/>
  <c r="D37" i="116"/>
  <c r="C37" i="116"/>
  <c r="B37" i="116"/>
  <c r="G14" i="116"/>
  <c r="F14" i="116"/>
  <c r="E14" i="116"/>
  <c r="D14" i="116"/>
  <c r="C14" i="116"/>
  <c r="B14" i="116"/>
  <c r="G13" i="116"/>
  <c r="F13" i="116"/>
  <c r="E13" i="116"/>
  <c r="D13" i="116"/>
  <c r="C13" i="116"/>
  <c r="B13" i="116"/>
  <c r="G12" i="116"/>
  <c r="G22" i="116" s="1"/>
  <c r="G32" i="116" s="1"/>
  <c r="G70" i="116" s="1"/>
  <c r="F12" i="116"/>
  <c r="F22" i="116" s="1"/>
  <c r="F32" i="116" s="1"/>
  <c r="F70" i="116" s="1"/>
  <c r="E12" i="116"/>
  <c r="E22" i="116" s="1"/>
  <c r="E32" i="116" s="1"/>
  <c r="E70" i="116" s="1"/>
  <c r="D12" i="116"/>
  <c r="D22" i="116" s="1"/>
  <c r="D32" i="116" s="1"/>
  <c r="D70" i="116" s="1"/>
  <c r="C12" i="116"/>
  <c r="C22" i="116" s="1"/>
  <c r="C32" i="116" s="1"/>
  <c r="C70" i="116" s="1"/>
  <c r="B12" i="116"/>
  <c r="B22" i="116" s="1"/>
  <c r="B32" i="116" s="1"/>
  <c r="B70" i="116" s="1"/>
  <c r="M9" i="116"/>
  <c r="L9" i="116"/>
  <c r="K9" i="116"/>
  <c r="J9" i="116"/>
  <c r="I9" i="116"/>
  <c r="H9" i="116"/>
  <c r="I5" i="116"/>
  <c r="G5" i="116"/>
  <c r="F5" i="116"/>
  <c r="E5" i="116"/>
  <c r="D5" i="116"/>
  <c r="C5" i="116"/>
  <c r="B5" i="116"/>
  <c r="G4" i="116"/>
  <c r="F4" i="116"/>
  <c r="E4" i="116"/>
  <c r="D4" i="116"/>
  <c r="C4" i="116"/>
  <c r="B4" i="116"/>
  <c r="C115" i="115"/>
  <c r="AH12" i="115"/>
  <c r="AB12" i="115"/>
  <c r="V12" i="115"/>
  <c r="P12" i="115"/>
  <c r="J12" i="115"/>
  <c r="D12" i="115"/>
  <c r="AH11" i="115"/>
  <c r="AB11" i="115"/>
  <c r="V11" i="115"/>
  <c r="P11" i="115"/>
  <c r="J11" i="115"/>
  <c r="D11" i="115"/>
  <c r="AH10" i="115"/>
  <c r="AB10" i="115"/>
  <c r="V10" i="115"/>
  <c r="P10" i="115"/>
  <c r="J10" i="115"/>
  <c r="D10" i="115"/>
  <c r="C85" i="114"/>
  <c r="C84" i="114"/>
  <c r="C83" i="114"/>
  <c r="C79" i="114"/>
  <c r="C78" i="114"/>
  <c r="C77" i="114"/>
  <c r="H68" i="114"/>
  <c r="G68" i="114"/>
  <c r="F68" i="114"/>
  <c r="E68" i="114"/>
  <c r="C68" i="114"/>
  <c r="H67" i="114"/>
  <c r="G67" i="114"/>
  <c r="F67" i="114"/>
  <c r="E67" i="114"/>
  <c r="C67" i="114"/>
  <c r="H63" i="114"/>
  <c r="G63" i="114"/>
  <c r="F63" i="114"/>
  <c r="E63" i="114"/>
  <c r="C63" i="114"/>
  <c r="H62" i="114"/>
  <c r="G62" i="114"/>
  <c r="F62" i="114"/>
  <c r="E62" i="114"/>
  <c r="C62" i="114"/>
  <c r="H58" i="114"/>
  <c r="G58" i="114"/>
  <c r="F58" i="114"/>
  <c r="E58" i="114"/>
  <c r="C58" i="114"/>
  <c r="H57" i="114"/>
  <c r="G57" i="114"/>
  <c r="F57" i="114"/>
  <c r="E57" i="114"/>
  <c r="C57" i="114"/>
  <c r="H41" i="114"/>
  <c r="G41" i="114"/>
  <c r="F41" i="114"/>
  <c r="E41" i="114"/>
  <c r="D41" i="114"/>
  <c r="C41" i="114"/>
  <c r="H27" i="114"/>
  <c r="G27" i="114"/>
  <c r="F27" i="114"/>
  <c r="E27" i="114"/>
  <c r="D27" i="114"/>
  <c r="C27" i="114"/>
  <c r="H14" i="114"/>
  <c r="G14" i="114"/>
  <c r="F14" i="114"/>
  <c r="E14" i="114"/>
  <c r="D14" i="114"/>
  <c r="C14" i="114"/>
  <c r="A2" i="114"/>
  <c r="F84" i="116" l="1"/>
  <c r="E83" i="116"/>
  <c r="G84" i="116"/>
  <c r="G25" i="116"/>
  <c r="G23" i="116" s="1"/>
  <c r="G28" i="116"/>
  <c r="G24" i="116" s="1"/>
  <c r="G75" i="116"/>
  <c r="N74" i="116" s="1"/>
  <c r="B84" i="116"/>
  <c r="B25" i="116"/>
  <c r="B23" i="116" s="1"/>
  <c r="F25" i="116"/>
  <c r="F23" i="116" s="1"/>
  <c r="B28" i="116"/>
  <c r="B24" i="116" s="1"/>
  <c r="F28" i="116"/>
  <c r="F24" i="116" s="1"/>
  <c r="E80" i="116"/>
  <c r="L79" i="116" s="1"/>
  <c r="D25" i="116"/>
  <c r="D23" i="116" s="1"/>
  <c r="D28" i="116"/>
  <c r="D24" i="116" s="1"/>
  <c r="C25" i="116"/>
  <c r="C23" i="116" s="1"/>
  <c r="C28" i="116"/>
  <c r="C24" i="116" s="1"/>
  <c r="E25" i="116"/>
  <c r="E23" i="116" s="1"/>
  <c r="E28" i="116"/>
  <c r="E24" i="116" s="1"/>
  <c r="C80" i="116"/>
  <c r="J78" i="116" s="1"/>
  <c r="D82" i="116"/>
  <c r="B80" i="116"/>
  <c r="I79" i="116" s="1"/>
  <c r="F80" i="116"/>
  <c r="M79" i="116" s="1"/>
  <c r="D75" i="116"/>
  <c r="K73" i="116" s="1"/>
  <c r="G80" i="116"/>
  <c r="N79" i="116" s="1"/>
  <c r="G69" i="114"/>
  <c r="I14" i="114"/>
  <c r="I41" i="114"/>
  <c r="F59" i="114"/>
  <c r="C64" i="114"/>
  <c r="H64" i="114"/>
  <c r="F64" i="114"/>
  <c r="E64" i="114"/>
  <c r="C69" i="114"/>
  <c r="H69" i="114"/>
  <c r="G59" i="114"/>
  <c r="F69" i="114"/>
  <c r="I27" i="114"/>
  <c r="E59" i="114"/>
  <c r="C59" i="114"/>
  <c r="H59" i="114"/>
  <c r="G64" i="114"/>
  <c r="E69" i="114"/>
  <c r="K70" i="116"/>
  <c r="D89" i="116"/>
  <c r="J70" i="116"/>
  <c r="C89" i="116"/>
  <c r="E89" i="116"/>
  <c r="L70" i="116"/>
  <c r="N70" i="116"/>
  <c r="G89" i="116"/>
  <c r="I70" i="116"/>
  <c r="B89" i="116"/>
  <c r="M70" i="116"/>
  <c r="F89" i="116"/>
  <c r="E82" i="116"/>
  <c r="B83" i="116"/>
  <c r="F83" i="116"/>
  <c r="C84" i="116"/>
  <c r="E75" i="116"/>
  <c r="L72" i="116" s="1"/>
  <c r="D80" i="116"/>
  <c r="K77" i="116" s="1"/>
  <c r="B82" i="116"/>
  <c r="F82" i="116"/>
  <c r="C83" i="116"/>
  <c r="G83" i="116"/>
  <c r="D84" i="116"/>
  <c r="B75" i="116"/>
  <c r="I72" i="116" s="1"/>
  <c r="F75" i="116"/>
  <c r="M73" i="116" s="1"/>
  <c r="C82" i="116"/>
  <c r="G82" i="116"/>
  <c r="D83" i="116"/>
  <c r="E84" i="116"/>
  <c r="C75" i="116"/>
  <c r="J74" i="116" s="1"/>
  <c r="A101" i="111"/>
  <c r="C99" i="113"/>
  <c r="J87" i="113"/>
  <c r="I87" i="113"/>
  <c r="AH12" i="113"/>
  <c r="AB12" i="113"/>
  <c r="V12" i="113"/>
  <c r="P12" i="113"/>
  <c r="J12" i="113"/>
  <c r="D12" i="113"/>
  <c r="AH11" i="113"/>
  <c r="AB11" i="113"/>
  <c r="V11" i="113"/>
  <c r="P11" i="113"/>
  <c r="J11" i="113"/>
  <c r="D11" i="113"/>
  <c r="AH10" i="113"/>
  <c r="AB10" i="113"/>
  <c r="V10" i="113"/>
  <c r="P10" i="113"/>
  <c r="J10" i="113"/>
  <c r="D10" i="113"/>
  <c r="H119" i="112"/>
  <c r="G119" i="112"/>
  <c r="F119" i="112"/>
  <c r="E119" i="112"/>
  <c r="D119" i="112"/>
  <c r="C99" i="112"/>
  <c r="AH12" i="112"/>
  <c r="AB12" i="112"/>
  <c r="V12" i="112"/>
  <c r="P12" i="112"/>
  <c r="J12" i="112"/>
  <c r="D12" i="112"/>
  <c r="AH11" i="112"/>
  <c r="AB11" i="112"/>
  <c r="V11" i="112"/>
  <c r="P11" i="112"/>
  <c r="J11" i="112"/>
  <c r="D11" i="112"/>
  <c r="AH10" i="112"/>
  <c r="AB10" i="112"/>
  <c r="V10" i="112"/>
  <c r="P10" i="112"/>
  <c r="J10" i="112"/>
  <c r="D10" i="112"/>
  <c r="H102" i="111"/>
  <c r="G102" i="111"/>
  <c r="F102" i="111"/>
  <c r="E102" i="111"/>
  <c r="D102" i="111"/>
  <c r="C98" i="111"/>
  <c r="J86" i="111"/>
  <c r="I86" i="111"/>
  <c r="AH12" i="111"/>
  <c r="AB12" i="111"/>
  <c r="V12" i="111"/>
  <c r="P12" i="111"/>
  <c r="J12" i="111"/>
  <c r="D12" i="111"/>
  <c r="AH11" i="111"/>
  <c r="AB11" i="111"/>
  <c r="V11" i="111"/>
  <c r="P11" i="111"/>
  <c r="J11" i="111"/>
  <c r="D11" i="111"/>
  <c r="AH10" i="111"/>
  <c r="AB10" i="111"/>
  <c r="V10" i="111"/>
  <c r="P10" i="111"/>
  <c r="J10" i="111"/>
  <c r="D10" i="111"/>
  <c r="N72" i="116" l="1"/>
  <c r="N73" i="116"/>
  <c r="M78" i="116"/>
  <c r="L78" i="116"/>
  <c r="L77" i="116"/>
  <c r="M77" i="116"/>
  <c r="I77" i="116"/>
  <c r="I78" i="116"/>
  <c r="L74" i="116"/>
  <c r="I74" i="116"/>
  <c r="J79" i="116"/>
  <c r="G85" i="116"/>
  <c r="K72" i="116"/>
  <c r="K74" i="116"/>
  <c r="J77" i="116"/>
  <c r="M74" i="116"/>
  <c r="D85" i="116"/>
  <c r="K82" i="116" s="1"/>
  <c r="N77" i="116"/>
  <c r="N78" i="116"/>
  <c r="C71" i="114"/>
  <c r="C72" i="114"/>
  <c r="C73" i="114"/>
  <c r="C85" i="116"/>
  <c r="J83" i="116" s="1"/>
  <c r="J72" i="116"/>
  <c r="K78" i="116"/>
  <c r="L73" i="116"/>
  <c r="J73" i="116"/>
  <c r="I73" i="116"/>
  <c r="F85" i="116"/>
  <c r="M84" i="116" s="1"/>
  <c r="M72" i="116"/>
  <c r="B85" i="116"/>
  <c r="I84" i="116" s="1"/>
  <c r="E85" i="116"/>
  <c r="L83" i="116" s="1"/>
  <c r="K79" i="116"/>
  <c r="O78" i="116" l="1"/>
  <c r="O77" i="116"/>
  <c r="O79" i="116"/>
  <c r="O74" i="116"/>
  <c r="K84" i="116"/>
  <c r="K83" i="116"/>
  <c r="J84" i="116"/>
  <c r="J82" i="116"/>
  <c r="I82" i="116"/>
  <c r="O73" i="116"/>
  <c r="O72" i="116"/>
  <c r="L82" i="116"/>
  <c r="I83" i="116"/>
  <c r="M82" i="116"/>
  <c r="L84" i="116"/>
  <c r="M83" i="116"/>
  <c r="C6" i="113"/>
  <c r="D6" i="113"/>
  <c r="G6" i="113"/>
  <c r="H6" i="113" l="1"/>
  <c r="AI11" i="113" s="1"/>
  <c r="K12" i="113"/>
  <c r="K10" i="113"/>
  <c r="K11" i="113"/>
  <c r="AC12" i="113"/>
  <c r="AC10" i="113"/>
  <c r="AC11" i="113"/>
  <c r="E12" i="113"/>
  <c r="E10" i="113"/>
  <c r="E11" i="113"/>
  <c r="F6" i="113"/>
  <c r="E6" i="113"/>
  <c r="AI12" i="113" l="1"/>
  <c r="AI10" i="113"/>
  <c r="Q11" i="113"/>
  <c r="Q12" i="113"/>
  <c r="Q10" i="113"/>
  <c r="I6" i="113"/>
  <c r="W11" i="113"/>
  <c r="W12" i="113"/>
  <c r="W10" i="113"/>
  <c r="A2" i="109"/>
  <c r="C85" i="109"/>
  <c r="C84" i="109"/>
  <c r="C83" i="109"/>
  <c r="C79" i="109"/>
  <c r="C78" i="109"/>
  <c r="C77" i="109"/>
  <c r="H68" i="109"/>
  <c r="G68" i="109"/>
  <c r="F68" i="109"/>
  <c r="E68" i="109"/>
  <c r="C68" i="109"/>
  <c r="H67" i="109"/>
  <c r="G67" i="109"/>
  <c r="F67" i="109"/>
  <c r="E67" i="109"/>
  <c r="C67" i="109"/>
  <c r="H63" i="109"/>
  <c r="G63" i="109"/>
  <c r="F63" i="109"/>
  <c r="E63" i="109"/>
  <c r="C63" i="109"/>
  <c r="H62" i="109"/>
  <c r="G62" i="109"/>
  <c r="F62" i="109"/>
  <c r="E62" i="109"/>
  <c r="C62" i="109"/>
  <c r="H58" i="109"/>
  <c r="G58" i="109"/>
  <c r="F58" i="109"/>
  <c r="E58" i="109"/>
  <c r="C58" i="109"/>
  <c r="H57" i="109"/>
  <c r="G57" i="109"/>
  <c r="F57" i="109"/>
  <c r="E57" i="109"/>
  <c r="C57" i="109"/>
  <c r="H41" i="109"/>
  <c r="G41" i="109"/>
  <c r="F41" i="109"/>
  <c r="E41" i="109"/>
  <c r="D41" i="109"/>
  <c r="C41" i="109"/>
  <c r="H27" i="109"/>
  <c r="G27" i="109"/>
  <c r="F27" i="109"/>
  <c r="E27" i="109"/>
  <c r="D27" i="109"/>
  <c r="C27" i="109"/>
  <c r="H14" i="109"/>
  <c r="G14" i="109"/>
  <c r="F14" i="109"/>
  <c r="E14" i="109"/>
  <c r="D14" i="109"/>
  <c r="C14" i="109"/>
  <c r="D111" i="108"/>
  <c r="C9" i="108"/>
  <c r="C8" i="108"/>
  <c r="C64" i="109" l="1"/>
  <c r="H64" i="109"/>
  <c r="C59" i="109"/>
  <c r="H59" i="109"/>
  <c r="C69" i="109"/>
  <c r="H69" i="109"/>
  <c r="G64" i="109"/>
  <c r="E69" i="109"/>
  <c r="G59" i="109"/>
  <c r="G69" i="109"/>
  <c r="I27" i="109"/>
  <c r="I14" i="109"/>
  <c r="I41" i="109"/>
  <c r="E59" i="109"/>
  <c r="E64" i="109"/>
  <c r="F59" i="109"/>
  <c r="F64" i="109"/>
  <c r="F69" i="109"/>
  <c r="C72" i="109" l="1"/>
  <c r="C73" i="109"/>
  <c r="C71" i="109"/>
  <c r="D6" i="108" l="1"/>
  <c r="E6" i="108"/>
  <c r="F6" i="108"/>
  <c r="G6" i="108"/>
  <c r="H6" i="108"/>
  <c r="C6" i="108"/>
  <c r="H127" i="108" l="1"/>
  <c r="G127" i="108"/>
  <c r="H112" i="119" s="1"/>
  <c r="F127" i="108"/>
  <c r="G112" i="119" s="1"/>
  <c r="E127" i="108"/>
  <c r="F112" i="119" s="1"/>
  <c r="D127" i="108"/>
  <c r="C127" i="108"/>
  <c r="D112" i="119" s="1"/>
  <c r="H121" i="108"/>
  <c r="G121" i="108"/>
  <c r="H106" i="119" s="1"/>
  <c r="F121" i="108"/>
  <c r="G106" i="119" s="1"/>
  <c r="E121" i="108"/>
  <c r="F106" i="119" s="1"/>
  <c r="D121" i="108"/>
  <c r="C121" i="108"/>
  <c r="D106" i="119" s="1"/>
  <c r="H115" i="108"/>
  <c r="G115" i="108"/>
  <c r="F115" i="108"/>
  <c r="E115" i="108"/>
  <c r="D115" i="108"/>
  <c r="C115" i="108"/>
  <c r="B102" i="108"/>
  <c r="H90" i="108"/>
  <c r="I139" i="119" s="1"/>
  <c r="G90" i="108"/>
  <c r="F90" i="108"/>
  <c r="G139" i="119" s="1"/>
  <c r="E90" i="108"/>
  <c r="F139" i="119" s="1"/>
  <c r="D90" i="108"/>
  <c r="E139" i="119" s="1"/>
  <c r="C90" i="108"/>
  <c r="D139" i="119" s="1"/>
  <c r="H84" i="108"/>
  <c r="I133" i="119" s="1"/>
  <c r="G84" i="108"/>
  <c r="H133" i="119" s="1"/>
  <c r="F84" i="108"/>
  <c r="G133" i="119" s="1"/>
  <c r="E84" i="108"/>
  <c r="F133" i="119" s="1"/>
  <c r="D84" i="108"/>
  <c r="E133" i="119" s="1"/>
  <c r="C84" i="108"/>
  <c r="D133" i="119" s="1"/>
  <c r="H78" i="108"/>
  <c r="G78" i="108"/>
  <c r="F78" i="108"/>
  <c r="G127" i="119" s="1"/>
  <c r="E78" i="108"/>
  <c r="D78" i="108"/>
  <c r="C78" i="108"/>
  <c r="B67" i="108"/>
  <c r="H56" i="108"/>
  <c r="I165" i="119" s="1"/>
  <c r="G56" i="108"/>
  <c r="F56" i="108"/>
  <c r="G165" i="119" s="1"/>
  <c r="E56" i="108"/>
  <c r="F165" i="119" s="1"/>
  <c r="D56" i="108"/>
  <c r="E165" i="119" s="1"/>
  <c r="C56" i="108"/>
  <c r="D165" i="119" s="1"/>
  <c r="H50" i="108"/>
  <c r="I159" i="119" s="1"/>
  <c r="G50" i="108"/>
  <c r="H159" i="119" s="1"/>
  <c r="F50" i="108"/>
  <c r="G159" i="119" s="1"/>
  <c r="E50" i="108"/>
  <c r="D50" i="108"/>
  <c r="E159" i="119" s="1"/>
  <c r="C50" i="108"/>
  <c r="D159" i="119" s="1"/>
  <c r="H44" i="108"/>
  <c r="G44" i="108"/>
  <c r="F44" i="108"/>
  <c r="E44" i="108"/>
  <c r="F153" i="119" s="1"/>
  <c r="D44" i="108"/>
  <c r="C44" i="108"/>
  <c r="B35" i="108"/>
  <c r="D9" i="95"/>
  <c r="E9" i="95"/>
  <c r="F9" i="95"/>
  <c r="G9" i="95"/>
  <c r="H9" i="95"/>
  <c r="C9" i="95"/>
  <c r="D6" i="94"/>
  <c r="E6" i="94"/>
  <c r="F6" i="94"/>
  <c r="G6" i="94"/>
  <c r="H6" i="94"/>
  <c r="C6" i="94"/>
  <c r="F153" i="114" l="1"/>
  <c r="G153" i="119"/>
  <c r="C127" i="114"/>
  <c r="D127" i="119"/>
  <c r="G139" i="114"/>
  <c r="H139" i="119"/>
  <c r="D100" i="114"/>
  <c r="E100" i="119"/>
  <c r="H100" i="114"/>
  <c r="I100" i="119"/>
  <c r="H112" i="114"/>
  <c r="I112" i="119"/>
  <c r="D153" i="119"/>
  <c r="G153" i="114"/>
  <c r="H153" i="119"/>
  <c r="E159" i="114"/>
  <c r="F159" i="119"/>
  <c r="G165" i="114"/>
  <c r="H165" i="119"/>
  <c r="D127" i="114"/>
  <c r="E127" i="119"/>
  <c r="H127" i="114"/>
  <c r="I127" i="119"/>
  <c r="E100" i="114"/>
  <c r="F100" i="119"/>
  <c r="C100" i="114"/>
  <c r="D100" i="119"/>
  <c r="G100" i="114"/>
  <c r="H100" i="119"/>
  <c r="G127" i="114"/>
  <c r="H127" i="119"/>
  <c r="D112" i="114"/>
  <c r="E112" i="119"/>
  <c r="D153" i="114"/>
  <c r="E153" i="119"/>
  <c r="H153" i="114"/>
  <c r="I153" i="119"/>
  <c r="E127" i="114"/>
  <c r="F127" i="119"/>
  <c r="F100" i="114"/>
  <c r="G100" i="119"/>
  <c r="D106" i="114"/>
  <c r="E106" i="119"/>
  <c r="H106" i="114"/>
  <c r="I106" i="119"/>
  <c r="H159" i="109"/>
  <c r="H159" i="114"/>
  <c r="C139" i="109"/>
  <c r="C139" i="114"/>
  <c r="C153" i="109"/>
  <c r="C153" i="114"/>
  <c r="C165" i="109"/>
  <c r="C165" i="114"/>
  <c r="F133" i="109"/>
  <c r="F133" i="114"/>
  <c r="D139" i="109"/>
  <c r="D139" i="114"/>
  <c r="H139" i="109"/>
  <c r="H139" i="114"/>
  <c r="C106" i="109"/>
  <c r="C106" i="114"/>
  <c r="G106" i="109"/>
  <c r="G106" i="114"/>
  <c r="E112" i="109"/>
  <c r="E112" i="114"/>
  <c r="F159" i="109"/>
  <c r="F159" i="114"/>
  <c r="D165" i="109"/>
  <c r="D165" i="114"/>
  <c r="H165" i="109"/>
  <c r="H165" i="114"/>
  <c r="C133" i="109"/>
  <c r="C133" i="114"/>
  <c r="G133" i="109"/>
  <c r="G133" i="114"/>
  <c r="E139" i="109"/>
  <c r="E139" i="114"/>
  <c r="F112" i="109"/>
  <c r="F112" i="114"/>
  <c r="E153" i="109"/>
  <c r="E153" i="114"/>
  <c r="C159" i="109"/>
  <c r="C159" i="114"/>
  <c r="G159" i="109"/>
  <c r="G159" i="114"/>
  <c r="E165" i="109"/>
  <c r="E165" i="114"/>
  <c r="F127" i="109"/>
  <c r="F127" i="114"/>
  <c r="D133" i="109"/>
  <c r="D133" i="114"/>
  <c r="H133" i="109"/>
  <c r="H133" i="114"/>
  <c r="F139" i="109"/>
  <c r="F139" i="114"/>
  <c r="E106" i="109"/>
  <c r="E106" i="114"/>
  <c r="C112" i="109"/>
  <c r="C112" i="114"/>
  <c r="G112" i="109"/>
  <c r="G112" i="114"/>
  <c r="D159" i="109"/>
  <c r="D159" i="114"/>
  <c r="F165" i="109"/>
  <c r="F165" i="114"/>
  <c r="E133" i="109"/>
  <c r="E133" i="114"/>
  <c r="F106" i="109"/>
  <c r="F106" i="114"/>
  <c r="H153" i="109"/>
  <c r="F114" i="108"/>
  <c r="F116" i="108" s="1"/>
  <c r="G97" i="119" s="1"/>
  <c r="F100" i="109"/>
  <c r="F153" i="109"/>
  <c r="C127" i="109"/>
  <c r="G127" i="109"/>
  <c r="G139" i="109"/>
  <c r="C114" i="108"/>
  <c r="C100" i="109"/>
  <c r="G114" i="108"/>
  <c r="G116" i="108" s="1"/>
  <c r="H97" i="119" s="1"/>
  <c r="G100" i="109"/>
  <c r="D153" i="109"/>
  <c r="E127" i="109"/>
  <c r="E114" i="108"/>
  <c r="E116" i="108" s="1"/>
  <c r="F97" i="119" s="1"/>
  <c r="E100" i="109"/>
  <c r="G153" i="109"/>
  <c r="E159" i="109"/>
  <c r="G165" i="109"/>
  <c r="D127" i="109"/>
  <c r="H127" i="109"/>
  <c r="D114" i="108"/>
  <c r="D116" i="108" s="1"/>
  <c r="E97" i="119" s="1"/>
  <c r="D100" i="109"/>
  <c r="H114" i="108"/>
  <c r="H100" i="109"/>
  <c r="D120" i="108"/>
  <c r="D122" i="108" s="1"/>
  <c r="E103" i="119" s="1"/>
  <c r="D106" i="109"/>
  <c r="H120" i="108"/>
  <c r="H122" i="108" s="1"/>
  <c r="I103" i="119" s="1"/>
  <c r="H106" i="109"/>
  <c r="D126" i="108"/>
  <c r="D128" i="108" s="1"/>
  <c r="E109" i="119" s="1"/>
  <c r="D112" i="109"/>
  <c r="H126" i="108"/>
  <c r="H128" i="108" s="1"/>
  <c r="I109" i="119" s="1"/>
  <c r="H112" i="109"/>
  <c r="E120" i="108"/>
  <c r="E122" i="108" s="1"/>
  <c r="F103" i="119" s="1"/>
  <c r="F120" i="108"/>
  <c r="F122" i="108" s="1"/>
  <c r="G103" i="119" s="1"/>
  <c r="F126" i="108"/>
  <c r="F128" i="108" s="1"/>
  <c r="G109" i="119" s="1"/>
  <c r="E126" i="108"/>
  <c r="E128" i="108" s="1"/>
  <c r="F109" i="119" s="1"/>
  <c r="C120" i="108"/>
  <c r="C122" i="108" s="1"/>
  <c r="D103" i="119" s="1"/>
  <c r="G120" i="108"/>
  <c r="G122" i="108" s="1"/>
  <c r="H103" i="119" s="1"/>
  <c r="C126" i="108"/>
  <c r="C128" i="108" s="1"/>
  <c r="D109" i="119" s="1"/>
  <c r="G126" i="108"/>
  <c r="G128" i="108" s="1"/>
  <c r="H109" i="119" s="1"/>
  <c r="C10" i="108"/>
  <c r="C109" i="109" l="1"/>
  <c r="C109" i="114"/>
  <c r="F103" i="109"/>
  <c r="F103" i="114"/>
  <c r="E97" i="109"/>
  <c r="E97" i="114"/>
  <c r="F97" i="109"/>
  <c r="F97" i="114"/>
  <c r="D109" i="109"/>
  <c r="D109" i="114"/>
  <c r="D103" i="109"/>
  <c r="D103" i="114"/>
  <c r="D97" i="109"/>
  <c r="D97" i="114"/>
  <c r="H103" i="109"/>
  <c r="H103" i="114"/>
  <c r="G103" i="109"/>
  <c r="G103" i="114"/>
  <c r="C103" i="109"/>
  <c r="C103" i="114"/>
  <c r="E103" i="109"/>
  <c r="E103" i="114"/>
  <c r="G109" i="109"/>
  <c r="G109" i="114"/>
  <c r="E109" i="109"/>
  <c r="E109" i="114"/>
  <c r="H109" i="109"/>
  <c r="H109" i="114"/>
  <c r="F109" i="109"/>
  <c r="F109" i="114"/>
  <c r="G97" i="109"/>
  <c r="G97" i="114"/>
  <c r="H116" i="108"/>
  <c r="I97" i="119" s="1"/>
  <c r="C116" i="108"/>
  <c r="D97" i="119" s="1"/>
  <c r="H97" i="109" l="1"/>
  <c r="H97" i="114"/>
  <c r="C97" i="109"/>
  <c r="C97" i="114"/>
  <c r="V10" i="98" l="1"/>
  <c r="V11" i="98"/>
  <c r="V12" i="98"/>
  <c r="B73" i="105"/>
  <c r="C73" i="105"/>
  <c r="D73" i="105"/>
  <c r="E73" i="105"/>
  <c r="F73" i="105"/>
  <c r="G73" i="105"/>
  <c r="B74" i="105"/>
  <c r="C74" i="105"/>
  <c r="D74" i="105"/>
  <c r="E74" i="105"/>
  <c r="F74" i="105"/>
  <c r="G74" i="105"/>
  <c r="B75" i="105"/>
  <c r="C75" i="105"/>
  <c r="D75" i="105"/>
  <c r="E75" i="105"/>
  <c r="F75" i="105"/>
  <c r="G75" i="105"/>
  <c r="B78" i="105"/>
  <c r="C78" i="105"/>
  <c r="D78" i="105"/>
  <c r="E78" i="105"/>
  <c r="F78" i="105"/>
  <c r="G78" i="105"/>
  <c r="B79" i="105"/>
  <c r="C79" i="105"/>
  <c r="D79" i="105"/>
  <c r="E79" i="105"/>
  <c r="F79" i="105"/>
  <c r="G79" i="105"/>
  <c r="B80" i="105"/>
  <c r="C80" i="105"/>
  <c r="D80" i="105"/>
  <c r="E80" i="105"/>
  <c r="F80" i="105"/>
  <c r="G80" i="105"/>
  <c r="G38" i="105"/>
  <c r="G42" i="105"/>
  <c r="G47" i="105"/>
  <c r="G27" i="105" s="1"/>
  <c r="G52" i="105"/>
  <c r="G28" i="105" s="1"/>
  <c r="G58" i="105"/>
  <c r="G62" i="105"/>
  <c r="G67" i="105"/>
  <c r="D4" i="94"/>
  <c r="E4" i="94"/>
  <c r="F4" i="94"/>
  <c r="G4" i="94"/>
  <c r="H4" i="94"/>
  <c r="C4" i="94"/>
  <c r="G16" i="93"/>
  <c r="H16" i="93"/>
  <c r="I16" i="93"/>
  <c r="J16" i="93"/>
  <c r="K16" i="93"/>
  <c r="F16" i="93"/>
  <c r="G84" i="105" l="1"/>
  <c r="H8" i="119"/>
  <c r="H21" i="119" s="1"/>
  <c r="H35" i="119" s="1"/>
  <c r="G8" i="114"/>
  <c r="G21" i="114" s="1"/>
  <c r="G35" i="114" s="1"/>
  <c r="F8" i="119"/>
  <c r="F21" i="119" s="1"/>
  <c r="F35" i="119" s="1"/>
  <c r="E8" i="114"/>
  <c r="E21" i="114" s="1"/>
  <c r="E35" i="114" s="1"/>
  <c r="I8" i="119"/>
  <c r="I21" i="119" s="1"/>
  <c r="I35" i="119" s="1"/>
  <c r="H8" i="114"/>
  <c r="H21" i="114" s="1"/>
  <c r="H35" i="114" s="1"/>
  <c r="E8" i="119"/>
  <c r="E21" i="119" s="1"/>
  <c r="E35" i="119" s="1"/>
  <c r="E94" i="119" s="1"/>
  <c r="E121" i="119" s="1"/>
  <c r="E147" i="119" s="1"/>
  <c r="D8" i="114"/>
  <c r="D21" i="114" s="1"/>
  <c r="D35" i="114" s="1"/>
  <c r="D94" i="114" s="1"/>
  <c r="D121" i="114" s="1"/>
  <c r="D147" i="114" s="1"/>
  <c r="G8" i="119"/>
  <c r="G21" i="119" s="1"/>
  <c r="G35" i="119" s="1"/>
  <c r="F8" i="114"/>
  <c r="F21" i="114" s="1"/>
  <c r="F35" i="114" s="1"/>
  <c r="D8" i="119"/>
  <c r="D21" i="119" s="1"/>
  <c r="D35" i="119" s="1"/>
  <c r="C8" i="114"/>
  <c r="C21" i="114" s="1"/>
  <c r="C35" i="114" s="1"/>
  <c r="B84" i="105"/>
  <c r="C84" i="105"/>
  <c r="G29" i="105"/>
  <c r="G26" i="105"/>
  <c r="G24" i="105" s="1"/>
  <c r="C76" i="105"/>
  <c r="J74" i="105" s="1"/>
  <c r="B85" i="105"/>
  <c r="C83" i="105"/>
  <c r="E84" i="105"/>
  <c r="F85" i="105"/>
  <c r="F83" i="105"/>
  <c r="F84" i="105"/>
  <c r="G76" i="105"/>
  <c r="N74" i="105" s="1"/>
  <c r="B81" i="105"/>
  <c r="I80" i="105" s="1"/>
  <c r="D83" i="105"/>
  <c r="E83" i="105"/>
  <c r="F81" i="105"/>
  <c r="M79" i="105" s="1"/>
  <c r="G81" i="105"/>
  <c r="N78" i="105" s="1"/>
  <c r="G85" i="105"/>
  <c r="G83" i="105"/>
  <c r="D76" i="105"/>
  <c r="K73" i="105" s="1"/>
  <c r="B83" i="105"/>
  <c r="H4" i="95"/>
  <c r="H4" i="97" s="1"/>
  <c r="H8" i="109"/>
  <c r="H21" i="109" s="1"/>
  <c r="H35" i="109" s="1"/>
  <c r="G4" i="95"/>
  <c r="G4" i="97" s="1"/>
  <c r="G5" i="99" s="1"/>
  <c r="G8" i="109"/>
  <c r="G21" i="109" s="1"/>
  <c r="G35" i="109" s="1"/>
  <c r="F4" i="95"/>
  <c r="F4" i="97" s="1"/>
  <c r="F8" i="109"/>
  <c r="F21" i="109" s="1"/>
  <c r="F35" i="109" s="1"/>
  <c r="E4" i="95"/>
  <c r="E4" i="97" s="1"/>
  <c r="E5" i="98" s="1"/>
  <c r="E8" i="109"/>
  <c r="E21" i="109" s="1"/>
  <c r="E35" i="109" s="1"/>
  <c r="D4" i="95"/>
  <c r="D4" i="97" s="1"/>
  <c r="D8" i="109"/>
  <c r="D21" i="109" s="1"/>
  <c r="D35" i="109" s="1"/>
  <c r="D94" i="109" s="1"/>
  <c r="D121" i="109" s="1"/>
  <c r="D147" i="109" s="1"/>
  <c r="C4" i="95"/>
  <c r="C4" i="97" s="1"/>
  <c r="C8" i="109"/>
  <c r="C21" i="109" s="1"/>
  <c r="C35" i="109" s="1"/>
  <c r="C85" i="105"/>
  <c r="C81" i="105"/>
  <c r="J78" i="105" s="1"/>
  <c r="E85" i="105"/>
  <c r="D84" i="105"/>
  <c r="E81" i="105"/>
  <c r="L80" i="105" s="1"/>
  <c r="F76" i="105"/>
  <c r="M75" i="105" s="1"/>
  <c r="B76" i="105"/>
  <c r="I75" i="105" s="1"/>
  <c r="D85" i="105"/>
  <c r="D81" i="105"/>
  <c r="K78" i="105" s="1"/>
  <c r="E76" i="105"/>
  <c r="L73" i="105" s="1"/>
  <c r="F5" i="98" l="1"/>
  <c r="F5" i="113"/>
  <c r="F21" i="113" s="1"/>
  <c r="F102" i="113" s="1"/>
  <c r="F5" i="112"/>
  <c r="F21" i="112" s="1"/>
  <c r="F5" i="111"/>
  <c r="F21" i="111" s="1"/>
  <c r="F94" i="119"/>
  <c r="F121" i="119" s="1"/>
  <c r="F147" i="119" s="1"/>
  <c r="F54" i="119"/>
  <c r="D5" i="99"/>
  <c r="D5" i="111"/>
  <c r="D21" i="111" s="1"/>
  <c r="D5" i="113"/>
  <c r="D21" i="113" s="1"/>
  <c r="D102" i="113" s="1"/>
  <c r="D5" i="112"/>
  <c r="D21" i="112" s="1"/>
  <c r="F5" i="99"/>
  <c r="E5" i="99"/>
  <c r="E5" i="113"/>
  <c r="E21" i="113" s="1"/>
  <c r="E102" i="113" s="1"/>
  <c r="E5" i="112"/>
  <c r="E21" i="112" s="1"/>
  <c r="E5" i="111"/>
  <c r="E21" i="111" s="1"/>
  <c r="G5" i="98"/>
  <c r="G5" i="112"/>
  <c r="G21" i="112" s="1"/>
  <c r="G5" i="111"/>
  <c r="G21" i="111" s="1"/>
  <c r="G5" i="113"/>
  <c r="G21" i="113" s="1"/>
  <c r="G102" i="113" s="1"/>
  <c r="F94" i="114"/>
  <c r="F121" i="114" s="1"/>
  <c r="F147" i="114" s="1"/>
  <c r="F54" i="114"/>
  <c r="H94" i="114"/>
  <c r="H121" i="114" s="1"/>
  <c r="H147" i="114" s="1"/>
  <c r="H54" i="114"/>
  <c r="G94" i="114"/>
  <c r="G121" i="114" s="1"/>
  <c r="G147" i="114" s="1"/>
  <c r="G54" i="114"/>
  <c r="G5" i="102"/>
  <c r="F33" i="105" s="1"/>
  <c r="F71" i="105" s="1"/>
  <c r="G5" i="115"/>
  <c r="G21" i="115" s="1"/>
  <c r="H5" i="99"/>
  <c r="H5" i="111"/>
  <c r="H21" i="111" s="1"/>
  <c r="H5" i="113"/>
  <c r="H21" i="113" s="1"/>
  <c r="H102" i="113" s="1"/>
  <c r="H5" i="112"/>
  <c r="H21" i="112" s="1"/>
  <c r="E94" i="114"/>
  <c r="E121" i="114" s="1"/>
  <c r="E147" i="114" s="1"/>
  <c r="E54" i="114"/>
  <c r="D5" i="98"/>
  <c r="G94" i="119"/>
  <c r="G121" i="119" s="1"/>
  <c r="G147" i="119" s="1"/>
  <c r="G54" i="119"/>
  <c r="I94" i="119"/>
  <c r="I121" i="119" s="1"/>
  <c r="I147" i="119" s="1"/>
  <c r="I54" i="119"/>
  <c r="H94" i="119"/>
  <c r="H121" i="119" s="1"/>
  <c r="H147" i="119" s="1"/>
  <c r="H54" i="119"/>
  <c r="C5" i="113"/>
  <c r="C21" i="113" s="1"/>
  <c r="C102" i="113" s="1"/>
  <c r="C5" i="111"/>
  <c r="C21" i="111" s="1"/>
  <c r="C5" i="112"/>
  <c r="C21" i="112" s="1"/>
  <c r="C5" i="98"/>
  <c r="C94" i="114"/>
  <c r="C121" i="114" s="1"/>
  <c r="C147" i="114" s="1"/>
  <c r="C54" i="114"/>
  <c r="C5" i="99"/>
  <c r="D54" i="119"/>
  <c r="D94" i="119"/>
  <c r="D121" i="119" s="1"/>
  <c r="D147" i="119" s="1"/>
  <c r="J75" i="105"/>
  <c r="J73" i="105"/>
  <c r="N73" i="105"/>
  <c r="N75" i="105"/>
  <c r="I78" i="105"/>
  <c r="I79" i="105"/>
  <c r="B86" i="105"/>
  <c r="I85" i="105" s="1"/>
  <c r="F86" i="105"/>
  <c r="M85" i="105" s="1"/>
  <c r="M80" i="105"/>
  <c r="M78" i="105"/>
  <c r="N79" i="105"/>
  <c r="C86" i="105"/>
  <c r="J84" i="105" s="1"/>
  <c r="K80" i="105"/>
  <c r="G86" i="105"/>
  <c r="N80" i="105"/>
  <c r="K74" i="105"/>
  <c r="K75" i="105"/>
  <c r="H5" i="98"/>
  <c r="H94" i="109"/>
  <c r="H121" i="109" s="1"/>
  <c r="H147" i="109" s="1"/>
  <c r="H54" i="109"/>
  <c r="F94" i="109"/>
  <c r="F121" i="109" s="1"/>
  <c r="F147" i="109" s="1"/>
  <c r="F54" i="109"/>
  <c r="G94" i="109"/>
  <c r="G121" i="109" s="1"/>
  <c r="G147" i="109" s="1"/>
  <c r="G54" i="109"/>
  <c r="E54" i="109"/>
  <c r="E94" i="109"/>
  <c r="E121" i="109" s="1"/>
  <c r="E147" i="109" s="1"/>
  <c r="C54" i="109"/>
  <c r="C94" i="109"/>
  <c r="C121" i="109" s="1"/>
  <c r="C147" i="109" s="1"/>
  <c r="L78" i="105"/>
  <c r="J79" i="105"/>
  <c r="L79" i="105"/>
  <c r="J80" i="105"/>
  <c r="L74" i="105"/>
  <c r="I73" i="105"/>
  <c r="K79" i="105"/>
  <c r="I74" i="105"/>
  <c r="D86" i="105"/>
  <c r="K83" i="105" s="1"/>
  <c r="M73" i="105"/>
  <c r="E86" i="105"/>
  <c r="M74" i="105"/>
  <c r="L75" i="105"/>
  <c r="O75" i="105" l="1"/>
  <c r="O80" i="105"/>
  <c r="F90" i="105"/>
  <c r="M71" i="105"/>
  <c r="H5" i="102"/>
  <c r="G33" i="105" s="1"/>
  <c r="G71" i="105" s="1"/>
  <c r="H5" i="115"/>
  <c r="H21" i="115" s="1"/>
  <c r="E5" i="102"/>
  <c r="D33" i="105" s="1"/>
  <c r="D71" i="105" s="1"/>
  <c r="E5" i="115"/>
  <c r="E21" i="115" s="1"/>
  <c r="F5" i="102"/>
  <c r="E33" i="105" s="1"/>
  <c r="E71" i="105" s="1"/>
  <c r="F5" i="115"/>
  <c r="F21" i="115" s="1"/>
  <c r="D5" i="102"/>
  <c r="C33" i="105" s="1"/>
  <c r="C71" i="105" s="1"/>
  <c r="D5" i="115"/>
  <c r="D21" i="115" s="1"/>
  <c r="C5" i="102"/>
  <c r="B33" i="105" s="1"/>
  <c r="B71" i="105" s="1"/>
  <c r="C5" i="115"/>
  <c r="C21" i="115" s="1"/>
  <c r="M84" i="105"/>
  <c r="M83" i="105"/>
  <c r="I83" i="105"/>
  <c r="I84" i="105"/>
  <c r="J85" i="105"/>
  <c r="J83" i="105"/>
  <c r="O78" i="105"/>
  <c r="O79" i="105"/>
  <c r="K84" i="105"/>
  <c r="K85" i="105"/>
  <c r="L84" i="105"/>
  <c r="L83" i="105"/>
  <c r="L85" i="105"/>
  <c r="O73" i="105"/>
  <c r="O74" i="105"/>
  <c r="N11" i="113" l="1"/>
  <c r="B11" i="113"/>
  <c r="H11" i="113"/>
  <c r="Z11" i="113"/>
  <c r="T11" i="113"/>
  <c r="AF11" i="113"/>
  <c r="Z12" i="113"/>
  <c r="H12" i="113"/>
  <c r="B12" i="113"/>
  <c r="T12" i="113"/>
  <c r="N12" i="113"/>
  <c r="AF12" i="113"/>
  <c r="AF10" i="113"/>
  <c r="B10" i="113"/>
  <c r="H10" i="113"/>
  <c r="Z10" i="113"/>
  <c r="N10" i="113"/>
  <c r="T10" i="113"/>
  <c r="G90" i="105"/>
  <c r="N71" i="105"/>
  <c r="E90" i="105"/>
  <c r="L71" i="105"/>
  <c r="C90" i="105"/>
  <c r="J71" i="105"/>
  <c r="K71" i="105"/>
  <c r="D90" i="105"/>
  <c r="I71" i="105"/>
  <c r="B90" i="105"/>
  <c r="D50" i="106"/>
  <c r="D63" i="106"/>
  <c r="D58" i="106"/>
  <c r="D38" i="106"/>
  <c r="F3" i="106"/>
  <c r="F17" i="106" s="1"/>
  <c r="G3" i="106"/>
  <c r="G17" i="106" s="1"/>
  <c r="H3" i="106"/>
  <c r="H17" i="106" s="1"/>
  <c r="I3" i="106"/>
  <c r="I17" i="106" s="1"/>
  <c r="J3" i="106"/>
  <c r="J17" i="106" s="1"/>
  <c r="E3" i="106"/>
  <c r="E17" i="106" s="1"/>
  <c r="J9" i="106"/>
  <c r="I9" i="106"/>
  <c r="H9" i="106"/>
  <c r="G9" i="106"/>
  <c r="F9" i="106"/>
  <c r="E9" i="106"/>
  <c r="F67" i="105"/>
  <c r="F30" i="105" s="1"/>
  <c r="E67" i="105"/>
  <c r="E30" i="105" s="1"/>
  <c r="D67" i="105"/>
  <c r="D30" i="105" s="1"/>
  <c r="C67" i="105"/>
  <c r="C30" i="105" s="1"/>
  <c r="B67" i="105"/>
  <c r="B30" i="105" s="1"/>
  <c r="F62" i="105"/>
  <c r="E62" i="105"/>
  <c r="D62" i="105"/>
  <c r="C62" i="105"/>
  <c r="B62" i="105"/>
  <c r="F58" i="105"/>
  <c r="E58" i="105"/>
  <c r="D58" i="105"/>
  <c r="C58" i="105"/>
  <c r="B58" i="105"/>
  <c r="F52" i="105"/>
  <c r="F28" i="105" s="1"/>
  <c r="E52" i="105"/>
  <c r="E28" i="105" s="1"/>
  <c r="D52" i="105"/>
  <c r="D28" i="105" s="1"/>
  <c r="C52" i="105"/>
  <c r="C28" i="105" s="1"/>
  <c r="B52" i="105"/>
  <c r="B28" i="105" s="1"/>
  <c r="F47" i="105"/>
  <c r="F27" i="105" s="1"/>
  <c r="E47" i="105"/>
  <c r="E27" i="105" s="1"/>
  <c r="D47" i="105"/>
  <c r="D27" i="105" s="1"/>
  <c r="C47" i="105"/>
  <c r="C27" i="105" s="1"/>
  <c r="B47" i="105"/>
  <c r="B27" i="105" s="1"/>
  <c r="F42" i="105"/>
  <c r="E42" i="105"/>
  <c r="D42" i="105"/>
  <c r="C42" i="105"/>
  <c r="B42" i="105"/>
  <c r="F38" i="105"/>
  <c r="E38" i="105"/>
  <c r="D38" i="105"/>
  <c r="C38" i="105"/>
  <c r="B38" i="105"/>
  <c r="H6" i="95"/>
  <c r="G6" i="95"/>
  <c r="F6" i="95"/>
  <c r="E6" i="95"/>
  <c r="D6" i="95"/>
  <c r="C6" i="95"/>
  <c r="C5" i="103"/>
  <c r="C115" i="102"/>
  <c r="AH12" i="102"/>
  <c r="AB12" i="102"/>
  <c r="V12" i="102"/>
  <c r="P12" i="102"/>
  <c r="J12" i="102"/>
  <c r="D12" i="102"/>
  <c r="AH11" i="102"/>
  <c r="AB11" i="102"/>
  <c r="V11" i="102"/>
  <c r="P11" i="102"/>
  <c r="J11" i="102"/>
  <c r="D11" i="102"/>
  <c r="AH10" i="102"/>
  <c r="AB10" i="102"/>
  <c r="V10" i="102"/>
  <c r="P10" i="102"/>
  <c r="J10" i="102"/>
  <c r="D10" i="102"/>
  <c r="H21" i="102"/>
  <c r="H3" i="108" s="1"/>
  <c r="G21" i="102"/>
  <c r="G3" i="108" s="1"/>
  <c r="F21" i="102"/>
  <c r="F3" i="108" s="1"/>
  <c r="E21" i="102"/>
  <c r="E3" i="108" s="1"/>
  <c r="D21" i="102"/>
  <c r="D3" i="108" s="1"/>
  <c r="C21" i="102"/>
  <c r="C3" i="108" s="1"/>
  <c r="H119" i="99"/>
  <c r="G119" i="99"/>
  <c r="F119" i="99"/>
  <c r="E119" i="99"/>
  <c r="D119" i="99"/>
  <c r="C99" i="99"/>
  <c r="AH12" i="99"/>
  <c r="AB12" i="99"/>
  <c r="V12" i="99"/>
  <c r="P12" i="99"/>
  <c r="J12" i="99"/>
  <c r="D12" i="99"/>
  <c r="AH11" i="99"/>
  <c r="AB11" i="99"/>
  <c r="V11" i="99"/>
  <c r="P11" i="99"/>
  <c r="J11" i="99"/>
  <c r="D11" i="99"/>
  <c r="AH10" i="99"/>
  <c r="AB10" i="99"/>
  <c r="V10" i="99"/>
  <c r="P10" i="99"/>
  <c r="J10" i="99"/>
  <c r="D10" i="99"/>
  <c r="H21" i="99"/>
  <c r="G21" i="99"/>
  <c r="F21" i="99"/>
  <c r="E21" i="99"/>
  <c r="D21" i="99"/>
  <c r="C21" i="99"/>
  <c r="H102" i="98"/>
  <c r="G102" i="98"/>
  <c r="F102" i="98"/>
  <c r="E102" i="98"/>
  <c r="D102" i="98"/>
  <c r="C98" i="98"/>
  <c r="J86" i="98"/>
  <c r="I86" i="98"/>
  <c r="AH12" i="98"/>
  <c r="AB12" i="98"/>
  <c r="P12" i="98"/>
  <c r="J12" i="98"/>
  <c r="D12" i="98"/>
  <c r="AH11" i="98"/>
  <c r="AB11" i="98"/>
  <c r="P11" i="98"/>
  <c r="J11" i="98"/>
  <c r="D11" i="98"/>
  <c r="AH10" i="98"/>
  <c r="AB10" i="98"/>
  <c r="P10" i="98"/>
  <c r="J10" i="98"/>
  <c r="D10" i="98"/>
  <c r="H21" i="98"/>
  <c r="G21" i="98"/>
  <c r="F21" i="98"/>
  <c r="E21" i="98"/>
  <c r="D21" i="98"/>
  <c r="C21" i="98"/>
  <c r="H65" i="97"/>
  <c r="G65" i="97"/>
  <c r="F65" i="97"/>
  <c r="E65" i="97"/>
  <c r="D65" i="97"/>
  <c r="C65" i="97"/>
  <c r="H15" i="95"/>
  <c r="G56" i="95"/>
  <c r="F56" i="95"/>
  <c r="E15" i="95"/>
  <c r="D56" i="95"/>
  <c r="C56" i="95"/>
  <c r="H11" i="94"/>
  <c r="G50" i="94"/>
  <c r="F11" i="94"/>
  <c r="E11" i="94"/>
  <c r="D11" i="94"/>
  <c r="C50" i="94"/>
  <c r="B29" i="105" l="1"/>
  <c r="B25" i="105" s="1"/>
  <c r="F29" i="105"/>
  <c r="F25" i="105" s="1"/>
  <c r="E29" i="105"/>
  <c r="E25" i="105" s="1"/>
  <c r="AG14" i="113"/>
  <c r="AG15" i="113"/>
  <c r="AA14" i="113"/>
  <c r="AA15" i="113"/>
  <c r="O14" i="113"/>
  <c r="O15" i="113"/>
  <c r="C29" i="105"/>
  <c r="C25" i="105" s="1"/>
  <c r="I14" i="113"/>
  <c r="I15" i="113"/>
  <c r="U14" i="113"/>
  <c r="U15" i="113"/>
  <c r="C14" i="113"/>
  <c r="B13" i="113"/>
  <c r="C15" i="113"/>
  <c r="C7" i="103"/>
  <c r="E4" i="103"/>
  <c r="E3" i="103"/>
  <c r="F12" i="106"/>
  <c r="D22" i="112" s="1"/>
  <c r="H12" i="106"/>
  <c r="I5" i="93" s="1"/>
  <c r="I12" i="93" s="1"/>
  <c r="F8" i="95" s="1"/>
  <c r="C26" i="105"/>
  <c r="C24" i="105" s="1"/>
  <c r="D26" i="105"/>
  <c r="D24" i="105" s="1"/>
  <c r="E26" i="105"/>
  <c r="E24" i="105" s="1"/>
  <c r="H42" i="108"/>
  <c r="H32" i="108"/>
  <c r="H119" i="108"/>
  <c r="H62" i="108"/>
  <c r="H97" i="108" s="1"/>
  <c r="H113" i="108"/>
  <c r="H88" i="108"/>
  <c r="H54" i="108"/>
  <c r="H125" i="108"/>
  <c r="H14" i="108"/>
  <c r="H20" i="108" s="1"/>
  <c r="H26" i="108" s="1"/>
  <c r="H82" i="108"/>
  <c r="H48" i="108"/>
  <c r="H76" i="108"/>
  <c r="G32" i="108"/>
  <c r="G14" i="108"/>
  <c r="G20" i="108" s="1"/>
  <c r="G26" i="108" s="1"/>
  <c r="G82" i="108"/>
  <c r="G113" i="108"/>
  <c r="G62" i="108"/>
  <c r="G97" i="108" s="1"/>
  <c r="G76" i="108"/>
  <c r="G54" i="108"/>
  <c r="G48" i="108"/>
  <c r="G125" i="108"/>
  <c r="G42" i="108"/>
  <c r="G88" i="108"/>
  <c r="G119" i="108"/>
  <c r="F82" i="108"/>
  <c r="F113" i="108"/>
  <c r="F32" i="108"/>
  <c r="F42" i="108"/>
  <c r="F76" i="108"/>
  <c r="F62" i="108"/>
  <c r="F97" i="108" s="1"/>
  <c r="F48" i="108"/>
  <c r="F125" i="108"/>
  <c r="F54" i="108"/>
  <c r="F88" i="108"/>
  <c r="F119" i="108"/>
  <c r="F14" i="108"/>
  <c r="F20" i="108" s="1"/>
  <c r="F26" i="108" s="1"/>
  <c r="E82" i="108"/>
  <c r="E113" i="108"/>
  <c r="E14" i="108"/>
  <c r="E20" i="108" s="1"/>
  <c r="E26" i="108" s="1"/>
  <c r="E62" i="108"/>
  <c r="E97" i="108" s="1"/>
  <c r="E42" i="108"/>
  <c r="E119" i="108"/>
  <c r="E76" i="108"/>
  <c r="E54" i="108"/>
  <c r="E32" i="108"/>
  <c r="E125" i="108"/>
  <c r="E48" i="108"/>
  <c r="E88" i="108"/>
  <c r="D32" i="108"/>
  <c r="D54" i="108"/>
  <c r="D82" i="108"/>
  <c r="D125" i="108"/>
  <c r="D76" i="108"/>
  <c r="D14" i="108"/>
  <c r="D20" i="108" s="1"/>
  <c r="D26" i="108" s="1"/>
  <c r="D113" i="108"/>
  <c r="D48" i="108"/>
  <c r="D42" i="108"/>
  <c r="D62" i="108"/>
  <c r="D97" i="108" s="1"/>
  <c r="D88" i="108"/>
  <c r="D119" i="108"/>
  <c r="C32" i="108"/>
  <c r="C14" i="108"/>
  <c r="C20" i="108" s="1"/>
  <c r="C26" i="108" s="1"/>
  <c r="C82" i="108"/>
  <c r="C113" i="108"/>
  <c r="C54" i="108"/>
  <c r="C125" i="108"/>
  <c r="C42" i="108"/>
  <c r="C76" i="108"/>
  <c r="C48" i="108"/>
  <c r="C88" i="108"/>
  <c r="C62" i="108"/>
  <c r="C97" i="108" s="1"/>
  <c r="C119" i="108"/>
  <c r="I13" i="106"/>
  <c r="G30" i="105"/>
  <c r="G25" i="105" s="1"/>
  <c r="B26" i="105"/>
  <c r="B24" i="105" s="1"/>
  <c r="F26" i="105"/>
  <c r="F24" i="105" s="1"/>
  <c r="D29" i="105"/>
  <c r="D25" i="105" s="1"/>
  <c r="F50" i="94"/>
  <c r="F15" i="95"/>
  <c r="H50" i="94"/>
  <c r="D50" i="94"/>
  <c r="G12" i="106"/>
  <c r="J12" i="106"/>
  <c r="E13" i="106"/>
  <c r="J11" i="106"/>
  <c r="F13" i="106"/>
  <c r="F11" i="106"/>
  <c r="J13" i="106"/>
  <c r="H13" i="106"/>
  <c r="H11" i="106"/>
  <c r="G11" i="106"/>
  <c r="E12" i="106"/>
  <c r="I12" i="106"/>
  <c r="G13" i="106"/>
  <c r="E11" i="106"/>
  <c r="I11" i="106"/>
  <c r="C8" i="103"/>
  <c r="D40" i="108" s="1"/>
  <c r="E15" i="97"/>
  <c r="F15" i="97"/>
  <c r="C15" i="97"/>
  <c r="G15" i="97"/>
  <c r="D15" i="97"/>
  <c r="H15" i="97"/>
  <c r="H56" i="95"/>
  <c r="C15" i="95"/>
  <c r="G15" i="95"/>
  <c r="E56" i="95"/>
  <c r="D15" i="95"/>
  <c r="C11" i="94"/>
  <c r="E50" i="94"/>
  <c r="G11" i="94"/>
  <c r="F22" i="99" l="1"/>
  <c r="C16" i="113"/>
  <c r="I16" i="113"/>
  <c r="AA16" i="113"/>
  <c r="O16" i="113"/>
  <c r="C106" i="98"/>
  <c r="C106" i="111"/>
  <c r="G126" i="99"/>
  <c r="G121" i="102" s="1"/>
  <c r="G126" i="112"/>
  <c r="G121" i="115" s="1"/>
  <c r="E106" i="98"/>
  <c r="E106" i="111"/>
  <c r="AG16" i="113"/>
  <c r="H106" i="98"/>
  <c r="H106" i="111"/>
  <c r="C126" i="99"/>
  <c r="C121" i="102" s="1"/>
  <c r="C126" i="112"/>
  <c r="C121" i="115" s="1"/>
  <c r="D106" i="98"/>
  <c r="D106" i="111"/>
  <c r="F126" i="99"/>
  <c r="F121" i="102" s="1"/>
  <c r="F126" i="112"/>
  <c r="F121" i="115" s="1"/>
  <c r="F106" i="98"/>
  <c r="F106" i="111"/>
  <c r="E126" i="99"/>
  <c r="E121" i="102" s="1"/>
  <c r="E126" i="112"/>
  <c r="E121" i="115" s="1"/>
  <c r="G106" i="98"/>
  <c r="G106" i="111"/>
  <c r="D126" i="99"/>
  <c r="D121" i="102" s="1"/>
  <c r="D126" i="112"/>
  <c r="D121" i="115" s="1"/>
  <c r="U16" i="113"/>
  <c r="D74" i="108"/>
  <c r="C86" i="117"/>
  <c r="D47" i="118"/>
  <c r="E47" i="118" s="1"/>
  <c r="H63" i="23"/>
  <c r="D9" i="103"/>
  <c r="D7" i="103"/>
  <c r="G5" i="93"/>
  <c r="G12" i="93" s="1"/>
  <c r="D8" i="95" s="1"/>
  <c r="F22" i="112"/>
  <c r="D22" i="99"/>
  <c r="F22" i="115"/>
  <c r="H18" i="106"/>
  <c r="H19" i="106" s="1"/>
  <c r="G22" i="115"/>
  <c r="I18" i="106"/>
  <c r="I19" i="106" s="1"/>
  <c r="E22" i="115"/>
  <c r="G18" i="106"/>
  <c r="G19" i="106" s="1"/>
  <c r="D22" i="115"/>
  <c r="F18" i="106"/>
  <c r="F19" i="106" s="1"/>
  <c r="H22" i="115"/>
  <c r="J18" i="106"/>
  <c r="J19" i="106" s="1"/>
  <c r="C22" i="115"/>
  <c r="E18" i="106"/>
  <c r="E19" i="106" s="1"/>
  <c r="G22" i="111"/>
  <c r="C22" i="112"/>
  <c r="E22" i="111"/>
  <c r="H22" i="112"/>
  <c r="E22" i="112"/>
  <c r="F22" i="111"/>
  <c r="C22" i="111"/>
  <c r="D22" i="111"/>
  <c r="G22" i="112"/>
  <c r="H22" i="111"/>
  <c r="G43" i="108"/>
  <c r="G45" i="108" s="1"/>
  <c r="H150" i="119" s="1"/>
  <c r="G55" i="108"/>
  <c r="G57" i="108" s="1"/>
  <c r="H162" i="119" s="1"/>
  <c r="H49" i="108"/>
  <c r="H51" i="108" s="1"/>
  <c r="I156" i="119" s="1"/>
  <c r="H55" i="108"/>
  <c r="H57" i="108" s="1"/>
  <c r="I162" i="119" s="1"/>
  <c r="F49" i="108"/>
  <c r="F51" i="108" s="1"/>
  <c r="G156" i="119" s="1"/>
  <c r="C43" i="108"/>
  <c r="G49" i="108"/>
  <c r="G51" i="108" s="1"/>
  <c r="H156" i="119" s="1"/>
  <c r="D55" i="108"/>
  <c r="D57" i="108" s="1"/>
  <c r="E162" i="119" s="1"/>
  <c r="E55" i="108"/>
  <c r="E57" i="108" s="1"/>
  <c r="F162" i="119" s="1"/>
  <c r="F55" i="108"/>
  <c r="F57" i="108" s="1"/>
  <c r="G162" i="119" s="1"/>
  <c r="C55" i="108"/>
  <c r="C57" i="108" s="1"/>
  <c r="D162" i="119" s="1"/>
  <c r="H43" i="108"/>
  <c r="H45" i="108" s="1"/>
  <c r="I150" i="119" s="1"/>
  <c r="F43" i="108"/>
  <c r="F45" i="108" s="1"/>
  <c r="G150" i="119" s="1"/>
  <c r="D43" i="108"/>
  <c r="D45" i="108" s="1"/>
  <c r="E150" i="119" s="1"/>
  <c r="E49" i="108"/>
  <c r="E51" i="108" s="1"/>
  <c r="F156" i="119" s="1"/>
  <c r="C49" i="108"/>
  <c r="C51" i="108" s="1"/>
  <c r="D156" i="119" s="1"/>
  <c r="D49" i="108"/>
  <c r="D51" i="108" s="1"/>
  <c r="E156" i="119" s="1"/>
  <c r="E43" i="108"/>
  <c r="E45" i="108" s="1"/>
  <c r="F150" i="119" s="1"/>
  <c r="D22" i="98"/>
  <c r="K5" i="93"/>
  <c r="K12" i="93" s="1"/>
  <c r="H8" i="95" s="1"/>
  <c r="H22" i="99"/>
  <c r="H5" i="93"/>
  <c r="H12" i="93" s="1"/>
  <c r="E8" i="95" s="1"/>
  <c r="E22" i="99"/>
  <c r="C22" i="98"/>
  <c r="E22" i="102"/>
  <c r="F22" i="98"/>
  <c r="D22" i="102"/>
  <c r="G22" i="102"/>
  <c r="E22" i="98"/>
  <c r="J5" i="93"/>
  <c r="J12" i="93" s="1"/>
  <c r="G8" i="95" s="1"/>
  <c r="G22" i="99"/>
  <c r="F22" i="102"/>
  <c r="H22" i="98"/>
  <c r="G22" i="98"/>
  <c r="F5" i="93"/>
  <c r="F12" i="93" s="1"/>
  <c r="C8" i="95" s="1"/>
  <c r="C22" i="99"/>
  <c r="H22" i="102"/>
  <c r="C22" i="102"/>
  <c r="H14" i="106"/>
  <c r="J14" i="106"/>
  <c r="F14" i="106"/>
  <c r="G14" i="106"/>
  <c r="E14" i="106"/>
  <c r="I14" i="106"/>
  <c r="D8" i="103"/>
  <c r="H126" i="99" l="1"/>
  <c r="H121" i="102" s="1"/>
  <c r="H126" i="112"/>
  <c r="H121" i="115" s="1"/>
  <c r="G116" i="99"/>
  <c r="G116" i="112"/>
  <c r="F116" i="99"/>
  <c r="F116" i="112"/>
  <c r="D116" i="99"/>
  <c r="D116" i="112"/>
  <c r="H116" i="99"/>
  <c r="H116" i="112"/>
  <c r="E116" i="99"/>
  <c r="E116" i="112"/>
  <c r="C116" i="99"/>
  <c r="C116" i="112"/>
  <c r="D91" i="117"/>
  <c r="D90" i="117"/>
  <c r="D92" i="117"/>
  <c r="H89" i="108"/>
  <c r="H91" i="108" s="1"/>
  <c r="E77" i="108"/>
  <c r="E79" i="108" s="1"/>
  <c r="D89" i="108"/>
  <c r="D91" i="108" s="1"/>
  <c r="G83" i="108"/>
  <c r="G85" i="108" s="1"/>
  <c r="G77" i="108"/>
  <c r="G79" i="108" s="1"/>
  <c r="C77" i="108"/>
  <c r="C79" i="108" s="1"/>
  <c r="E83" i="108"/>
  <c r="E85" i="108" s="1"/>
  <c r="C83" i="108"/>
  <c r="C85" i="108" s="1"/>
  <c r="G89" i="108"/>
  <c r="G91" i="108" s="1"/>
  <c r="D83" i="108"/>
  <c r="D85" i="108" s="1"/>
  <c r="H77" i="108"/>
  <c r="H79" i="108" s="1"/>
  <c r="D77" i="108"/>
  <c r="D79" i="108" s="1"/>
  <c r="E89" i="108"/>
  <c r="E91" i="108" s="1"/>
  <c r="F77" i="108"/>
  <c r="F79" i="108" s="1"/>
  <c r="H83" i="108"/>
  <c r="H85" i="108" s="1"/>
  <c r="C89" i="108"/>
  <c r="C91" i="108" s="1"/>
  <c r="F83" i="108"/>
  <c r="F85" i="108" s="1"/>
  <c r="F89" i="108"/>
  <c r="F91" i="108" s="1"/>
  <c r="F116" i="98"/>
  <c r="F117" i="98" s="1"/>
  <c r="D116" i="98"/>
  <c r="D117" i="98" s="1"/>
  <c r="C103" i="113"/>
  <c r="C22" i="113"/>
  <c r="D22" i="113"/>
  <c r="D103" i="113"/>
  <c r="H22" i="113"/>
  <c r="H103" i="113"/>
  <c r="E103" i="113"/>
  <c r="E22" i="113"/>
  <c r="F103" i="113"/>
  <c r="F22" i="113"/>
  <c r="G22" i="113"/>
  <c r="G103" i="113"/>
  <c r="C45" i="108"/>
  <c r="D150" i="119" s="1"/>
  <c r="H116" i="98"/>
  <c r="H117" i="98" s="1"/>
  <c r="E116" i="98"/>
  <c r="E117" i="98" s="1"/>
  <c r="C116" i="98"/>
  <c r="C117" i="98" s="1"/>
  <c r="G116" i="98"/>
  <c r="G117" i="98" s="1"/>
  <c r="C156" i="109"/>
  <c r="C156" i="114"/>
  <c r="H162" i="109"/>
  <c r="H162" i="114"/>
  <c r="F162" i="109"/>
  <c r="F162" i="114"/>
  <c r="H150" i="109"/>
  <c r="H150" i="114"/>
  <c r="D162" i="109"/>
  <c r="D162" i="114"/>
  <c r="E156" i="109"/>
  <c r="E156" i="114"/>
  <c r="C162" i="109"/>
  <c r="C162" i="114"/>
  <c r="G156" i="109"/>
  <c r="G156" i="114"/>
  <c r="H156" i="109"/>
  <c r="H156" i="114"/>
  <c r="D150" i="109"/>
  <c r="D150" i="114"/>
  <c r="G162" i="109"/>
  <c r="G162" i="114"/>
  <c r="E150" i="109"/>
  <c r="E150" i="114"/>
  <c r="D156" i="109"/>
  <c r="D156" i="114"/>
  <c r="F150" i="109"/>
  <c r="F150" i="114"/>
  <c r="E162" i="109"/>
  <c r="E162" i="114"/>
  <c r="F156" i="109"/>
  <c r="F156" i="114"/>
  <c r="G150" i="109"/>
  <c r="G150" i="114"/>
  <c r="C61" i="89"/>
  <c r="D61" i="89"/>
  <c r="E61" i="89"/>
  <c r="F61" i="89"/>
  <c r="G61" i="89"/>
  <c r="H61" i="89"/>
  <c r="C62" i="89"/>
  <c r="D62" i="89"/>
  <c r="E62" i="89"/>
  <c r="F62" i="89"/>
  <c r="G62" i="89"/>
  <c r="H62" i="89"/>
  <c r="G130" i="119" l="1"/>
  <c r="F130" i="114"/>
  <c r="F130" i="109"/>
  <c r="F136" i="119"/>
  <c r="E136" i="114"/>
  <c r="E136" i="109"/>
  <c r="H136" i="119"/>
  <c r="G136" i="109"/>
  <c r="G136" i="114"/>
  <c r="H124" i="119"/>
  <c r="G124" i="109"/>
  <c r="G124" i="114"/>
  <c r="I136" i="119"/>
  <c r="H136" i="114"/>
  <c r="H136" i="109"/>
  <c r="D136" i="119"/>
  <c r="C136" i="109"/>
  <c r="C136" i="114"/>
  <c r="E124" i="119"/>
  <c r="D124" i="109"/>
  <c r="D124" i="114"/>
  <c r="D130" i="119"/>
  <c r="C130" i="114"/>
  <c r="C130" i="109"/>
  <c r="H130" i="119"/>
  <c r="G130" i="114"/>
  <c r="G130" i="109"/>
  <c r="I130" i="119"/>
  <c r="H130" i="109"/>
  <c r="H130" i="114"/>
  <c r="I124" i="119"/>
  <c r="H124" i="114"/>
  <c r="H124" i="109"/>
  <c r="F130" i="119"/>
  <c r="E130" i="114"/>
  <c r="E130" i="109"/>
  <c r="E136" i="119"/>
  <c r="D136" i="109"/>
  <c r="D136" i="114"/>
  <c r="G136" i="119"/>
  <c r="F136" i="109"/>
  <c r="F136" i="114"/>
  <c r="G124" i="119"/>
  <c r="F124" i="109"/>
  <c r="F124" i="114"/>
  <c r="E130" i="119"/>
  <c r="D130" i="109"/>
  <c r="D130" i="114"/>
  <c r="D124" i="119"/>
  <c r="C124" i="114"/>
  <c r="C124" i="109"/>
  <c r="F124" i="119"/>
  <c r="E124" i="114"/>
  <c r="E124" i="109"/>
  <c r="C150" i="109"/>
  <c r="C150" i="114"/>
  <c r="H41" i="50" l="1"/>
  <c r="H43" i="50" s="1"/>
  <c r="G41" i="50"/>
  <c r="G43" i="50" s="1"/>
  <c r="F41" i="50"/>
  <c r="F43" i="50" s="1"/>
  <c r="E41" i="50"/>
  <c r="E43" i="50" s="1"/>
  <c r="D41" i="50"/>
  <c r="D43" i="50" s="1"/>
  <c r="C41" i="50"/>
  <c r="C43" i="50" s="1"/>
  <c r="H38" i="50"/>
  <c r="G38" i="50"/>
  <c r="F38" i="50"/>
  <c r="E38" i="50"/>
  <c r="D38" i="50"/>
  <c r="C38" i="50"/>
  <c r="H33" i="50"/>
  <c r="G33" i="50"/>
  <c r="F33" i="50"/>
  <c r="E33" i="50"/>
  <c r="D33" i="50"/>
  <c r="C33" i="50"/>
  <c r="H27" i="50"/>
  <c r="G27" i="50"/>
  <c r="F27" i="50"/>
  <c r="E27" i="50"/>
  <c r="D27" i="50"/>
  <c r="C27" i="50"/>
  <c r="H19" i="50"/>
  <c r="G19" i="50"/>
  <c r="F19" i="50"/>
  <c r="E19" i="50"/>
  <c r="D19" i="50"/>
  <c r="C19" i="50"/>
  <c r="C60" i="90"/>
  <c r="D37" i="90"/>
  <c r="D58" i="90" s="1"/>
  <c r="E37" i="90"/>
  <c r="E58" i="90" s="1"/>
  <c r="F37" i="90"/>
  <c r="F58" i="90" s="1"/>
  <c r="G37" i="90"/>
  <c r="G58" i="90" s="1"/>
  <c r="H37" i="90"/>
  <c r="H58" i="90" s="1"/>
  <c r="C37" i="90"/>
  <c r="C58" i="90" s="1"/>
  <c r="D32" i="90"/>
  <c r="E32" i="90"/>
  <c r="F32" i="90"/>
  <c r="G32" i="90"/>
  <c r="H32" i="90"/>
  <c r="C32" i="90"/>
  <c r="C34" i="90" s="1"/>
  <c r="C55" i="90" s="1"/>
  <c r="A44" i="90"/>
  <c r="A43" i="90"/>
  <c r="A42" i="90"/>
  <c r="A41" i="90"/>
  <c r="A40" i="90"/>
  <c r="H36" i="90"/>
  <c r="H57" i="90" s="1"/>
  <c r="G36" i="90"/>
  <c r="G57" i="90" s="1"/>
  <c r="F36" i="90"/>
  <c r="F57" i="90" s="1"/>
  <c r="E36" i="90"/>
  <c r="E57" i="90" s="1"/>
  <c r="D36" i="90"/>
  <c r="D57" i="90" s="1"/>
  <c r="C36" i="90"/>
  <c r="C57" i="90" s="1"/>
  <c r="H29" i="90"/>
  <c r="G29" i="90"/>
  <c r="F29" i="90"/>
  <c r="E29" i="90"/>
  <c r="D29" i="90"/>
  <c r="C29" i="90"/>
  <c r="H23" i="90"/>
  <c r="G23" i="90"/>
  <c r="F23" i="90"/>
  <c r="E23" i="90"/>
  <c r="D23" i="90"/>
  <c r="C23" i="90"/>
  <c r="H17" i="90"/>
  <c r="G17" i="90"/>
  <c r="F17" i="90"/>
  <c r="E17" i="90"/>
  <c r="D17" i="90"/>
  <c r="C17" i="90"/>
  <c r="D11" i="90"/>
  <c r="H3" i="90"/>
  <c r="G3" i="90"/>
  <c r="F3" i="90"/>
  <c r="E3" i="90"/>
  <c r="D3" i="90"/>
  <c r="C3" i="90"/>
  <c r="D37" i="89"/>
  <c r="E37" i="89"/>
  <c r="E38" i="89" s="1"/>
  <c r="F37" i="89"/>
  <c r="G37" i="89"/>
  <c r="H37" i="89"/>
  <c r="C37" i="89"/>
  <c r="D32" i="89"/>
  <c r="E32" i="89"/>
  <c r="F32" i="89"/>
  <c r="G32" i="89"/>
  <c r="H32" i="89"/>
  <c r="C32" i="89"/>
  <c r="C34" i="89" s="1"/>
  <c r="A44" i="89"/>
  <c r="A43" i="89"/>
  <c r="A42" i="89"/>
  <c r="A41" i="89"/>
  <c r="A40" i="89"/>
  <c r="H36" i="89"/>
  <c r="H58" i="89" s="1"/>
  <c r="G36" i="89"/>
  <c r="G58" i="89" s="1"/>
  <c r="F36" i="89"/>
  <c r="F58" i="89" s="1"/>
  <c r="E36" i="89"/>
  <c r="E58" i="89" s="1"/>
  <c r="D36" i="89"/>
  <c r="D58" i="89" s="1"/>
  <c r="C36" i="89"/>
  <c r="C58" i="89" s="1"/>
  <c r="H29" i="89"/>
  <c r="G29" i="89"/>
  <c r="F29" i="89"/>
  <c r="E29" i="89"/>
  <c r="D29" i="89"/>
  <c r="C29" i="89"/>
  <c r="H23" i="89"/>
  <c r="G23" i="89"/>
  <c r="F23" i="89"/>
  <c r="E23" i="89"/>
  <c r="D23" i="89"/>
  <c r="C23" i="89"/>
  <c r="H17" i="89"/>
  <c r="G17" i="89"/>
  <c r="F17" i="89"/>
  <c r="E17" i="89"/>
  <c r="D17" i="89"/>
  <c r="C17" i="89"/>
  <c r="D11" i="89"/>
  <c r="H3" i="89"/>
  <c r="G3" i="89"/>
  <c r="F3" i="89"/>
  <c r="E3" i="89"/>
  <c r="D3" i="89"/>
  <c r="C3" i="89"/>
  <c r="D37" i="88"/>
  <c r="E37" i="88"/>
  <c r="F37" i="88"/>
  <c r="G37" i="88"/>
  <c r="H37" i="88"/>
  <c r="H57" i="88" s="1"/>
  <c r="C37" i="88"/>
  <c r="D32" i="88"/>
  <c r="E32" i="88"/>
  <c r="F32" i="88"/>
  <c r="G32" i="88"/>
  <c r="H32" i="88"/>
  <c r="C32" i="88"/>
  <c r="C34" i="88" s="1"/>
  <c r="C47" i="97" s="1"/>
  <c r="A44" i="88"/>
  <c r="A43" i="88"/>
  <c r="A42" i="88"/>
  <c r="A41" i="88"/>
  <c r="A40" i="88"/>
  <c r="H36" i="88"/>
  <c r="H56" i="88" s="1"/>
  <c r="G36" i="88"/>
  <c r="G56" i="88" s="1"/>
  <c r="F36" i="88"/>
  <c r="F56" i="88" s="1"/>
  <c r="E36" i="88"/>
  <c r="E56" i="88" s="1"/>
  <c r="D36" i="88"/>
  <c r="D56" i="88" s="1"/>
  <c r="C36" i="88"/>
  <c r="C56" i="88" s="1"/>
  <c r="H29" i="88"/>
  <c r="G29" i="88"/>
  <c r="F29" i="88"/>
  <c r="E29" i="88"/>
  <c r="D29" i="88"/>
  <c r="C29" i="88"/>
  <c r="H23" i="88"/>
  <c r="G23" i="88"/>
  <c r="F23" i="88"/>
  <c r="E23" i="88"/>
  <c r="D23" i="88"/>
  <c r="C23" i="88"/>
  <c r="H17" i="88"/>
  <c r="G17" i="88"/>
  <c r="F17" i="88"/>
  <c r="E17" i="88"/>
  <c r="D17" i="88"/>
  <c r="C17" i="88"/>
  <c r="D11" i="88"/>
  <c r="H3" i="88"/>
  <c r="G3" i="88"/>
  <c r="F3" i="88"/>
  <c r="E3" i="88"/>
  <c r="D3" i="88"/>
  <c r="C3" i="88"/>
  <c r="D37" i="87"/>
  <c r="E37" i="87"/>
  <c r="F37" i="87"/>
  <c r="G37" i="87"/>
  <c r="H37" i="87"/>
  <c r="C37" i="87"/>
  <c r="D32" i="87"/>
  <c r="E32" i="87"/>
  <c r="F32" i="87"/>
  <c r="G32" i="87"/>
  <c r="H32" i="87"/>
  <c r="C32" i="87"/>
  <c r="C34" i="87" s="1"/>
  <c r="A58" i="87"/>
  <c r="A57" i="87"/>
  <c r="A56" i="87"/>
  <c r="A55" i="87"/>
  <c r="A54" i="87"/>
  <c r="A53" i="87"/>
  <c r="H36" i="87"/>
  <c r="H71" i="87" s="1"/>
  <c r="G36" i="87"/>
  <c r="G71" i="87" s="1"/>
  <c r="F36" i="87"/>
  <c r="F71" i="87" s="1"/>
  <c r="E36" i="87"/>
  <c r="E71" i="87" s="1"/>
  <c r="D36" i="87"/>
  <c r="D71" i="87" s="1"/>
  <c r="C36" i="87"/>
  <c r="C71" i="87" s="1"/>
  <c r="H29" i="87"/>
  <c r="G29" i="87"/>
  <c r="F29" i="87"/>
  <c r="E29" i="87"/>
  <c r="D29" i="87"/>
  <c r="C29" i="87"/>
  <c r="H23" i="87"/>
  <c r="G23" i="87"/>
  <c r="F23" i="87"/>
  <c r="E23" i="87"/>
  <c r="D23" i="87"/>
  <c r="C23" i="87"/>
  <c r="H17" i="87"/>
  <c r="G17" i="87"/>
  <c r="F17" i="87"/>
  <c r="E17" i="87"/>
  <c r="D17" i="87"/>
  <c r="C17" i="87"/>
  <c r="D11" i="87"/>
  <c r="H3" i="87"/>
  <c r="G3" i="87"/>
  <c r="F3" i="87"/>
  <c r="E3" i="87"/>
  <c r="D3" i="87"/>
  <c r="C3" i="87"/>
  <c r="H71" i="63"/>
  <c r="G71" i="63"/>
  <c r="F71" i="63"/>
  <c r="E71" i="63"/>
  <c r="D71" i="63"/>
  <c r="C71" i="63"/>
  <c r="D66" i="63"/>
  <c r="E66" i="63"/>
  <c r="F66" i="63"/>
  <c r="G66" i="63"/>
  <c r="H66" i="63"/>
  <c r="C66" i="63"/>
  <c r="D42" i="63"/>
  <c r="E42" i="63"/>
  <c r="F42" i="63"/>
  <c r="G42" i="63"/>
  <c r="H42" i="63"/>
  <c r="C42" i="63"/>
  <c r="F22" i="63"/>
  <c r="C32" i="63"/>
  <c r="A80" i="63"/>
  <c r="C53" i="63"/>
  <c r="B53" i="63"/>
  <c r="B52" i="63"/>
  <c r="D51" i="63"/>
  <c r="E51" i="63" s="1"/>
  <c r="C44" i="63"/>
  <c r="B43" i="63"/>
  <c r="D41" i="63"/>
  <c r="D44" i="63" s="1"/>
  <c r="C31" i="63"/>
  <c r="D30" i="63"/>
  <c r="E30" i="63" s="1"/>
  <c r="F30" i="63" s="1"/>
  <c r="G30" i="63" s="1"/>
  <c r="H30" i="63" s="1"/>
  <c r="D28" i="63"/>
  <c r="E28" i="63" s="1"/>
  <c r="C21" i="63"/>
  <c r="E22" i="63"/>
  <c r="D17" i="63"/>
  <c r="D21" i="63" s="1"/>
  <c r="H11" i="63"/>
  <c r="G11" i="63"/>
  <c r="F11" i="63"/>
  <c r="E11" i="63"/>
  <c r="D11" i="63"/>
  <c r="C11" i="63"/>
  <c r="B11" i="63"/>
  <c r="B10" i="63"/>
  <c r="D77" i="64"/>
  <c r="E77" i="64"/>
  <c r="F77" i="64"/>
  <c r="G77" i="64"/>
  <c r="H77" i="64"/>
  <c r="C77" i="64"/>
  <c r="D57" i="86"/>
  <c r="E57" i="86"/>
  <c r="F57" i="86"/>
  <c r="G57" i="86"/>
  <c r="H57" i="86"/>
  <c r="C57" i="86"/>
  <c r="D37" i="86"/>
  <c r="E37" i="86"/>
  <c r="F37" i="86"/>
  <c r="G37" i="86"/>
  <c r="H37" i="86"/>
  <c r="C37" i="86"/>
  <c r="D32" i="86"/>
  <c r="D34" i="86" s="1"/>
  <c r="D51" i="97" s="1"/>
  <c r="E32" i="86"/>
  <c r="E34" i="86" s="1"/>
  <c r="E51" i="97" s="1"/>
  <c r="F32" i="86"/>
  <c r="F34" i="86" s="1"/>
  <c r="F51" i="97" s="1"/>
  <c r="G32" i="86"/>
  <c r="G34" i="86" s="1"/>
  <c r="G51" i="97" s="1"/>
  <c r="H32" i="86"/>
  <c r="H34" i="86" s="1"/>
  <c r="H51" i="97" s="1"/>
  <c r="C32" i="86"/>
  <c r="C34" i="86" s="1"/>
  <c r="C51" i="97" s="1"/>
  <c r="D22" i="86"/>
  <c r="D23" i="86" s="1"/>
  <c r="E22" i="86"/>
  <c r="E23" i="86" s="1"/>
  <c r="F22" i="86"/>
  <c r="F23" i="86" s="1"/>
  <c r="G22" i="86"/>
  <c r="G23" i="86" s="1"/>
  <c r="H22" i="86"/>
  <c r="H23" i="86" s="1"/>
  <c r="C22" i="86"/>
  <c r="C23" i="86" s="1"/>
  <c r="A45" i="86"/>
  <c r="A44" i="86"/>
  <c r="A43" i="86"/>
  <c r="A42" i="86"/>
  <c r="H29" i="86"/>
  <c r="G29" i="86"/>
  <c r="F29" i="86"/>
  <c r="E29" i="86"/>
  <c r="D29" i="86"/>
  <c r="C29" i="86"/>
  <c r="H17" i="86"/>
  <c r="G17" i="86"/>
  <c r="F17" i="86"/>
  <c r="E17" i="86"/>
  <c r="D17" i="86"/>
  <c r="C17" i="86"/>
  <c r="H3" i="86"/>
  <c r="G3" i="86"/>
  <c r="F3" i="86"/>
  <c r="E3" i="86"/>
  <c r="D3" i="86"/>
  <c r="C3" i="86"/>
  <c r="D59" i="85"/>
  <c r="E59" i="85"/>
  <c r="F59" i="85"/>
  <c r="G59" i="85"/>
  <c r="H59" i="85"/>
  <c r="C59" i="85"/>
  <c r="D37" i="85"/>
  <c r="E37" i="85"/>
  <c r="E38" i="85" s="1"/>
  <c r="F37" i="85"/>
  <c r="G37" i="85"/>
  <c r="H37" i="85"/>
  <c r="C37" i="85"/>
  <c r="D32" i="85"/>
  <c r="D34" i="85" s="1"/>
  <c r="D50" i="97" s="1"/>
  <c r="E32" i="85"/>
  <c r="E34" i="85" s="1"/>
  <c r="E50" i="97" s="1"/>
  <c r="F32" i="85"/>
  <c r="F34" i="85" s="1"/>
  <c r="F50" i="97" s="1"/>
  <c r="G32" i="85"/>
  <c r="G34" i="85" s="1"/>
  <c r="G50" i="97" s="1"/>
  <c r="H32" i="85"/>
  <c r="H34" i="85" s="1"/>
  <c r="H50" i="97" s="1"/>
  <c r="C32" i="85"/>
  <c r="C34" i="85" s="1"/>
  <c r="C50" i="97" s="1"/>
  <c r="D22" i="85"/>
  <c r="D23" i="85" s="1"/>
  <c r="E22" i="85"/>
  <c r="E23" i="85" s="1"/>
  <c r="F22" i="85"/>
  <c r="F23" i="85" s="1"/>
  <c r="G22" i="85"/>
  <c r="G23" i="85" s="1"/>
  <c r="H22" i="85"/>
  <c r="H23" i="85" s="1"/>
  <c r="C22" i="85"/>
  <c r="C23" i="85" s="1"/>
  <c r="A45" i="85"/>
  <c r="A44" i="85"/>
  <c r="A43" i="85"/>
  <c r="H29" i="85"/>
  <c r="G29" i="85"/>
  <c r="F29" i="85"/>
  <c r="E29" i="85"/>
  <c r="D29" i="85"/>
  <c r="C29" i="85"/>
  <c r="H17" i="85"/>
  <c r="G17" i="85"/>
  <c r="F17" i="85"/>
  <c r="E17" i="85"/>
  <c r="D17" i="85"/>
  <c r="C17" i="85"/>
  <c r="H3" i="85"/>
  <c r="G3" i="85"/>
  <c r="F3" i="85"/>
  <c r="E3" i="85"/>
  <c r="D3" i="85"/>
  <c r="C3" i="85"/>
  <c r="F46" i="64" l="1"/>
  <c r="F52" i="64" s="1"/>
  <c r="G46" i="64"/>
  <c r="G52" i="64" s="1"/>
  <c r="E46" i="64"/>
  <c r="E52" i="64" s="1"/>
  <c r="H46" i="64"/>
  <c r="H52" i="64" s="1"/>
  <c r="D46" i="64"/>
  <c r="D52" i="64" s="1"/>
  <c r="C46" i="64"/>
  <c r="C52" i="64" s="1"/>
  <c r="C44" i="50"/>
  <c r="C39" i="97"/>
  <c r="G44" i="50"/>
  <c r="G39" i="97"/>
  <c r="D34" i="90"/>
  <c r="D55" i="90" s="1"/>
  <c r="D44" i="50"/>
  <c r="D39" i="97"/>
  <c r="H44" i="50"/>
  <c r="H39" i="97"/>
  <c r="E44" i="50"/>
  <c r="E39" i="97"/>
  <c r="F44" i="50"/>
  <c r="F39" i="97"/>
  <c r="G35" i="89"/>
  <c r="G57" i="89" s="1"/>
  <c r="G39" i="50"/>
  <c r="D32" i="63"/>
  <c r="H35" i="86"/>
  <c r="H56" i="86" s="1"/>
  <c r="C46" i="87"/>
  <c r="C46" i="97"/>
  <c r="C69" i="87"/>
  <c r="E57" i="85"/>
  <c r="F55" i="86"/>
  <c r="H57" i="85"/>
  <c r="D57" i="85"/>
  <c r="E55" i="86"/>
  <c r="C57" i="85"/>
  <c r="G57" i="85"/>
  <c r="H55" i="86"/>
  <c r="D55" i="86"/>
  <c r="C54" i="88"/>
  <c r="F57" i="85"/>
  <c r="C55" i="86"/>
  <c r="G55" i="86"/>
  <c r="C56" i="89"/>
  <c r="C48" i="97"/>
  <c r="H46" i="102"/>
  <c r="H46" i="115"/>
  <c r="D46" i="102"/>
  <c r="D46" i="115"/>
  <c r="H90" i="102"/>
  <c r="H90" i="115"/>
  <c r="D90" i="102"/>
  <c r="D90" i="115"/>
  <c r="C92" i="102"/>
  <c r="C92" i="115"/>
  <c r="E92" i="102"/>
  <c r="E92" i="115"/>
  <c r="H82" i="102"/>
  <c r="H82" i="115"/>
  <c r="D82" i="102"/>
  <c r="D82" i="115"/>
  <c r="D84" i="102"/>
  <c r="D84" i="115"/>
  <c r="G90" i="102"/>
  <c r="G90" i="115"/>
  <c r="D92" i="102"/>
  <c r="D92" i="115"/>
  <c r="G82" i="102"/>
  <c r="G82" i="115"/>
  <c r="G84" i="102"/>
  <c r="G84" i="115"/>
  <c r="F90" i="102"/>
  <c r="F90" i="115"/>
  <c r="G92" i="102"/>
  <c r="G92" i="115"/>
  <c r="F82" i="102"/>
  <c r="F82" i="115"/>
  <c r="F84" i="102"/>
  <c r="F84" i="115"/>
  <c r="E91" i="102"/>
  <c r="E91" i="115"/>
  <c r="C90" i="102"/>
  <c r="C90" i="115"/>
  <c r="E90" i="102"/>
  <c r="E90" i="115"/>
  <c r="F92" i="102"/>
  <c r="F92" i="115"/>
  <c r="C82" i="102"/>
  <c r="C82" i="115"/>
  <c r="E82" i="102"/>
  <c r="E82" i="115"/>
  <c r="C84" i="102"/>
  <c r="C84" i="115"/>
  <c r="E84" i="102"/>
  <c r="E84" i="115"/>
  <c r="C39" i="50"/>
  <c r="F38" i="85"/>
  <c r="G38" i="85"/>
  <c r="E35" i="87"/>
  <c r="E50" i="87" s="1"/>
  <c r="F38" i="86"/>
  <c r="H38" i="85"/>
  <c r="D35" i="90"/>
  <c r="D56" i="90" s="1"/>
  <c r="H35" i="90"/>
  <c r="H56" i="90" s="1"/>
  <c r="G38" i="86"/>
  <c r="F72" i="87"/>
  <c r="F35" i="90"/>
  <c r="F38" i="90" s="1"/>
  <c r="F59" i="90" s="1"/>
  <c r="G35" i="86"/>
  <c r="G56" i="86" s="1"/>
  <c r="E38" i="86"/>
  <c r="D57" i="88"/>
  <c r="E60" i="85"/>
  <c r="H38" i="86"/>
  <c r="G58" i="86"/>
  <c r="C72" i="87"/>
  <c r="E72" i="87"/>
  <c r="H38" i="88"/>
  <c r="G57" i="88"/>
  <c r="C35" i="89"/>
  <c r="C57" i="89" s="1"/>
  <c r="E35" i="89"/>
  <c r="E57" i="89" s="1"/>
  <c r="H38" i="89"/>
  <c r="H59" i="89"/>
  <c r="D59" i="89"/>
  <c r="C60" i="85"/>
  <c r="H60" i="85"/>
  <c r="D60" i="85"/>
  <c r="F58" i="86"/>
  <c r="H72" i="87"/>
  <c r="D72" i="87"/>
  <c r="F57" i="88"/>
  <c r="G59" i="89"/>
  <c r="G60" i="85"/>
  <c r="E58" i="86"/>
  <c r="G72" i="87"/>
  <c r="C57" i="88"/>
  <c r="E57" i="88"/>
  <c r="G38" i="89"/>
  <c r="F38" i="89"/>
  <c r="F59" i="89"/>
  <c r="G35" i="90"/>
  <c r="G56" i="90" s="1"/>
  <c r="E61" i="85"/>
  <c r="F60" i="85"/>
  <c r="C58" i="86"/>
  <c r="H58" i="86"/>
  <c r="D58" i="86"/>
  <c r="E60" i="89"/>
  <c r="C59" i="89"/>
  <c r="E59" i="89"/>
  <c r="D60" i="63"/>
  <c r="H60" i="63"/>
  <c r="E60" i="63"/>
  <c r="E17" i="63"/>
  <c r="E31" i="63" s="1"/>
  <c r="D31" i="63"/>
  <c r="F60" i="63"/>
  <c r="C60" i="63"/>
  <c r="C69" i="63" s="1"/>
  <c r="G60" i="63"/>
  <c r="E42" i="50"/>
  <c r="F42" i="50"/>
  <c r="C42" i="50"/>
  <c r="G42" i="50"/>
  <c r="D42" i="50"/>
  <c r="H42" i="50"/>
  <c r="E39" i="50"/>
  <c r="D39" i="50"/>
  <c r="H39" i="50"/>
  <c r="F39" i="50"/>
  <c r="E35" i="90"/>
  <c r="C35" i="90"/>
  <c r="C56" i="90" s="1"/>
  <c r="D38" i="90"/>
  <c r="D59" i="90" s="1"/>
  <c r="H38" i="90"/>
  <c r="H59" i="90" s="1"/>
  <c r="E11" i="90"/>
  <c r="D34" i="89"/>
  <c r="D35" i="89"/>
  <c r="H35" i="89"/>
  <c r="H57" i="89" s="1"/>
  <c r="F35" i="89"/>
  <c r="F57" i="89" s="1"/>
  <c r="C38" i="89"/>
  <c r="E11" i="89"/>
  <c r="E35" i="88"/>
  <c r="G35" i="88"/>
  <c r="G55" i="88" s="1"/>
  <c r="D35" i="88"/>
  <c r="D55" i="88" s="1"/>
  <c r="H35" i="88"/>
  <c r="H55" i="88" s="1"/>
  <c r="D34" i="88"/>
  <c r="F35" i="88"/>
  <c r="F55" i="88" s="1"/>
  <c r="C35" i="88"/>
  <c r="C55" i="88" s="1"/>
  <c r="D38" i="88"/>
  <c r="E11" i="88"/>
  <c r="G35" i="87"/>
  <c r="D34" i="87"/>
  <c r="D35" i="87"/>
  <c r="H35" i="87"/>
  <c r="H70" i="87" s="1"/>
  <c r="F35" i="87"/>
  <c r="F38" i="87" s="1"/>
  <c r="C35" i="87"/>
  <c r="C38" i="87" s="1"/>
  <c r="D38" i="87"/>
  <c r="E38" i="87"/>
  <c r="E11" i="87"/>
  <c r="E53" i="63"/>
  <c r="F51" i="63"/>
  <c r="E32" i="63"/>
  <c r="F28" i="63"/>
  <c r="C22" i="63"/>
  <c r="C68" i="63" s="1"/>
  <c r="G22" i="63"/>
  <c r="D22" i="63"/>
  <c r="D68" i="63" s="1"/>
  <c r="H22" i="63"/>
  <c r="E41" i="63"/>
  <c r="D53" i="63"/>
  <c r="D35" i="86"/>
  <c r="C35" i="86"/>
  <c r="E35" i="86"/>
  <c r="E56" i="86" s="1"/>
  <c r="F35" i="86"/>
  <c r="F56" i="86" s="1"/>
  <c r="F35" i="85"/>
  <c r="F58" i="85" s="1"/>
  <c r="G35" i="85"/>
  <c r="G58" i="85" s="1"/>
  <c r="C35" i="85"/>
  <c r="C58" i="85" s="1"/>
  <c r="D35" i="85"/>
  <c r="D58" i="85" s="1"/>
  <c r="H35" i="85"/>
  <c r="H58" i="85" s="1"/>
  <c r="E35" i="85"/>
  <c r="E58" i="85" s="1"/>
  <c r="C38" i="85"/>
  <c r="D38" i="85"/>
  <c r="H75" i="64" l="1"/>
  <c r="D75" i="64"/>
  <c r="G75" i="64"/>
  <c r="E75" i="64"/>
  <c r="C75" i="64"/>
  <c r="F75" i="64"/>
  <c r="C28" i="97"/>
  <c r="G28" i="97"/>
  <c r="D28" i="97"/>
  <c r="D74" i="63"/>
  <c r="D73" i="63"/>
  <c r="D24" i="95"/>
  <c r="E21" i="63"/>
  <c r="E68" i="63" s="1"/>
  <c r="E28" i="97"/>
  <c r="C73" i="63"/>
  <c r="C74" i="63"/>
  <c r="C24" i="95"/>
  <c r="F28" i="97"/>
  <c r="F17" i="63"/>
  <c r="F31" i="63" s="1"/>
  <c r="H28" i="97"/>
  <c r="D47" i="97"/>
  <c r="D54" i="88"/>
  <c r="F61" i="85"/>
  <c r="D46" i="87"/>
  <c r="D46" i="97"/>
  <c r="D69" i="87"/>
  <c r="D56" i="89"/>
  <c r="D48" i="97"/>
  <c r="E70" i="87"/>
  <c r="E86" i="102"/>
  <c r="E86" i="115"/>
  <c r="E87" i="102"/>
  <c r="E87" i="115"/>
  <c r="G59" i="86"/>
  <c r="G46" i="102"/>
  <c r="G46" i="115"/>
  <c r="E46" i="102"/>
  <c r="E46" i="115"/>
  <c r="D86" i="102"/>
  <c r="D86" i="115"/>
  <c r="H84" i="102"/>
  <c r="H84" i="115"/>
  <c r="F46" i="102"/>
  <c r="F46" i="115"/>
  <c r="H92" i="102"/>
  <c r="H92" i="115"/>
  <c r="G91" i="102"/>
  <c r="G91" i="115"/>
  <c r="C86" i="102"/>
  <c r="C86" i="115"/>
  <c r="G86" i="102"/>
  <c r="G86" i="115"/>
  <c r="G61" i="85"/>
  <c r="C46" i="102"/>
  <c r="C46" i="115"/>
  <c r="H86" i="102"/>
  <c r="H86" i="115"/>
  <c r="H91" i="102"/>
  <c r="H91" i="115"/>
  <c r="F86" i="102"/>
  <c r="F86" i="115"/>
  <c r="E93" i="102"/>
  <c r="E93" i="115"/>
  <c r="G93" i="102"/>
  <c r="G93" i="115"/>
  <c r="F93" i="102"/>
  <c r="F93" i="115"/>
  <c r="F91" i="102"/>
  <c r="F91" i="115"/>
  <c r="G38" i="90"/>
  <c r="G59" i="90" s="1"/>
  <c r="F56" i="90"/>
  <c r="H38" i="87"/>
  <c r="H73" i="87" s="1"/>
  <c r="F59" i="86"/>
  <c r="E59" i="86"/>
  <c r="G38" i="88"/>
  <c r="G58" i="88" s="1"/>
  <c r="H61" i="85"/>
  <c r="C38" i="90"/>
  <c r="C59" i="90" s="1"/>
  <c r="C38" i="88"/>
  <c r="C58" i="88" s="1"/>
  <c r="F38" i="88"/>
  <c r="D61" i="85"/>
  <c r="E73" i="87"/>
  <c r="C73" i="87"/>
  <c r="D50" i="87"/>
  <c r="D70" i="87"/>
  <c r="D58" i="88"/>
  <c r="C60" i="89"/>
  <c r="G60" i="89"/>
  <c r="H60" i="89"/>
  <c r="C50" i="87"/>
  <c r="C70" i="87"/>
  <c r="H58" i="88"/>
  <c r="C61" i="85"/>
  <c r="C38" i="86"/>
  <c r="C56" i="86"/>
  <c r="D73" i="87"/>
  <c r="F50" i="87"/>
  <c r="F70" i="87"/>
  <c r="G50" i="87"/>
  <c r="G70" i="87"/>
  <c r="E38" i="88"/>
  <c r="E55" i="88"/>
  <c r="D38" i="86"/>
  <c r="D56" i="86"/>
  <c r="F73" i="87"/>
  <c r="D38" i="89"/>
  <c r="D57" i="89"/>
  <c r="E38" i="90"/>
  <c r="E59" i="90" s="1"/>
  <c r="E56" i="90"/>
  <c r="F60" i="89"/>
  <c r="H59" i="86"/>
  <c r="D69" i="63"/>
  <c r="C72" i="63"/>
  <c r="E34" i="90"/>
  <c r="E55" i="90" s="1"/>
  <c r="F11" i="90"/>
  <c r="F11" i="89"/>
  <c r="E34" i="89"/>
  <c r="E34" i="88"/>
  <c r="F11" i="88"/>
  <c r="G38" i="87"/>
  <c r="F11" i="87"/>
  <c r="E34" i="87"/>
  <c r="G51" i="63"/>
  <c r="F53" i="63"/>
  <c r="F32" i="63"/>
  <c r="G28" i="63"/>
  <c r="E44" i="63"/>
  <c r="E69" i="63" s="1"/>
  <c r="F41" i="63"/>
  <c r="F31" i="95"/>
  <c r="H31" i="95"/>
  <c r="E31" i="95"/>
  <c r="D31" i="95"/>
  <c r="G31" i="95"/>
  <c r="C31" i="95"/>
  <c r="F21" i="63" l="1"/>
  <c r="F68" i="63" s="1"/>
  <c r="F74" i="63" s="1"/>
  <c r="G17" i="63"/>
  <c r="G31" i="63" s="1"/>
  <c r="C78" i="64"/>
  <c r="C79" i="64"/>
  <c r="C80" i="64"/>
  <c r="F24" i="95"/>
  <c r="E74" i="63"/>
  <c r="E73" i="63"/>
  <c r="E24" i="95"/>
  <c r="E46" i="87"/>
  <c r="E46" i="97"/>
  <c r="E69" i="87"/>
  <c r="E47" i="97"/>
  <c r="E54" i="88"/>
  <c r="E56" i="89"/>
  <c r="E48" i="97"/>
  <c r="H93" i="102"/>
  <c r="H93" i="115"/>
  <c r="F83" i="102"/>
  <c r="F83" i="115"/>
  <c r="F87" i="102"/>
  <c r="F87" i="115"/>
  <c r="H85" i="102"/>
  <c r="H85" i="115"/>
  <c r="H83" i="102"/>
  <c r="H83" i="115"/>
  <c r="D85" i="102"/>
  <c r="D85" i="115"/>
  <c r="C83" i="102"/>
  <c r="C83" i="115"/>
  <c r="D91" i="102"/>
  <c r="D91" i="115"/>
  <c r="H87" i="102"/>
  <c r="H87" i="115"/>
  <c r="C87" i="102"/>
  <c r="C87" i="115"/>
  <c r="F85" i="102"/>
  <c r="F85" i="115"/>
  <c r="D83" i="102"/>
  <c r="D83" i="115"/>
  <c r="C91" i="102"/>
  <c r="C91" i="115"/>
  <c r="E83" i="102"/>
  <c r="E83" i="115"/>
  <c r="C85" i="102"/>
  <c r="C85" i="115"/>
  <c r="G87" i="102"/>
  <c r="G87" i="115"/>
  <c r="F58" i="88"/>
  <c r="D60" i="89"/>
  <c r="G73" i="87"/>
  <c r="C59" i="86"/>
  <c r="E58" i="88"/>
  <c r="D59" i="86"/>
  <c r="D72" i="63"/>
  <c r="E72" i="63"/>
  <c r="F34" i="90"/>
  <c r="F55" i="90" s="1"/>
  <c r="G11" i="90"/>
  <c r="F34" i="89"/>
  <c r="G11" i="89"/>
  <c r="G11" i="88"/>
  <c r="F34" i="88"/>
  <c r="F34" i="87"/>
  <c r="G11" i="87"/>
  <c r="H51" i="63"/>
  <c r="H53" i="63" s="1"/>
  <c r="G53" i="63"/>
  <c r="H28" i="63"/>
  <c r="H32" i="63" s="1"/>
  <c r="G32" i="63"/>
  <c r="F44" i="63"/>
  <c r="F69" i="63" s="1"/>
  <c r="G41" i="63"/>
  <c r="H17" i="63" l="1"/>
  <c r="H21" i="63" s="1"/>
  <c r="H68" i="63" s="1"/>
  <c r="G21" i="63"/>
  <c r="G68" i="63" s="1"/>
  <c r="G73" i="63" s="1"/>
  <c r="F73" i="63"/>
  <c r="E78" i="64"/>
  <c r="G30" i="94"/>
  <c r="E30" i="94"/>
  <c r="F30" i="94"/>
  <c r="C30" i="94"/>
  <c r="C22" i="94"/>
  <c r="D30" i="94"/>
  <c r="E80" i="64"/>
  <c r="E79" i="64"/>
  <c r="G24" i="95"/>
  <c r="D80" i="64"/>
  <c r="D79" i="64"/>
  <c r="F46" i="87"/>
  <c r="F46" i="97"/>
  <c r="F69" i="87"/>
  <c r="F56" i="89"/>
  <c r="F48" i="97"/>
  <c r="F47" i="97"/>
  <c r="F54" i="88"/>
  <c r="E85" i="102"/>
  <c r="E85" i="115"/>
  <c r="G83" i="102"/>
  <c r="G83" i="115"/>
  <c r="D87" i="102"/>
  <c r="D87" i="115"/>
  <c r="D93" i="102"/>
  <c r="D93" i="115"/>
  <c r="C93" i="102"/>
  <c r="C93" i="115"/>
  <c r="G85" i="102"/>
  <c r="G85" i="115"/>
  <c r="F72" i="63"/>
  <c r="D78" i="64"/>
  <c r="H11" i="90"/>
  <c r="H34" i="90" s="1"/>
  <c r="H55" i="90" s="1"/>
  <c r="G34" i="90"/>
  <c r="G55" i="90" s="1"/>
  <c r="G34" i="89"/>
  <c r="H11" i="89"/>
  <c r="H34" i="89" s="1"/>
  <c r="G34" i="88"/>
  <c r="H11" i="88"/>
  <c r="H34" i="88" s="1"/>
  <c r="G34" i="87"/>
  <c r="H11" i="87"/>
  <c r="H34" i="87" s="1"/>
  <c r="H31" i="63"/>
  <c r="G44" i="63"/>
  <c r="G69" i="63" s="1"/>
  <c r="H41" i="63"/>
  <c r="H44" i="63" s="1"/>
  <c r="G74" i="63" l="1"/>
  <c r="D22" i="94"/>
  <c r="H30" i="94"/>
  <c r="E22" i="94"/>
  <c r="H74" i="63"/>
  <c r="H73" i="63"/>
  <c r="H24" i="95"/>
  <c r="H69" i="63"/>
  <c r="H72" i="63" s="1"/>
  <c r="H46" i="97"/>
  <c r="H69" i="87"/>
  <c r="H56" i="89"/>
  <c r="H48" i="97"/>
  <c r="G56" i="89"/>
  <c r="G48" i="97"/>
  <c r="G46" i="87"/>
  <c r="G46" i="97"/>
  <c r="G69" i="87"/>
  <c r="H47" i="97"/>
  <c r="H54" i="88"/>
  <c r="G47" i="97"/>
  <c r="G54" i="88"/>
  <c r="C47" i="102"/>
  <c r="C47" i="115"/>
  <c r="F47" i="102"/>
  <c r="F47" i="115"/>
  <c r="G47" i="102"/>
  <c r="G47" i="115"/>
  <c r="H47" i="102"/>
  <c r="H47" i="115"/>
  <c r="D47" i="102"/>
  <c r="D47" i="115"/>
  <c r="E47" i="102"/>
  <c r="E47" i="115"/>
  <c r="G72" i="63"/>
  <c r="G79" i="64" l="1"/>
  <c r="F79" i="64"/>
  <c r="F78" i="64"/>
  <c r="G80" i="64" l="1"/>
  <c r="F80" i="64"/>
  <c r="H80" i="64"/>
  <c r="H79" i="64"/>
  <c r="G78" i="64"/>
  <c r="G22" i="94" l="1"/>
  <c r="F22" i="94"/>
  <c r="H22" i="94"/>
  <c r="H78" i="64" l="1"/>
  <c r="D82" i="33" l="1"/>
  <c r="E82" i="33" s="1"/>
  <c r="F82" i="33" s="1"/>
  <c r="G82" i="33" s="1"/>
  <c r="H82" i="33" s="1"/>
  <c r="D83" i="33"/>
  <c r="E83" i="33" s="1"/>
  <c r="F83" i="33" s="1"/>
  <c r="G83" i="33" s="1"/>
  <c r="H83" i="33" s="1"/>
  <c r="D84" i="33"/>
  <c r="E84" i="33" s="1"/>
  <c r="F84" i="33" s="1"/>
  <c r="G84" i="33" s="1"/>
  <c r="H84" i="33" s="1"/>
  <c r="C92" i="33"/>
  <c r="D92" i="33"/>
  <c r="E92" i="33"/>
  <c r="F92" i="33"/>
  <c r="G92" i="33"/>
  <c r="H92" i="33"/>
  <c r="C139" i="58" l="1"/>
  <c r="D30" i="82"/>
  <c r="E30" i="82"/>
  <c r="F30" i="82"/>
  <c r="G30" i="82"/>
  <c r="H30" i="82"/>
  <c r="E50" i="84" l="1"/>
  <c r="D50" i="84"/>
  <c r="H38" i="84"/>
  <c r="G38" i="84"/>
  <c r="F38" i="84"/>
  <c r="E38" i="84"/>
  <c r="D38" i="84"/>
  <c r="C38" i="84"/>
  <c r="H37" i="84"/>
  <c r="G37" i="84"/>
  <c r="F37" i="84"/>
  <c r="E37" i="84"/>
  <c r="D37" i="84"/>
  <c r="C37" i="84"/>
  <c r="C50" i="84"/>
  <c r="F50" i="84"/>
  <c r="G50" i="84"/>
  <c r="H50" i="84"/>
  <c r="D30" i="84"/>
  <c r="E30" i="84"/>
  <c r="F30" i="84"/>
  <c r="G30" i="84"/>
  <c r="H30" i="84"/>
  <c r="C30" i="84"/>
  <c r="D30" i="83"/>
  <c r="E30" i="83"/>
  <c r="F30" i="83"/>
  <c r="G30" i="83"/>
  <c r="H30" i="83"/>
  <c r="C30" i="83"/>
  <c r="I38" i="84" l="1"/>
  <c r="I30" i="84"/>
  <c r="I50" i="84"/>
  <c r="I30" i="83"/>
  <c r="I37" i="84"/>
  <c r="H35" i="70"/>
  <c r="G35" i="70"/>
  <c r="F35" i="70"/>
  <c r="E35" i="70"/>
  <c r="D35" i="70"/>
  <c r="C35" i="70"/>
  <c r="G34" i="70"/>
  <c r="F34" i="70"/>
  <c r="E34" i="70"/>
  <c r="D34" i="70"/>
  <c r="C34" i="70"/>
  <c r="H40" i="41"/>
  <c r="G40" i="41"/>
  <c r="F40" i="41"/>
  <c r="E40" i="41"/>
  <c r="D40" i="41"/>
  <c r="C40" i="41"/>
  <c r="C28" i="41"/>
  <c r="H57" i="40"/>
  <c r="G57" i="40"/>
  <c r="F57" i="40"/>
  <c r="E57" i="40"/>
  <c r="D57" i="40"/>
  <c r="C57" i="40"/>
  <c r="H56" i="40"/>
  <c r="G56" i="40"/>
  <c r="F56" i="40"/>
  <c r="E56" i="40"/>
  <c r="D56" i="40"/>
  <c r="C56" i="40"/>
  <c r="H31" i="40"/>
  <c r="G31" i="40"/>
  <c r="F31" i="40"/>
  <c r="E31" i="40"/>
  <c r="D31" i="40"/>
  <c r="C31" i="40"/>
  <c r="H30" i="40"/>
  <c r="G30" i="40"/>
  <c r="F30" i="40"/>
  <c r="E30" i="40"/>
  <c r="D30" i="40"/>
  <c r="C30" i="40"/>
  <c r="H45" i="48"/>
  <c r="G45" i="48"/>
  <c r="F45" i="48"/>
  <c r="E45" i="48"/>
  <c r="D45" i="48"/>
  <c r="C45" i="48"/>
  <c r="H44" i="48"/>
  <c r="G44" i="48"/>
  <c r="F44" i="48"/>
  <c r="E44" i="48"/>
  <c r="D44" i="48"/>
  <c r="C44" i="48"/>
  <c r="D28" i="41"/>
  <c r="I40" i="41" l="1"/>
  <c r="I45" i="48"/>
  <c r="I31" i="40"/>
  <c r="I44" i="48"/>
  <c r="I57" i="40"/>
  <c r="I34" i="70"/>
  <c r="I30" i="40"/>
  <c r="I56" i="40"/>
  <c r="I35" i="70"/>
  <c r="E28" i="41"/>
  <c r="F28" i="41" l="1"/>
  <c r="H28" i="41" l="1"/>
  <c r="G28" i="41"/>
  <c r="I28" i="41" l="1"/>
  <c r="E5" i="39"/>
  <c r="F5" i="39"/>
  <c r="G5" i="39"/>
  <c r="H5" i="39"/>
  <c r="I5" i="39"/>
  <c r="D5" i="39"/>
  <c r="I20" i="39" l="1"/>
  <c r="I32" i="39" s="1"/>
  <c r="I42" i="39" s="1"/>
  <c r="I50" i="39" s="1"/>
  <c r="H20" i="39"/>
  <c r="H32" i="39" s="1"/>
  <c r="H42" i="39" s="1"/>
  <c r="H50" i="39" s="1"/>
  <c r="G20" i="39"/>
  <c r="G32" i="39" s="1"/>
  <c r="G42" i="39" s="1"/>
  <c r="G50" i="39" s="1"/>
  <c r="F20" i="39"/>
  <c r="F32" i="39" s="1"/>
  <c r="F42" i="39" s="1"/>
  <c r="F50" i="39" s="1"/>
  <c r="D20" i="39"/>
  <c r="D32" i="39" s="1"/>
  <c r="D42" i="39" s="1"/>
  <c r="D50" i="39" s="1"/>
  <c r="E20" i="39"/>
  <c r="E32" i="39" s="1"/>
  <c r="E42" i="39" s="1"/>
  <c r="E50" i="39" s="1"/>
  <c r="E139" i="58"/>
  <c r="F139" i="58"/>
  <c r="G139" i="58"/>
  <c r="D139" i="58" l="1"/>
  <c r="H139" i="58"/>
  <c r="G94" i="102"/>
  <c r="G94" i="115"/>
  <c r="H94" i="102"/>
  <c r="H94" i="115"/>
  <c r="F94" i="102"/>
  <c r="F94" i="115"/>
  <c r="C94" i="102"/>
  <c r="C94" i="115"/>
  <c r="E94" i="102"/>
  <c r="E94" i="115"/>
  <c r="D94" i="102"/>
  <c r="D94" i="115"/>
  <c r="D69" i="58"/>
  <c r="E69" i="58"/>
  <c r="F69" i="58"/>
  <c r="G69" i="58"/>
  <c r="H69" i="58"/>
  <c r="D68" i="58"/>
  <c r="E68" i="58"/>
  <c r="F68" i="58"/>
  <c r="G68" i="58"/>
  <c r="H68" i="58"/>
  <c r="C68" i="58"/>
  <c r="I139" i="58" l="1"/>
  <c r="G97" i="115"/>
  <c r="G97" i="102"/>
  <c r="F97" i="115"/>
  <c r="F97" i="102"/>
  <c r="C97" i="115"/>
  <c r="C97" i="102"/>
  <c r="E97" i="115"/>
  <c r="E97" i="102"/>
  <c r="H97" i="115"/>
  <c r="H97" i="102"/>
  <c r="D97" i="115"/>
  <c r="D97" i="102"/>
  <c r="F96" i="102"/>
  <c r="F96" i="115"/>
  <c r="C96" i="102"/>
  <c r="C96" i="115"/>
  <c r="E96" i="102"/>
  <c r="E96" i="115"/>
  <c r="H96" i="102"/>
  <c r="H96" i="115"/>
  <c r="D96" i="102"/>
  <c r="D96" i="115"/>
  <c r="G96" i="102"/>
  <c r="G96" i="115"/>
  <c r="H95" i="115" l="1"/>
  <c r="H95" i="102"/>
  <c r="G95" i="115"/>
  <c r="G95" i="102"/>
  <c r="D95" i="115"/>
  <c r="D95" i="102"/>
  <c r="F95" i="115"/>
  <c r="F95" i="102"/>
  <c r="C95" i="115"/>
  <c r="C95" i="102"/>
  <c r="E95" i="115"/>
  <c r="E95" i="102"/>
  <c r="C49" i="97" l="1"/>
  <c r="D49" i="97"/>
  <c r="G88" i="102" l="1"/>
  <c r="G88" i="115"/>
  <c r="F88" i="102"/>
  <c r="F88" i="115"/>
  <c r="D88" i="102"/>
  <c r="D88" i="115"/>
  <c r="E88" i="102"/>
  <c r="E88" i="115"/>
  <c r="H88" i="102"/>
  <c r="H88" i="115"/>
  <c r="C88" i="102"/>
  <c r="C88" i="115"/>
  <c r="E49" i="97"/>
  <c r="D89" i="102" l="1"/>
  <c r="D89" i="115"/>
  <c r="H89" i="102"/>
  <c r="H89" i="115"/>
  <c r="G89" i="102"/>
  <c r="G89" i="115"/>
  <c r="E89" i="102"/>
  <c r="E89" i="115"/>
  <c r="F49" i="97"/>
  <c r="F89" i="102" l="1"/>
  <c r="F89" i="115"/>
  <c r="C89" i="102"/>
  <c r="C89" i="115"/>
  <c r="G49" i="97"/>
  <c r="H49" i="97"/>
  <c r="H6" i="71" l="1"/>
  <c r="G6" i="71"/>
  <c r="F6" i="71"/>
  <c r="E6" i="71"/>
  <c r="D6" i="71"/>
  <c r="C6" i="71"/>
  <c r="H6" i="70"/>
  <c r="G6" i="70"/>
  <c r="F6" i="70"/>
  <c r="E6" i="70"/>
  <c r="D6" i="70"/>
  <c r="C6" i="70"/>
  <c r="G6" i="52"/>
  <c r="G70" i="52" s="1"/>
  <c r="F6" i="52"/>
  <c r="F70" i="52" s="1"/>
  <c r="E6" i="52"/>
  <c r="D6" i="52"/>
  <c r="D70" i="52" s="1"/>
  <c r="C6" i="52"/>
  <c r="C70" i="52" s="1"/>
  <c r="H6" i="41"/>
  <c r="G6" i="41"/>
  <c r="F6" i="41"/>
  <c r="E6" i="41"/>
  <c r="D6" i="41"/>
  <c r="C6" i="41"/>
  <c r="H6" i="40"/>
  <c r="G6" i="40"/>
  <c r="F6" i="40"/>
  <c r="E6" i="40"/>
  <c r="D6" i="40"/>
  <c r="C6" i="40"/>
  <c r="H6" i="48"/>
  <c r="G6" i="48"/>
  <c r="F6" i="48"/>
  <c r="E6" i="48"/>
  <c r="D6" i="48"/>
  <c r="H6" i="47"/>
  <c r="G6" i="47"/>
  <c r="F6" i="47"/>
  <c r="E6" i="47"/>
  <c r="D6" i="47"/>
  <c r="I6" i="46" l="1"/>
  <c r="I6" i="71"/>
  <c r="I6" i="70"/>
  <c r="E70" i="52"/>
  <c r="I70" i="52" s="1"/>
  <c r="I6" i="52"/>
  <c r="I6" i="41"/>
  <c r="I6" i="40"/>
  <c r="I6" i="48"/>
  <c r="I6" i="47"/>
  <c r="H115" i="45"/>
  <c r="G115" i="45"/>
  <c r="F115" i="45"/>
  <c r="E115" i="45"/>
  <c r="D115" i="45"/>
  <c r="C115" i="45"/>
  <c r="H88" i="45"/>
  <c r="G88" i="45"/>
  <c r="F88" i="45"/>
  <c r="E88" i="45"/>
  <c r="D88" i="45"/>
  <c r="C88" i="45"/>
  <c r="H33" i="45"/>
  <c r="G33" i="45"/>
  <c r="F33" i="45"/>
  <c r="E33" i="45"/>
  <c r="D33" i="45"/>
  <c r="C33" i="45"/>
  <c r="D6" i="45"/>
  <c r="E6" i="45"/>
  <c r="F6" i="45"/>
  <c r="G6" i="45"/>
  <c r="H6" i="45"/>
  <c r="C6" i="45"/>
  <c r="H59" i="44"/>
  <c r="G59" i="44"/>
  <c r="F59" i="44"/>
  <c r="E59" i="44"/>
  <c r="D59" i="44"/>
  <c r="C59" i="44"/>
  <c r="H33" i="44"/>
  <c r="G33" i="44"/>
  <c r="F33" i="44"/>
  <c r="E33" i="44"/>
  <c r="D33" i="44"/>
  <c r="C33" i="44"/>
  <c r="C6" i="44"/>
  <c r="D6" i="43"/>
  <c r="E6" i="43"/>
  <c r="F6" i="43"/>
  <c r="G6" i="43"/>
  <c r="H6" i="43"/>
  <c r="C6" i="43"/>
  <c r="H169" i="43"/>
  <c r="G169" i="43"/>
  <c r="F169" i="43"/>
  <c r="E169" i="43"/>
  <c r="D169" i="43"/>
  <c r="C169" i="43"/>
  <c r="H142" i="43"/>
  <c r="G142" i="43"/>
  <c r="F142" i="43"/>
  <c r="E142" i="43"/>
  <c r="D142" i="43"/>
  <c r="H115" i="43"/>
  <c r="G115" i="43"/>
  <c r="F115" i="43"/>
  <c r="F134" i="43" s="1"/>
  <c r="E115" i="43"/>
  <c r="D115" i="43"/>
  <c r="D88" i="43"/>
  <c r="E88" i="43"/>
  <c r="F88" i="43"/>
  <c r="G88" i="43"/>
  <c r="H88" i="43"/>
  <c r="C88" i="43"/>
  <c r="H60" i="43"/>
  <c r="G60" i="43"/>
  <c r="F60" i="43"/>
  <c r="E60" i="43"/>
  <c r="D60" i="43"/>
  <c r="C60" i="43"/>
  <c r="D33" i="43"/>
  <c r="E33" i="43"/>
  <c r="F33" i="43"/>
  <c r="G33" i="43"/>
  <c r="H33" i="43"/>
  <c r="C33" i="43"/>
  <c r="I142" i="43" l="1"/>
  <c r="I88" i="43"/>
  <c r="C188" i="43"/>
  <c r="M183" i="43" s="1"/>
  <c r="I169" i="43"/>
  <c r="C25" i="44"/>
  <c r="K24" i="44" s="1"/>
  <c r="I6" i="44"/>
  <c r="C78" i="44"/>
  <c r="K75" i="44" s="1"/>
  <c r="I59" i="44"/>
  <c r="I33" i="43"/>
  <c r="I33" i="45"/>
  <c r="I115" i="45"/>
  <c r="I60" i="43"/>
  <c r="I115" i="43"/>
  <c r="C25" i="43"/>
  <c r="L22" i="43" s="1"/>
  <c r="I6" i="43"/>
  <c r="C52" i="44"/>
  <c r="C54" i="44" s="1"/>
  <c r="I33" i="44"/>
  <c r="I86" i="44"/>
  <c r="C25" i="45"/>
  <c r="L32" i="45" s="1"/>
  <c r="I6" i="45"/>
  <c r="C107" i="45"/>
  <c r="L105" i="45" s="1"/>
  <c r="I88" i="45"/>
  <c r="H31" i="84"/>
  <c r="G31" i="84"/>
  <c r="F31" i="84"/>
  <c r="E31" i="84"/>
  <c r="D31" i="84"/>
  <c r="C31" i="84"/>
  <c r="H3" i="84"/>
  <c r="G3" i="84"/>
  <c r="F3" i="84"/>
  <c r="E3" i="84"/>
  <c r="D3" i="84"/>
  <c r="C3" i="84"/>
  <c r="H50" i="83"/>
  <c r="G50" i="83"/>
  <c r="F50" i="83"/>
  <c r="E50" i="83"/>
  <c r="D50" i="83"/>
  <c r="C50" i="83"/>
  <c r="H38" i="83"/>
  <c r="G38" i="83"/>
  <c r="F38" i="83"/>
  <c r="E38" i="83"/>
  <c r="D38" i="83"/>
  <c r="C38" i="83"/>
  <c r="H37" i="83"/>
  <c r="G37" i="83"/>
  <c r="F37" i="83"/>
  <c r="E37" i="83"/>
  <c r="D37" i="83"/>
  <c r="C37" i="83"/>
  <c r="H31" i="83"/>
  <c r="G31" i="83"/>
  <c r="F31" i="83"/>
  <c r="E31" i="83"/>
  <c r="D31" i="83"/>
  <c r="C31" i="83"/>
  <c r="H3" i="83"/>
  <c r="G3" i="83"/>
  <c r="F3" i="83"/>
  <c r="E3" i="83"/>
  <c r="D3" i="83"/>
  <c r="C3" i="83"/>
  <c r="I37" i="83" l="1"/>
  <c r="C80" i="44"/>
  <c r="K49" i="44"/>
  <c r="I50" i="83"/>
  <c r="I31" i="84"/>
  <c r="J6" i="45"/>
  <c r="J6" i="43"/>
  <c r="J6" i="44"/>
  <c r="I31" i="83"/>
  <c r="I38" i="83"/>
  <c r="J2" i="106"/>
  <c r="K2" i="93"/>
  <c r="H2" i="106"/>
  <c r="I2" i="93"/>
  <c r="J2" i="93"/>
  <c r="I2" i="106"/>
  <c r="H2" i="93"/>
  <c r="G2" i="106"/>
  <c r="F2" i="106"/>
  <c r="G2" i="93"/>
  <c r="F2" i="93"/>
  <c r="E2" i="106"/>
  <c r="D48" i="83"/>
  <c r="D56" i="83" s="1"/>
  <c r="H48" i="83"/>
  <c r="H56" i="83" s="1"/>
  <c r="D48" i="84"/>
  <c r="D56" i="84" s="1"/>
  <c r="H48" i="84"/>
  <c r="H56" i="84" s="1"/>
  <c r="E48" i="83"/>
  <c r="E56" i="83" s="1"/>
  <c r="E48" i="84"/>
  <c r="E56" i="84" s="1"/>
  <c r="F48" i="83"/>
  <c r="F56" i="83" s="1"/>
  <c r="F48" i="84"/>
  <c r="F56" i="84" s="1"/>
  <c r="G48" i="83"/>
  <c r="G56" i="83" s="1"/>
  <c r="C48" i="84"/>
  <c r="G48" i="84"/>
  <c r="G56" i="84" s="1"/>
  <c r="C48" i="83"/>
  <c r="C5" i="143" l="1"/>
  <c r="F5" i="143" s="1"/>
  <c r="F23" i="143" s="1"/>
  <c r="C56" i="83"/>
  <c r="I56" i="83" s="1"/>
  <c r="I48" i="83"/>
  <c r="I48" i="84"/>
  <c r="C56" i="84"/>
  <c r="I56" i="84" s="1"/>
  <c r="G26" i="106"/>
  <c r="G54" i="106" s="1"/>
  <c r="G16" i="106"/>
  <c r="F26" i="106"/>
  <c r="F48" i="106" s="1"/>
  <c r="F16" i="106"/>
  <c r="J26" i="106"/>
  <c r="J48" i="106" s="1"/>
  <c r="J16" i="106"/>
  <c r="I26" i="106"/>
  <c r="I54" i="106" s="1"/>
  <c r="I16" i="106"/>
  <c r="H26" i="106"/>
  <c r="H54" i="106" s="1"/>
  <c r="H16" i="106"/>
  <c r="E26" i="106"/>
  <c r="E54" i="106" s="1"/>
  <c r="E16" i="106"/>
  <c r="G5" i="143" l="1"/>
  <c r="C23" i="143"/>
  <c r="G23" i="143" s="1"/>
  <c r="E48" i="106"/>
  <c r="G48" i="106"/>
  <c r="I48" i="106"/>
  <c r="F54" i="106"/>
  <c r="J54" i="106"/>
  <c r="H48" i="106"/>
  <c r="I51" i="82" l="1"/>
  <c r="H50" i="82"/>
  <c r="G50" i="82"/>
  <c r="F50" i="82"/>
  <c r="E50" i="82"/>
  <c r="D50" i="82"/>
  <c r="C50" i="82"/>
  <c r="H38" i="82"/>
  <c r="G38" i="82"/>
  <c r="F38" i="82"/>
  <c r="E38" i="82"/>
  <c r="D38" i="82"/>
  <c r="C38" i="82"/>
  <c r="H37" i="82"/>
  <c r="G37" i="82"/>
  <c r="F37" i="82"/>
  <c r="E37" i="82"/>
  <c r="D37" i="82"/>
  <c r="C37" i="82"/>
  <c r="H31" i="82"/>
  <c r="G31" i="82"/>
  <c r="F31" i="82"/>
  <c r="E31" i="82"/>
  <c r="D31" i="82"/>
  <c r="H3" i="82"/>
  <c r="G3" i="82"/>
  <c r="F3" i="82"/>
  <c r="E3" i="82"/>
  <c r="D3" i="82"/>
  <c r="C3" i="82"/>
  <c r="D48" i="82" l="1"/>
  <c r="D56" i="82" s="1"/>
  <c r="H48" i="82"/>
  <c r="H56" i="82" s="1"/>
  <c r="E48" i="82"/>
  <c r="E56" i="82" s="1"/>
  <c r="F48" i="82"/>
  <c r="F56" i="82" s="1"/>
  <c r="G48" i="82"/>
  <c r="G56" i="82" s="1"/>
  <c r="C48" i="82"/>
  <c r="C56" i="82" l="1"/>
  <c r="C70" i="39"/>
  <c r="C58" i="70" l="1"/>
  <c r="F58" i="70"/>
  <c r="E58" i="70"/>
  <c r="H58" i="70"/>
  <c r="D58" i="70"/>
  <c r="G58" i="70"/>
  <c r="I58" i="70" l="1"/>
  <c r="D4" i="22" l="1"/>
  <c r="D69" i="22" l="1"/>
  <c r="D78" i="24"/>
  <c r="B78" i="24"/>
  <c r="E78" i="24"/>
  <c r="G78" i="24"/>
  <c r="C78" i="24"/>
  <c r="F78" i="24"/>
  <c r="C4" i="108"/>
  <c r="C21" i="108" s="1"/>
  <c r="B49" i="127"/>
  <c r="H4" i="108"/>
  <c r="H21" i="108" s="1"/>
  <c r="B54" i="127"/>
  <c r="F4" i="108"/>
  <c r="F21" i="108" s="1"/>
  <c r="B52" i="127"/>
  <c r="E4" i="108"/>
  <c r="E15" i="108" s="1"/>
  <c r="E34" i="108" s="1"/>
  <c r="B51" i="127"/>
  <c r="G4" i="108"/>
  <c r="G15" i="108" s="1"/>
  <c r="G34" i="108" s="1"/>
  <c r="B53" i="127"/>
  <c r="D4" i="108"/>
  <c r="D15" i="108" s="1"/>
  <c r="D34" i="108" s="1"/>
  <c r="B50" i="127"/>
  <c r="H78" i="24" l="1"/>
  <c r="I69" i="22"/>
  <c r="D21" i="108"/>
  <c r="E21" i="108"/>
  <c r="C15" i="108"/>
  <c r="C34" i="108" s="1"/>
  <c r="H15" i="108"/>
  <c r="H34" i="108" s="1"/>
  <c r="G21" i="108"/>
  <c r="F15" i="108"/>
  <c r="F34" i="108" s="1"/>
  <c r="K50" i="127"/>
  <c r="C50" i="127"/>
  <c r="C51" i="127"/>
  <c r="K51" i="127"/>
  <c r="K54" i="127"/>
  <c r="C54" i="127"/>
  <c r="C53" i="127"/>
  <c r="K53" i="127"/>
  <c r="C52" i="127"/>
  <c r="K52" i="127"/>
  <c r="K49" i="127"/>
  <c r="C49" i="127"/>
  <c r="D3" i="78"/>
  <c r="E3" i="78"/>
  <c r="F3" i="78"/>
  <c r="G3" i="78"/>
  <c r="H3" i="78"/>
  <c r="C3" i="78"/>
  <c r="G54" i="127" l="1"/>
  <c r="L54" i="127" s="1"/>
  <c r="C57" i="48"/>
  <c r="C65" i="48" l="1"/>
  <c r="E28" i="106" l="1"/>
  <c r="C43" i="47" l="1"/>
  <c r="I60" i="39" l="1"/>
  <c r="I80" i="39" l="1"/>
  <c r="H64" i="58"/>
  <c r="E60" i="39"/>
  <c r="F60" i="39"/>
  <c r="G60" i="39"/>
  <c r="H60" i="39"/>
  <c r="H130" i="58" l="1"/>
  <c r="G80" i="39"/>
  <c r="F64" i="58"/>
  <c r="F80" i="39"/>
  <c r="E64" i="58"/>
  <c r="E80" i="39"/>
  <c r="D64" i="58"/>
  <c r="H80" i="39"/>
  <c r="G64" i="58"/>
  <c r="D34" i="78"/>
  <c r="E34" i="78"/>
  <c r="F34" i="78"/>
  <c r="G34" i="78"/>
  <c r="H34" i="78"/>
  <c r="C34" i="78"/>
  <c r="D29" i="78"/>
  <c r="D31" i="78" s="1"/>
  <c r="E29" i="78"/>
  <c r="E31" i="78" s="1"/>
  <c r="F29" i="78"/>
  <c r="F31" i="78" s="1"/>
  <c r="G29" i="78"/>
  <c r="G31" i="78" s="1"/>
  <c r="H29" i="78"/>
  <c r="H31" i="78" s="1"/>
  <c r="C29" i="78"/>
  <c r="C26" i="78"/>
  <c r="H25" i="78"/>
  <c r="H26" i="78" s="1"/>
  <c r="G25" i="78"/>
  <c r="G26" i="78" s="1"/>
  <c r="F25" i="78"/>
  <c r="F26" i="78" s="1"/>
  <c r="E25" i="78"/>
  <c r="E26" i="78" s="1"/>
  <c r="D25" i="78"/>
  <c r="D26" i="78" s="1"/>
  <c r="D130" i="58" l="1"/>
  <c r="E130" i="58"/>
  <c r="F130" i="58"/>
  <c r="G130" i="58"/>
  <c r="E32" i="78"/>
  <c r="C32" i="78"/>
  <c r="F32" i="78"/>
  <c r="G32" i="78"/>
  <c r="D32" i="78"/>
  <c r="H32" i="78"/>
  <c r="C31" i="78"/>
  <c r="M130" i="58" l="1"/>
  <c r="N130" i="58"/>
  <c r="I130" i="58"/>
  <c r="H35" i="78"/>
  <c r="F35" i="78"/>
  <c r="G35" i="78"/>
  <c r="E35" i="78"/>
  <c r="D35" i="78"/>
  <c r="C35" i="78"/>
  <c r="C47" i="71" l="1"/>
  <c r="D3" i="61" l="1"/>
  <c r="E3" i="61"/>
  <c r="F3" i="61"/>
  <c r="G3" i="61"/>
  <c r="H3" i="61"/>
  <c r="C3" i="61"/>
  <c r="D3" i="48" l="1"/>
  <c r="E3" i="48"/>
  <c r="F3" i="48"/>
  <c r="G3" i="48"/>
  <c r="H3" i="48"/>
  <c r="D3" i="47"/>
  <c r="E3" i="47"/>
  <c r="F3" i="47"/>
  <c r="G3" i="47"/>
  <c r="H3" i="47"/>
  <c r="D3" i="45"/>
  <c r="E3" i="45"/>
  <c r="F3" i="45"/>
  <c r="G3" i="45"/>
  <c r="H3" i="45"/>
  <c r="D3" i="44"/>
  <c r="E3" i="44"/>
  <c r="F3" i="44"/>
  <c r="G3" i="44"/>
  <c r="H3" i="44"/>
  <c r="D3" i="43"/>
  <c r="E3" i="43"/>
  <c r="F3" i="43"/>
  <c r="G3" i="43"/>
  <c r="H3" i="43"/>
  <c r="D1" i="76"/>
  <c r="E1" i="76"/>
  <c r="F1" i="76"/>
  <c r="G1" i="76"/>
  <c r="H1" i="76"/>
  <c r="C1" i="76"/>
  <c r="D4" i="33"/>
  <c r="D38" i="33" s="1"/>
  <c r="E4" i="33"/>
  <c r="E38" i="33" s="1"/>
  <c r="F4" i="33"/>
  <c r="F38" i="33" s="1"/>
  <c r="G4" i="33"/>
  <c r="G38" i="33" s="1"/>
  <c r="H4" i="33"/>
  <c r="H38" i="33" s="1"/>
  <c r="C4" i="33"/>
  <c r="D3" i="71"/>
  <c r="E3" i="71"/>
  <c r="F3" i="71"/>
  <c r="G3" i="71"/>
  <c r="H3" i="71"/>
  <c r="C3" i="71"/>
  <c r="D3" i="46"/>
  <c r="E3" i="46"/>
  <c r="F3" i="46"/>
  <c r="G3" i="46"/>
  <c r="H3" i="46"/>
  <c r="C3" i="46"/>
  <c r="D3" i="70"/>
  <c r="E3" i="70"/>
  <c r="F3" i="70"/>
  <c r="G3" i="70"/>
  <c r="H3" i="70"/>
  <c r="C3" i="70"/>
  <c r="D3" i="52"/>
  <c r="E3" i="52"/>
  <c r="F3" i="52"/>
  <c r="G3" i="52"/>
  <c r="H3" i="52"/>
  <c r="C3" i="52"/>
  <c r="D3" i="41"/>
  <c r="E3" i="41"/>
  <c r="F3" i="41"/>
  <c r="G3" i="41"/>
  <c r="H3" i="41"/>
  <c r="C3" i="41"/>
  <c r="D3" i="40"/>
  <c r="E3" i="40"/>
  <c r="F3" i="40"/>
  <c r="G3" i="40"/>
  <c r="H3" i="40"/>
  <c r="C3" i="40"/>
  <c r="C3" i="48"/>
  <c r="C3" i="47"/>
  <c r="C3" i="45"/>
  <c r="C3" i="44"/>
  <c r="C3" i="43"/>
  <c r="F1" i="73"/>
  <c r="C24" i="73" s="1"/>
  <c r="G1" i="73"/>
  <c r="C36" i="73" s="1"/>
  <c r="H1" i="73"/>
  <c r="C48" i="73" s="1"/>
  <c r="I1" i="73"/>
  <c r="C60" i="73" s="1"/>
  <c r="J1" i="73"/>
  <c r="C72" i="73" s="1"/>
  <c r="E1" i="73"/>
  <c r="C12" i="73" s="1"/>
  <c r="C3" i="72"/>
  <c r="C7" i="72" s="1"/>
  <c r="D3" i="72"/>
  <c r="D7" i="72" s="1"/>
  <c r="E3" i="72"/>
  <c r="E7" i="72" s="1"/>
  <c r="F3" i="72"/>
  <c r="F7" i="72" s="1"/>
  <c r="G3" i="72"/>
  <c r="G7" i="72" s="1"/>
  <c r="B3" i="72"/>
  <c r="B7" i="72" s="1"/>
  <c r="D3" i="22"/>
  <c r="D32" i="22" s="1"/>
  <c r="E3" i="22"/>
  <c r="E48" i="22" s="1"/>
  <c r="F3" i="22"/>
  <c r="F48" i="22" s="1"/>
  <c r="G3" i="22"/>
  <c r="G32" i="22" s="1"/>
  <c r="H3" i="22"/>
  <c r="H32" i="22" s="1"/>
  <c r="C3" i="22"/>
  <c r="C48" i="22" s="1"/>
  <c r="D5" i="58"/>
  <c r="D21" i="58" s="1"/>
  <c r="E5" i="58"/>
  <c r="E21" i="58" s="1"/>
  <c r="F5" i="58"/>
  <c r="F21" i="58" s="1"/>
  <c r="G5" i="58"/>
  <c r="G21" i="58" s="1"/>
  <c r="H5" i="58"/>
  <c r="H21" i="58" s="1"/>
  <c r="C5" i="58"/>
  <c r="C21" i="58" s="1"/>
  <c r="D4" i="24"/>
  <c r="D68" i="24" s="1"/>
  <c r="E4" i="24"/>
  <c r="E12" i="24" s="1"/>
  <c r="F4" i="24"/>
  <c r="F12" i="24" s="1"/>
  <c r="G4" i="24"/>
  <c r="G68" i="24" s="1"/>
  <c r="H4" i="24"/>
  <c r="H68" i="24" s="1"/>
  <c r="C4" i="24"/>
  <c r="C68" i="24" s="1"/>
  <c r="D5" i="23"/>
  <c r="D17" i="23" s="1"/>
  <c r="E5" i="23"/>
  <c r="E28" i="23" s="1"/>
  <c r="F5" i="23"/>
  <c r="F41" i="23" s="1"/>
  <c r="G5" i="23"/>
  <c r="G28" i="23" s="1"/>
  <c r="H5" i="23"/>
  <c r="H17" i="23" s="1"/>
  <c r="C5" i="23"/>
  <c r="C28" i="23" s="1"/>
  <c r="C38" i="33" l="1"/>
  <c r="C42" i="33"/>
  <c r="C65" i="33"/>
  <c r="H65" i="33"/>
  <c r="H42" i="33"/>
  <c r="D65" i="33"/>
  <c r="D42" i="33"/>
  <c r="G65" i="33"/>
  <c r="G42" i="33"/>
  <c r="F65" i="33"/>
  <c r="F42" i="33"/>
  <c r="E65" i="33"/>
  <c r="E42" i="33"/>
  <c r="H7" i="24"/>
  <c r="C32" i="22"/>
  <c r="F62" i="24"/>
  <c r="D7" i="24"/>
  <c r="G17" i="23"/>
  <c r="D42" i="22"/>
  <c r="E17" i="23"/>
  <c r="H62" i="24"/>
  <c r="H42" i="22"/>
  <c r="G41" i="23"/>
  <c r="E41" i="23"/>
  <c r="F7" i="24"/>
  <c r="D62" i="24"/>
  <c r="F42" i="22"/>
  <c r="H28" i="23"/>
  <c r="D28" i="23"/>
  <c r="F17" i="23"/>
  <c r="H41" i="23"/>
  <c r="D41" i="23"/>
  <c r="G7" i="24"/>
  <c r="H12" i="24"/>
  <c r="D12" i="24"/>
  <c r="E62" i="24"/>
  <c r="F68" i="24"/>
  <c r="F32" i="22"/>
  <c r="G42" i="22"/>
  <c r="H48" i="22"/>
  <c r="D48" i="22"/>
  <c r="F28" i="23"/>
  <c r="E68" i="24"/>
  <c r="E32" i="22"/>
  <c r="G12" i="24"/>
  <c r="G48" i="22"/>
  <c r="E7" i="24"/>
  <c r="G62" i="24"/>
  <c r="E42" i="22"/>
  <c r="C17" i="23"/>
  <c r="C41" i="23"/>
  <c r="C7" i="24"/>
  <c r="C62" i="24"/>
  <c r="C38" i="22"/>
  <c r="C42" i="22"/>
  <c r="C12" i="24"/>
  <c r="B43" i="22" l="1"/>
  <c r="D6" i="74" l="1"/>
  <c r="G23" i="72"/>
  <c r="F23" i="72"/>
  <c r="E23" i="72"/>
  <c r="D23" i="72"/>
  <c r="C23" i="72"/>
  <c r="B23" i="72"/>
  <c r="G15" i="72"/>
  <c r="J7" i="73" s="1"/>
  <c r="F15" i="72"/>
  <c r="I7" i="73" s="1"/>
  <c r="E15" i="72"/>
  <c r="H7" i="73" s="1"/>
  <c r="D15" i="72"/>
  <c r="G7" i="73" s="1"/>
  <c r="C15" i="72"/>
  <c r="F7" i="73" s="1"/>
  <c r="B15" i="72"/>
  <c r="E7" i="73" s="1"/>
  <c r="D7" i="74" l="1"/>
  <c r="D44" i="58" l="1"/>
  <c r="D70" i="102" l="1"/>
  <c r="D70" i="115"/>
  <c r="D29" i="71"/>
  <c r="E29" i="71"/>
  <c r="F29" i="71"/>
  <c r="G29" i="71"/>
  <c r="H29" i="71"/>
  <c r="I29" i="71" l="1"/>
  <c r="G44" i="58"/>
  <c r="F44" i="58"/>
  <c r="E44" i="58"/>
  <c r="C44" i="58"/>
  <c r="F70" i="102" l="1"/>
  <c r="F70" i="115"/>
  <c r="G70" i="102"/>
  <c r="G70" i="115"/>
  <c r="E70" i="102"/>
  <c r="E70" i="115"/>
  <c r="C70" i="102"/>
  <c r="C70" i="115"/>
  <c r="H70" i="102"/>
  <c r="H70" i="115"/>
  <c r="G52" i="41"/>
  <c r="F188" i="43" l="1"/>
  <c r="H31" i="106" s="1"/>
  <c r="E9" i="72" l="1"/>
  <c r="F9" i="72"/>
  <c r="D9" i="72"/>
  <c r="C9" i="72"/>
  <c r="G9" i="72"/>
  <c r="B9" i="72" l="1"/>
  <c r="E18" i="73" s="1"/>
  <c r="F5" i="76"/>
  <c r="G5" i="76"/>
  <c r="H5" i="76"/>
  <c r="E33" i="73"/>
  <c r="E30" i="73"/>
  <c r="E42" i="73"/>
  <c r="E45" i="73"/>
  <c r="D5" i="76"/>
  <c r="E66" i="73"/>
  <c r="E69" i="73"/>
  <c r="C5" i="76"/>
  <c r="E78" i="73"/>
  <c r="E81" i="73"/>
  <c r="E57" i="73"/>
  <c r="E54" i="73"/>
  <c r="E5" i="76"/>
  <c r="E21" i="73" l="1"/>
  <c r="C45" i="70"/>
  <c r="C53" i="70" l="1"/>
  <c r="C52" i="70"/>
  <c r="G12" i="72"/>
  <c r="E12" i="72"/>
  <c r="F12" i="72"/>
  <c r="D12" i="72" l="1"/>
  <c r="B12" i="72"/>
  <c r="C12" i="72"/>
  <c r="C71" i="40"/>
  <c r="C40" i="98" l="1"/>
  <c r="C40" i="113"/>
  <c r="C40" i="111"/>
  <c r="D34" i="71"/>
  <c r="E34" i="71"/>
  <c r="F34" i="71"/>
  <c r="G34" i="71"/>
  <c r="H34" i="71"/>
  <c r="C34" i="71"/>
  <c r="D19" i="71"/>
  <c r="D35" i="71" s="1"/>
  <c r="E19" i="71"/>
  <c r="E35" i="71" s="1"/>
  <c r="F19" i="71"/>
  <c r="F35" i="71" s="1"/>
  <c r="G19" i="71"/>
  <c r="G35" i="71" s="1"/>
  <c r="H19" i="71"/>
  <c r="H35" i="71" s="1"/>
  <c r="C19" i="71"/>
  <c r="D41" i="52"/>
  <c r="E41" i="52"/>
  <c r="F41" i="52"/>
  <c r="G41" i="52"/>
  <c r="H41" i="52"/>
  <c r="C41" i="52"/>
  <c r="D30" i="52"/>
  <c r="E30" i="52"/>
  <c r="F30" i="52"/>
  <c r="G30" i="52"/>
  <c r="H30" i="52"/>
  <c r="C30" i="52"/>
  <c r="E31" i="52"/>
  <c r="G31" i="52"/>
  <c r="I30" i="52" l="1"/>
  <c r="C35" i="71"/>
  <c r="I35" i="71" s="1"/>
  <c r="I19" i="71"/>
  <c r="I34" i="71"/>
  <c r="I41" i="52"/>
  <c r="G42" i="52"/>
  <c r="E42" i="52"/>
  <c r="C31" i="52"/>
  <c r="H31" i="52"/>
  <c r="D31" i="52"/>
  <c r="H42" i="52"/>
  <c r="D42" i="52"/>
  <c r="F31" i="52"/>
  <c r="C42" i="52"/>
  <c r="F42" i="52"/>
  <c r="I31" i="52" l="1"/>
  <c r="I42" i="52"/>
  <c r="D52" i="41"/>
  <c r="E52" i="41"/>
  <c r="F52" i="41"/>
  <c r="H52" i="41"/>
  <c r="D30" i="41"/>
  <c r="E30" i="41"/>
  <c r="F30" i="41"/>
  <c r="G30" i="41"/>
  <c r="H30" i="41"/>
  <c r="C30" i="41"/>
  <c r="D19" i="41"/>
  <c r="D41" i="41" s="1"/>
  <c r="E19" i="41"/>
  <c r="E41" i="41" s="1"/>
  <c r="F19" i="41"/>
  <c r="F41" i="41" s="1"/>
  <c r="G19" i="41"/>
  <c r="G41" i="41" s="1"/>
  <c r="H19" i="41"/>
  <c r="C19" i="41"/>
  <c r="D67" i="40"/>
  <c r="E67" i="40"/>
  <c r="F67" i="40"/>
  <c r="G67" i="40"/>
  <c r="H67" i="40"/>
  <c r="C67" i="40"/>
  <c r="D57" i="48"/>
  <c r="E57" i="48"/>
  <c r="F57" i="48"/>
  <c r="G57" i="48"/>
  <c r="H57" i="48"/>
  <c r="D56" i="47"/>
  <c r="E56" i="47"/>
  <c r="F56" i="47"/>
  <c r="G56" i="47"/>
  <c r="H56" i="47"/>
  <c r="I30" i="41" l="1"/>
  <c r="I67" i="40"/>
  <c r="C41" i="41"/>
  <c r="I19" i="41"/>
  <c r="I57" i="48"/>
  <c r="H31" i="41"/>
  <c r="H41" i="41"/>
  <c r="H75" i="40"/>
  <c r="D75" i="40"/>
  <c r="G75" i="40"/>
  <c r="F75" i="40"/>
  <c r="E75" i="40"/>
  <c r="C75" i="40"/>
  <c r="D31" i="41"/>
  <c r="G31" i="41"/>
  <c r="E31" i="41"/>
  <c r="C31" i="41"/>
  <c r="F31" i="41"/>
  <c r="C56" i="47"/>
  <c r="F44" i="47"/>
  <c r="G44" i="47"/>
  <c r="H44" i="47"/>
  <c r="C44" i="47"/>
  <c r="D44" i="47"/>
  <c r="E44" i="47"/>
  <c r="D43" i="47"/>
  <c r="E43" i="47"/>
  <c r="F43" i="47"/>
  <c r="G43" i="47"/>
  <c r="H43" i="47"/>
  <c r="I31" i="41" l="1"/>
  <c r="I43" i="47"/>
  <c r="I75" i="40"/>
  <c r="I44" i="47"/>
  <c r="J48" i="47"/>
  <c r="I56" i="47"/>
  <c r="I41" i="41"/>
  <c r="H128" i="45"/>
  <c r="G128" i="45"/>
  <c r="F128" i="45"/>
  <c r="E128" i="45"/>
  <c r="D128" i="45"/>
  <c r="C128" i="45"/>
  <c r="H99" i="44"/>
  <c r="G99" i="44"/>
  <c r="F99" i="44"/>
  <c r="E99" i="44"/>
  <c r="D99" i="44"/>
  <c r="C99" i="44"/>
  <c r="H72" i="44"/>
  <c r="G72" i="44"/>
  <c r="F72" i="44"/>
  <c r="E72" i="44"/>
  <c r="D72" i="44"/>
  <c r="C72" i="44"/>
  <c r="H46" i="44"/>
  <c r="G46" i="44"/>
  <c r="F46" i="44"/>
  <c r="E46" i="44"/>
  <c r="D46" i="44"/>
  <c r="C46" i="44"/>
  <c r="H182" i="43"/>
  <c r="G182" i="43"/>
  <c r="F182" i="43"/>
  <c r="E182" i="43"/>
  <c r="D182" i="43"/>
  <c r="C182" i="43"/>
  <c r="H155" i="43"/>
  <c r="G155" i="43"/>
  <c r="F155" i="43"/>
  <c r="E155" i="43"/>
  <c r="D155" i="43"/>
  <c r="C155" i="43"/>
  <c r="H128" i="43"/>
  <c r="G128" i="43"/>
  <c r="F128" i="43"/>
  <c r="E128" i="43"/>
  <c r="D128" i="43"/>
  <c r="C128" i="43"/>
  <c r="H101" i="43"/>
  <c r="G101" i="43"/>
  <c r="F101" i="43"/>
  <c r="E101" i="43"/>
  <c r="D101" i="43"/>
  <c r="C101" i="43"/>
  <c r="H73" i="43"/>
  <c r="G73" i="43"/>
  <c r="F73" i="43"/>
  <c r="E73" i="43"/>
  <c r="D73" i="43"/>
  <c r="C73" i="43"/>
  <c r="H46" i="43"/>
  <c r="G46" i="43"/>
  <c r="F46" i="43"/>
  <c r="E46" i="43"/>
  <c r="D46" i="43"/>
  <c r="C46" i="43"/>
  <c r="K4" i="93"/>
  <c r="J4" i="93"/>
  <c r="I4" i="93"/>
  <c r="H4" i="93"/>
  <c r="G4" i="93"/>
  <c r="I46" i="44" l="1"/>
  <c r="I99" i="44"/>
  <c r="I155" i="43"/>
  <c r="I46" i="43"/>
  <c r="I101" i="43"/>
  <c r="I73" i="43"/>
  <c r="I128" i="43"/>
  <c r="I182" i="43"/>
  <c r="I72" i="44"/>
  <c r="I128" i="45"/>
  <c r="F4" i="93"/>
  <c r="F11" i="93" s="1"/>
  <c r="G11" i="93"/>
  <c r="H11" i="93"/>
  <c r="I11" i="93"/>
  <c r="J11" i="93"/>
  <c r="K11" i="93"/>
  <c r="E46" i="45"/>
  <c r="F46" i="45"/>
  <c r="C46" i="45"/>
  <c r="G46" i="45"/>
  <c r="C101" i="45"/>
  <c r="I101" i="45" s="1"/>
  <c r="D46" i="45"/>
  <c r="H46" i="45"/>
  <c r="J19" i="44" l="1"/>
  <c r="J19" i="43"/>
  <c r="I46" i="45"/>
  <c r="J19" i="45" s="1"/>
  <c r="G5" i="94"/>
  <c r="G7" i="94" s="1"/>
  <c r="G8" i="94" s="1"/>
  <c r="F5" i="94"/>
  <c r="F7" i="94" s="1"/>
  <c r="F8" i="94" s="1"/>
  <c r="H5" i="94"/>
  <c r="H7" i="94" s="1"/>
  <c r="H8" i="94" s="1"/>
  <c r="C5" i="94"/>
  <c r="C7" i="94" s="1"/>
  <c r="C8" i="94" s="1"/>
  <c r="E5" i="94"/>
  <c r="D5" i="94"/>
  <c r="D45" i="46"/>
  <c r="E45" i="46"/>
  <c r="F45" i="46"/>
  <c r="G45" i="46"/>
  <c r="C45" i="46"/>
  <c r="I45" i="46" l="1"/>
  <c r="I59" i="48"/>
  <c r="E7" i="94"/>
  <c r="E8" i="94" s="1"/>
  <c r="H17" i="108"/>
  <c r="H5" i="95"/>
  <c r="H7" i="95" s="1"/>
  <c r="H10" i="95" s="1"/>
  <c r="H11" i="95" s="1"/>
  <c r="G17" i="108"/>
  <c r="G5" i="95"/>
  <c r="G7" i="95" s="1"/>
  <c r="G10" i="95" s="1"/>
  <c r="G11" i="95" s="1"/>
  <c r="D7" i="94"/>
  <c r="D8" i="94" s="1"/>
  <c r="C17" i="108"/>
  <c r="C5" i="95"/>
  <c r="C7" i="95" s="1"/>
  <c r="C10" i="95" s="1"/>
  <c r="C11" i="95" s="1"/>
  <c r="F17" i="108"/>
  <c r="F5" i="95"/>
  <c r="F7" i="95" s="1"/>
  <c r="F10" i="95" s="1"/>
  <c r="F11" i="95" s="1"/>
  <c r="E47" i="71"/>
  <c r="D47" i="71"/>
  <c r="E45" i="71"/>
  <c r="D45" i="71"/>
  <c r="C45" i="71"/>
  <c r="D30" i="71"/>
  <c r="E30" i="71"/>
  <c r="E17" i="108" l="1"/>
  <c r="E5" i="95"/>
  <c r="E7" i="95" s="1"/>
  <c r="E10" i="95" s="1"/>
  <c r="E11" i="95" s="1"/>
  <c r="H5" i="97"/>
  <c r="H23" i="108"/>
  <c r="F23" i="108"/>
  <c r="F5" i="97"/>
  <c r="D17" i="108"/>
  <c r="D5" i="95"/>
  <c r="D7" i="95" s="1"/>
  <c r="D10" i="95" s="1"/>
  <c r="D11" i="95" s="1"/>
  <c r="F35" i="108"/>
  <c r="H35" i="108"/>
  <c r="G23" i="108"/>
  <c r="G5" i="97"/>
  <c r="C23" i="108"/>
  <c r="C5" i="97"/>
  <c r="C35" i="108"/>
  <c r="G35" i="108"/>
  <c r="C54" i="71"/>
  <c r="C53" i="71"/>
  <c r="D54" i="71"/>
  <c r="D53" i="71"/>
  <c r="E54" i="71"/>
  <c r="E53" i="71"/>
  <c r="D58" i="59"/>
  <c r="E58" i="59" s="1"/>
  <c r="F58" i="59" s="1"/>
  <c r="G58" i="59" s="1"/>
  <c r="H58" i="59" s="1"/>
  <c r="D41" i="59"/>
  <c r="E41" i="59" s="1"/>
  <c r="F41" i="59" s="1"/>
  <c r="G41" i="59" s="1"/>
  <c r="H41" i="59" s="1"/>
  <c r="D33" i="59"/>
  <c r="E33" i="59" s="1"/>
  <c r="F33" i="59" s="1"/>
  <c r="G33" i="59" s="1"/>
  <c r="H33" i="59" s="1"/>
  <c r="D25" i="59"/>
  <c r="E25" i="59" s="1"/>
  <c r="F25" i="59" s="1"/>
  <c r="G25" i="59" s="1"/>
  <c r="H25" i="59" s="1"/>
  <c r="C29" i="70"/>
  <c r="H38" i="114" l="1"/>
  <c r="I38" i="119"/>
  <c r="F38" i="114"/>
  <c r="G38" i="119"/>
  <c r="G38" i="114"/>
  <c r="H38" i="119"/>
  <c r="C38" i="114"/>
  <c r="D38" i="119"/>
  <c r="G38" i="109"/>
  <c r="G64" i="108"/>
  <c r="G65" i="108" s="1"/>
  <c r="G66" i="108" s="1"/>
  <c r="G67" i="108" s="1"/>
  <c r="C64" i="108"/>
  <c r="C65" i="108" s="1"/>
  <c r="C66" i="108" s="1"/>
  <c r="C67" i="108" s="1"/>
  <c r="C38" i="109"/>
  <c r="E35" i="108"/>
  <c r="D23" i="108"/>
  <c r="D5" i="97"/>
  <c r="H64" i="108"/>
  <c r="H65" i="108" s="1"/>
  <c r="H66" i="108" s="1"/>
  <c r="H67" i="108" s="1"/>
  <c r="H38" i="109"/>
  <c r="D35" i="108"/>
  <c r="F64" i="108"/>
  <c r="F65" i="108" s="1"/>
  <c r="F66" i="108" s="1"/>
  <c r="F67" i="108" s="1"/>
  <c r="F38" i="109"/>
  <c r="E23" i="108"/>
  <c r="E5" i="97"/>
  <c r="C39" i="52"/>
  <c r="D28" i="52"/>
  <c r="D33" i="52" s="1"/>
  <c r="E28" i="52"/>
  <c r="E33" i="52" s="1"/>
  <c r="F28" i="52"/>
  <c r="F33" i="52" s="1"/>
  <c r="G28" i="52"/>
  <c r="G33" i="52" s="1"/>
  <c r="H28" i="52"/>
  <c r="H33" i="52" s="1"/>
  <c r="C28" i="52"/>
  <c r="D33" i="41"/>
  <c r="E33" i="41"/>
  <c r="F33" i="41"/>
  <c r="G33" i="41"/>
  <c r="H33" i="41"/>
  <c r="C33" i="41"/>
  <c r="C29" i="46"/>
  <c r="H29" i="46"/>
  <c r="G29" i="46"/>
  <c r="F29" i="46"/>
  <c r="E29" i="46"/>
  <c r="D29" i="46"/>
  <c r="I29" i="46" l="1"/>
  <c r="C33" i="52"/>
  <c r="I33" i="52" s="1"/>
  <c r="I28" i="52"/>
  <c r="C44" i="52"/>
  <c r="I33" i="41"/>
  <c r="H24" i="114"/>
  <c r="I24" i="119"/>
  <c r="C24" i="114"/>
  <c r="D24" i="119"/>
  <c r="E38" i="114"/>
  <c r="F38" i="119"/>
  <c r="G24" i="114"/>
  <c r="H24" i="119"/>
  <c r="F24" i="114"/>
  <c r="G24" i="119"/>
  <c r="D38" i="114"/>
  <c r="E38" i="119"/>
  <c r="F24" i="109"/>
  <c r="D38" i="109"/>
  <c r="D64" i="108"/>
  <c r="D65" i="108" s="1"/>
  <c r="D66" i="108" s="1"/>
  <c r="D67" i="108" s="1"/>
  <c r="E64" i="108"/>
  <c r="E65" i="108" s="1"/>
  <c r="E66" i="108" s="1"/>
  <c r="E67" i="108" s="1"/>
  <c r="E38" i="109"/>
  <c r="H24" i="109"/>
  <c r="C24" i="109"/>
  <c r="G24" i="109"/>
  <c r="E29" i="70"/>
  <c r="D29" i="70"/>
  <c r="G29" i="70"/>
  <c r="H29" i="70"/>
  <c r="F29" i="70"/>
  <c r="I29" i="70" l="1"/>
  <c r="C71" i="52"/>
  <c r="E24" i="114"/>
  <c r="F24" i="119"/>
  <c r="D24" i="114"/>
  <c r="E24" i="119"/>
  <c r="D24" i="109"/>
  <c r="E24" i="109"/>
  <c r="D49" i="71"/>
  <c r="D46" i="71" s="1"/>
  <c r="D51" i="71" s="1"/>
  <c r="E49" i="71"/>
  <c r="F49" i="71"/>
  <c r="G49" i="71"/>
  <c r="H49" i="71"/>
  <c r="C49" i="71"/>
  <c r="H47" i="71"/>
  <c r="G47" i="71"/>
  <c r="F47" i="71"/>
  <c r="F45" i="71"/>
  <c r="H30" i="71"/>
  <c r="G30" i="71"/>
  <c r="F30" i="71"/>
  <c r="G45" i="71"/>
  <c r="C46" i="71" l="1"/>
  <c r="C52" i="71" s="1"/>
  <c r="I49" i="71"/>
  <c r="I30" i="71"/>
  <c r="I47" i="71"/>
  <c r="D52" i="71"/>
  <c r="D49" i="58" s="1"/>
  <c r="D56" i="71"/>
  <c r="J55" i="71" s="1"/>
  <c r="G53" i="71"/>
  <c r="F54" i="71"/>
  <c r="F53" i="71"/>
  <c r="C56" i="71"/>
  <c r="D57" i="71"/>
  <c r="E46" i="71"/>
  <c r="E51" i="71" s="1"/>
  <c r="F58" i="71"/>
  <c r="F48" i="58" s="1"/>
  <c r="G58" i="71"/>
  <c r="G48" i="58" s="1"/>
  <c r="H58" i="71"/>
  <c r="H48" i="58" s="1"/>
  <c r="D58" i="71"/>
  <c r="D48" i="58" s="1"/>
  <c r="F46" i="71"/>
  <c r="H46" i="71"/>
  <c r="G54" i="71"/>
  <c r="G46" i="71"/>
  <c r="H45" i="71"/>
  <c r="I45" i="71" s="1"/>
  <c r="C57" i="71" l="1"/>
  <c r="C51" i="71"/>
  <c r="I46" i="71"/>
  <c r="C49" i="58"/>
  <c r="C55" i="111" s="1"/>
  <c r="D153" i="58"/>
  <c r="C26" i="24"/>
  <c r="D26" i="24"/>
  <c r="G54" i="98"/>
  <c r="G54" i="113"/>
  <c r="G54" i="111"/>
  <c r="F54" i="98"/>
  <c r="F54" i="113"/>
  <c r="F54" i="111"/>
  <c r="D54" i="98"/>
  <c r="D54" i="113"/>
  <c r="D54" i="111"/>
  <c r="H54" i="98"/>
  <c r="H54" i="113"/>
  <c r="H54" i="111"/>
  <c r="H52" i="71"/>
  <c r="H49" i="58" s="1"/>
  <c r="H153" i="58" s="1"/>
  <c r="H51" i="71"/>
  <c r="G52" i="71"/>
  <c r="G49" i="58" s="1"/>
  <c r="G153" i="58" s="1"/>
  <c r="G51" i="71"/>
  <c r="F52" i="71"/>
  <c r="F49" i="58" s="1"/>
  <c r="F153" i="58" s="1"/>
  <c r="F51" i="71"/>
  <c r="G56" i="71"/>
  <c r="F56" i="71"/>
  <c r="E52" i="71"/>
  <c r="E49" i="58" s="1"/>
  <c r="E56" i="71"/>
  <c r="H53" i="71"/>
  <c r="I53" i="71" s="1"/>
  <c r="H56" i="71"/>
  <c r="F57" i="71"/>
  <c r="G57" i="71"/>
  <c r="H57" i="71"/>
  <c r="E57" i="71"/>
  <c r="C58" i="71"/>
  <c r="E58" i="71"/>
  <c r="E48" i="58" s="1"/>
  <c r="H54" i="71"/>
  <c r="I54" i="71" s="1"/>
  <c r="I57" i="71" l="1"/>
  <c r="I56" i="71"/>
  <c r="I52" i="71"/>
  <c r="C48" i="58"/>
  <c r="C153" i="58" s="1"/>
  <c r="I58" i="71"/>
  <c r="I51" i="71"/>
  <c r="E153" i="58"/>
  <c r="D29" i="94"/>
  <c r="C29" i="94"/>
  <c r="H26" i="24"/>
  <c r="G26" i="24"/>
  <c r="F26" i="24"/>
  <c r="I26" i="24" s="1"/>
  <c r="E26" i="24"/>
  <c r="C55" i="98"/>
  <c r="D55" i="113"/>
  <c r="D55" i="98"/>
  <c r="C55" i="113"/>
  <c r="D55" i="111"/>
  <c r="E54" i="98"/>
  <c r="E54" i="113"/>
  <c r="E54" i="111"/>
  <c r="C54" i="111" l="1"/>
  <c r="C54" i="113"/>
  <c r="C54" i="98"/>
  <c r="I153" i="58"/>
  <c r="F29" i="94"/>
  <c r="E29" i="94"/>
  <c r="E55" i="113"/>
  <c r="G55" i="111"/>
  <c r="G29" i="94"/>
  <c r="H29" i="94"/>
  <c r="G55" i="98"/>
  <c r="F55" i="98"/>
  <c r="H55" i="113"/>
  <c r="F55" i="111"/>
  <c r="G55" i="113"/>
  <c r="H55" i="98"/>
  <c r="E55" i="111"/>
  <c r="H55" i="111"/>
  <c r="F55" i="113"/>
  <c r="E55" i="98"/>
  <c r="F29" i="47"/>
  <c r="C69" i="48" l="1"/>
  <c r="C53" i="41" l="1"/>
  <c r="D36" i="47"/>
  <c r="D37" i="47" s="1"/>
  <c r="E36" i="47"/>
  <c r="E37" i="47" s="1"/>
  <c r="F36" i="47"/>
  <c r="F37" i="47" s="1"/>
  <c r="G36" i="47"/>
  <c r="G37" i="47" s="1"/>
  <c r="H36" i="47"/>
  <c r="H37" i="47" s="1"/>
  <c r="C36" i="47"/>
  <c r="C30" i="46"/>
  <c r="D29" i="48"/>
  <c r="D30" i="48" s="1"/>
  <c r="E29" i="48"/>
  <c r="E30" i="48" s="1"/>
  <c r="F29" i="48"/>
  <c r="F30" i="48" s="1"/>
  <c r="G29" i="48"/>
  <c r="G30" i="48" s="1"/>
  <c r="H29" i="48"/>
  <c r="H30" i="48" s="1"/>
  <c r="C29" i="48"/>
  <c r="D28" i="40"/>
  <c r="D33" i="40" s="1"/>
  <c r="D68" i="40" s="1"/>
  <c r="E28" i="40"/>
  <c r="E33" i="40" s="1"/>
  <c r="E68" i="40" s="1"/>
  <c r="F28" i="40"/>
  <c r="F33" i="40" s="1"/>
  <c r="F68" i="40" s="1"/>
  <c r="G28" i="40"/>
  <c r="G33" i="40" s="1"/>
  <c r="G68" i="40" s="1"/>
  <c r="H28" i="40"/>
  <c r="H33" i="40" s="1"/>
  <c r="H68" i="40" s="1"/>
  <c r="C28" i="40"/>
  <c r="D29" i="47"/>
  <c r="D30" i="47" s="1"/>
  <c r="E29" i="47"/>
  <c r="E30" i="47" s="1"/>
  <c r="F30" i="47"/>
  <c r="G29" i="47"/>
  <c r="G30" i="47" s="1"/>
  <c r="H29" i="47"/>
  <c r="H30" i="47" s="1"/>
  <c r="C29" i="47"/>
  <c r="D4" i="66"/>
  <c r="E4" i="66"/>
  <c r="F4" i="66"/>
  <c r="G4" i="66"/>
  <c r="H4" i="66"/>
  <c r="C4" i="66"/>
  <c r="H3" i="59"/>
  <c r="G3" i="59"/>
  <c r="F3" i="59"/>
  <c r="E3" i="59"/>
  <c r="D3" i="59"/>
  <c r="C3" i="59"/>
  <c r="D60" i="22"/>
  <c r="E60" i="22"/>
  <c r="F60" i="22"/>
  <c r="G60" i="22"/>
  <c r="H60" i="22"/>
  <c r="C60" i="22"/>
  <c r="D54" i="22"/>
  <c r="E54" i="22"/>
  <c r="F54" i="22"/>
  <c r="G54" i="22"/>
  <c r="H54" i="22"/>
  <c r="C54" i="22"/>
  <c r="D38" i="22"/>
  <c r="E38" i="22"/>
  <c r="F38" i="22"/>
  <c r="G38" i="22"/>
  <c r="H38" i="22"/>
  <c r="C69" i="62"/>
  <c r="D55" i="62"/>
  <c r="D57" i="62" s="1"/>
  <c r="E55" i="62"/>
  <c r="E57" i="62" s="1"/>
  <c r="F55" i="62"/>
  <c r="F57" i="62" s="1"/>
  <c r="G55" i="62"/>
  <c r="G57" i="62" s="1"/>
  <c r="H55" i="62"/>
  <c r="H57" i="62" s="1"/>
  <c r="C55" i="62"/>
  <c r="C57" i="62" s="1"/>
  <c r="D45" i="62"/>
  <c r="E45" i="62"/>
  <c r="F45" i="62"/>
  <c r="G45" i="62"/>
  <c r="H45" i="62"/>
  <c r="C45" i="62"/>
  <c r="G50" i="62" s="1"/>
  <c r="D28" i="62"/>
  <c r="D30" i="62" s="1"/>
  <c r="E28" i="62"/>
  <c r="E30" i="62" s="1"/>
  <c r="F28" i="62"/>
  <c r="F30" i="62" s="1"/>
  <c r="G28" i="62"/>
  <c r="G30" i="62" s="1"/>
  <c r="H28" i="62"/>
  <c r="H30" i="62" s="1"/>
  <c r="C28" i="62"/>
  <c r="C30" i="62" s="1"/>
  <c r="D13" i="62"/>
  <c r="E13" i="62"/>
  <c r="F13" i="62"/>
  <c r="G13" i="62"/>
  <c r="H13" i="62"/>
  <c r="C13" i="62"/>
  <c r="D15" i="62"/>
  <c r="D16" i="62" s="1"/>
  <c r="E15" i="62"/>
  <c r="E16" i="62" s="1"/>
  <c r="F15" i="62"/>
  <c r="F16" i="62" s="1"/>
  <c r="G15" i="62"/>
  <c r="G16" i="62" s="1"/>
  <c r="H15" i="62"/>
  <c r="H16" i="62" s="1"/>
  <c r="C15" i="62"/>
  <c r="C16" i="62" s="1"/>
  <c r="C37" i="62"/>
  <c r="C38" i="62" s="1"/>
  <c r="D37" i="62"/>
  <c r="D38" i="62" s="1"/>
  <c r="E37" i="62"/>
  <c r="E38" i="62" s="1"/>
  <c r="F37" i="62"/>
  <c r="F38" i="62" s="1"/>
  <c r="G37" i="62"/>
  <c r="G38" i="62" s="1"/>
  <c r="H37" i="62"/>
  <c r="H38" i="62" s="1"/>
  <c r="E30" i="70"/>
  <c r="E46" i="70" s="1"/>
  <c r="E50" i="70" s="1"/>
  <c r="F30" i="70"/>
  <c r="F46" i="70" s="1"/>
  <c r="F50" i="70" s="1"/>
  <c r="C43" i="40"/>
  <c r="D49" i="62"/>
  <c r="E49" i="62"/>
  <c r="H49" i="62"/>
  <c r="C12" i="49"/>
  <c r="D12" i="49"/>
  <c r="E12" i="49"/>
  <c r="F12" i="49"/>
  <c r="G12" i="49"/>
  <c r="H12" i="49"/>
  <c r="C17" i="49"/>
  <c r="C18" i="49" s="1"/>
  <c r="D17" i="49"/>
  <c r="D18" i="49" s="1"/>
  <c r="E17" i="49"/>
  <c r="E18" i="49" s="1"/>
  <c r="F17" i="49"/>
  <c r="F18" i="49" s="1"/>
  <c r="G17" i="49"/>
  <c r="G18" i="49" s="1"/>
  <c r="H17" i="49"/>
  <c r="H18" i="49" s="1"/>
  <c r="C23" i="49"/>
  <c r="D23" i="49"/>
  <c r="E23" i="49"/>
  <c r="F23" i="49"/>
  <c r="G23" i="49"/>
  <c r="H23" i="49"/>
  <c r="C29" i="49"/>
  <c r="D29" i="49"/>
  <c r="E29" i="49"/>
  <c r="F29" i="49"/>
  <c r="G29" i="49"/>
  <c r="H29" i="49"/>
  <c r="C32" i="49"/>
  <c r="D32" i="49"/>
  <c r="E32" i="49"/>
  <c r="F32" i="49"/>
  <c r="G32" i="49"/>
  <c r="H32" i="49"/>
  <c r="C12" i="66"/>
  <c r="E14" i="66" s="1"/>
  <c r="E40" i="66" s="1"/>
  <c r="C26" i="66"/>
  <c r="D26" i="66"/>
  <c r="E26" i="66"/>
  <c r="F26" i="66"/>
  <c r="G26" i="66"/>
  <c r="H26" i="66"/>
  <c r="C35" i="66"/>
  <c r="D35" i="66"/>
  <c r="E35" i="66"/>
  <c r="F35" i="66"/>
  <c r="G35" i="66"/>
  <c r="H35" i="66"/>
  <c r="C38" i="66"/>
  <c r="D38" i="66"/>
  <c r="E38" i="66"/>
  <c r="F38" i="66"/>
  <c r="G38" i="66"/>
  <c r="H38" i="66"/>
  <c r="C12" i="61"/>
  <c r="C13" i="61" s="1"/>
  <c r="D12" i="61"/>
  <c r="D13" i="61" s="1"/>
  <c r="E12" i="61"/>
  <c r="E13" i="61" s="1"/>
  <c r="F12" i="61"/>
  <c r="F13" i="61" s="1"/>
  <c r="G12" i="61"/>
  <c r="G13" i="61" s="1"/>
  <c r="H12" i="61"/>
  <c r="H13" i="61" s="1"/>
  <c r="C25" i="61"/>
  <c r="C27" i="61" s="1"/>
  <c r="D25" i="61"/>
  <c r="D27" i="61" s="1"/>
  <c r="E25" i="61"/>
  <c r="E27" i="61" s="1"/>
  <c r="F25" i="61"/>
  <c r="F27" i="61" s="1"/>
  <c r="G25" i="61"/>
  <c r="G27" i="61" s="1"/>
  <c r="H25" i="61"/>
  <c r="H27" i="61" s="1"/>
  <c r="C33" i="61"/>
  <c r="D33" i="61"/>
  <c r="E33" i="61"/>
  <c r="F33" i="61"/>
  <c r="G33" i="61"/>
  <c r="H33" i="61"/>
  <c r="C41" i="61"/>
  <c r="C42" i="61" s="1"/>
  <c r="D41" i="61"/>
  <c r="D42" i="61" s="1"/>
  <c r="E41" i="61"/>
  <c r="E42" i="61" s="1"/>
  <c r="F41" i="61"/>
  <c r="F42" i="61" s="1"/>
  <c r="G41" i="61"/>
  <c r="G42" i="61" s="1"/>
  <c r="H41" i="61"/>
  <c r="H42" i="61" s="1"/>
  <c r="C50" i="61"/>
  <c r="C51" i="61" s="1"/>
  <c r="D50" i="61"/>
  <c r="D51" i="61" s="1"/>
  <c r="E50" i="61"/>
  <c r="E51" i="61" s="1"/>
  <c r="F50" i="61"/>
  <c r="F51" i="61" s="1"/>
  <c r="G50" i="61"/>
  <c r="G51" i="61" s="1"/>
  <c r="H50" i="61"/>
  <c r="H51" i="61" s="1"/>
  <c r="B57" i="61"/>
  <c r="B58" i="61"/>
  <c r="C59" i="61"/>
  <c r="D59" i="61"/>
  <c r="E59" i="61"/>
  <c r="F59" i="61"/>
  <c r="G59" i="61"/>
  <c r="H59" i="61"/>
  <c r="C65" i="61"/>
  <c r="D65" i="61"/>
  <c r="E65" i="61"/>
  <c r="F65" i="61"/>
  <c r="G65" i="61"/>
  <c r="H65" i="61"/>
  <c r="C70" i="61"/>
  <c r="D70" i="61"/>
  <c r="E70" i="61"/>
  <c r="F70" i="61"/>
  <c r="G70" i="61"/>
  <c r="H70" i="61"/>
  <c r="C12" i="62"/>
  <c r="C49" i="62"/>
  <c r="F49" i="62"/>
  <c r="G49" i="62"/>
  <c r="C63" i="62"/>
  <c r="D63" i="62"/>
  <c r="E63" i="62"/>
  <c r="F63" i="62"/>
  <c r="G63" i="62"/>
  <c r="H63" i="62"/>
  <c r="C64" i="62"/>
  <c r="D64" i="62"/>
  <c r="E64" i="62"/>
  <c r="F64" i="62"/>
  <c r="G64" i="62"/>
  <c r="H64" i="62"/>
  <c r="D69" i="62"/>
  <c r="E69" i="62"/>
  <c r="F69" i="62"/>
  <c r="G69" i="62"/>
  <c r="H69" i="62"/>
  <c r="B10" i="59"/>
  <c r="B13" i="59"/>
  <c r="C13" i="59"/>
  <c r="D13" i="59"/>
  <c r="E13" i="59"/>
  <c r="F13" i="59"/>
  <c r="G13" i="59"/>
  <c r="H13" i="59"/>
  <c r="B17" i="59"/>
  <c r="B18" i="59"/>
  <c r="C18" i="59"/>
  <c r="D18" i="59"/>
  <c r="E18" i="59"/>
  <c r="F18" i="59"/>
  <c r="G18" i="59"/>
  <c r="H18" i="59"/>
  <c r="B24" i="59"/>
  <c r="B25" i="59"/>
  <c r="C27" i="59"/>
  <c r="D27" i="59"/>
  <c r="E27" i="59"/>
  <c r="F27" i="59"/>
  <c r="G27" i="59"/>
  <c r="H27" i="59"/>
  <c r="B27" i="59"/>
  <c r="B32" i="59"/>
  <c r="B33" i="59"/>
  <c r="C34" i="59"/>
  <c r="D34" i="59"/>
  <c r="E34" i="59"/>
  <c r="F34" i="59"/>
  <c r="G34" i="59"/>
  <c r="H34" i="59"/>
  <c r="B34" i="59"/>
  <c r="B39" i="59"/>
  <c r="B40" i="59"/>
  <c r="B41" i="59"/>
  <c r="C42" i="59"/>
  <c r="D42" i="59"/>
  <c r="E42" i="59"/>
  <c r="F42" i="59"/>
  <c r="G42" i="59"/>
  <c r="H42" i="59"/>
  <c r="B42" i="59"/>
  <c r="B46" i="59"/>
  <c r="B47" i="59"/>
  <c r="B48" i="59"/>
  <c r="C49" i="59"/>
  <c r="C50" i="59"/>
  <c r="D50" i="59"/>
  <c r="E50" i="59"/>
  <c r="F50" i="59"/>
  <c r="G50" i="59"/>
  <c r="H50" i="59"/>
  <c r="C63" i="59"/>
  <c r="D63" i="59"/>
  <c r="E63" i="59"/>
  <c r="F63" i="59"/>
  <c r="G63" i="59"/>
  <c r="H63" i="59"/>
  <c r="C65" i="59"/>
  <c r="D65" i="59"/>
  <c r="E65" i="59"/>
  <c r="F65" i="59"/>
  <c r="G65" i="59"/>
  <c r="H65" i="59"/>
  <c r="D39" i="52"/>
  <c r="D74" i="52"/>
  <c r="E74" i="52"/>
  <c r="G74" i="52"/>
  <c r="H74" i="52"/>
  <c r="C30" i="70"/>
  <c r="D30" i="70"/>
  <c r="D46" i="70" s="1"/>
  <c r="D50" i="70" s="1"/>
  <c r="G30" i="70"/>
  <c r="G46" i="70" s="1"/>
  <c r="G50" i="70" s="1"/>
  <c r="G47" i="70"/>
  <c r="C47" i="70"/>
  <c r="C52" i="41"/>
  <c r="I52" i="41" s="1"/>
  <c r="C56" i="41"/>
  <c r="D56" i="41"/>
  <c r="E56" i="41"/>
  <c r="F56" i="41"/>
  <c r="G56" i="41"/>
  <c r="H56" i="41"/>
  <c r="D30" i="46"/>
  <c r="C34" i="46"/>
  <c r="D34" i="46"/>
  <c r="E34" i="46"/>
  <c r="F34" i="46"/>
  <c r="G34" i="46"/>
  <c r="H34" i="46"/>
  <c r="C47" i="46"/>
  <c r="D47" i="46"/>
  <c r="E47" i="46"/>
  <c r="F47" i="46"/>
  <c r="G47" i="46"/>
  <c r="H47" i="46"/>
  <c r="C49" i="46"/>
  <c r="D49" i="46"/>
  <c r="E49" i="46"/>
  <c r="F49" i="46"/>
  <c r="G49" i="46"/>
  <c r="H49" i="46"/>
  <c r="D65" i="48"/>
  <c r="C36" i="48"/>
  <c r="D36" i="48"/>
  <c r="D37" i="48" s="1"/>
  <c r="E36" i="48"/>
  <c r="E37" i="48" s="1"/>
  <c r="F36" i="48"/>
  <c r="F37" i="48" s="1"/>
  <c r="G36" i="48"/>
  <c r="G37" i="48" s="1"/>
  <c r="H36" i="48"/>
  <c r="H37" i="48" s="1"/>
  <c r="C64" i="47"/>
  <c r="D43" i="40"/>
  <c r="F43" i="40"/>
  <c r="G43" i="40"/>
  <c r="C44" i="40"/>
  <c r="D44" i="40"/>
  <c r="G44" i="40"/>
  <c r="H44" i="40"/>
  <c r="C42" i="40"/>
  <c r="D42" i="40"/>
  <c r="E42" i="40"/>
  <c r="F42" i="40"/>
  <c r="G42" i="40"/>
  <c r="H42" i="40"/>
  <c r="D46" i="40"/>
  <c r="D69" i="40"/>
  <c r="C69" i="40"/>
  <c r="E69" i="40"/>
  <c r="F69" i="40"/>
  <c r="G69" i="40"/>
  <c r="H69" i="40"/>
  <c r="D71" i="40"/>
  <c r="E71" i="40"/>
  <c r="F71" i="40"/>
  <c r="G71" i="40"/>
  <c r="H71" i="40"/>
  <c r="E57" i="106"/>
  <c r="C52" i="45"/>
  <c r="E61" i="106"/>
  <c r="D134" i="45"/>
  <c r="M134" i="45" s="1"/>
  <c r="C134" i="45"/>
  <c r="A148" i="45"/>
  <c r="B148" i="45"/>
  <c r="A149" i="45"/>
  <c r="B149" i="45"/>
  <c r="A150" i="45"/>
  <c r="B150" i="45"/>
  <c r="C105" i="44"/>
  <c r="A150" i="44"/>
  <c r="B150" i="44"/>
  <c r="A151" i="44"/>
  <c r="B151" i="44"/>
  <c r="A152" i="44"/>
  <c r="B152" i="44"/>
  <c r="C28" i="43"/>
  <c r="C52" i="43"/>
  <c r="C79" i="43"/>
  <c r="C107" i="43"/>
  <c r="C134" i="43"/>
  <c r="A210" i="43"/>
  <c r="B210" i="43"/>
  <c r="A211" i="43"/>
  <c r="B211" i="43"/>
  <c r="A212" i="43"/>
  <c r="B212" i="43"/>
  <c r="B39" i="22"/>
  <c r="J10" i="58"/>
  <c r="S10" i="58"/>
  <c r="Y10" i="58"/>
  <c r="AE10" i="58"/>
  <c r="AK10" i="58"/>
  <c r="D11" i="58"/>
  <c r="J11" i="58"/>
  <c r="S11" i="58"/>
  <c r="Y11" i="58"/>
  <c r="AE11" i="58"/>
  <c r="AK11" i="58"/>
  <c r="D12" i="58"/>
  <c r="J12" i="58"/>
  <c r="S12" i="58"/>
  <c r="Y12" i="58"/>
  <c r="AE12" i="58"/>
  <c r="AK12" i="58"/>
  <c r="D64" i="47"/>
  <c r="D107" i="45"/>
  <c r="D25" i="45"/>
  <c r="H30" i="70"/>
  <c r="H46" i="70" s="1"/>
  <c r="H50" i="70" s="1"/>
  <c r="E47" i="70"/>
  <c r="H47" i="70"/>
  <c r="D105" i="44"/>
  <c r="L104" i="44" s="1"/>
  <c r="E134" i="43"/>
  <c r="E64" i="47"/>
  <c r="F25" i="45"/>
  <c r="E25" i="45"/>
  <c r="G57" i="106" s="1"/>
  <c r="E134" i="45"/>
  <c r="E161" i="43"/>
  <c r="G25" i="45"/>
  <c r="I57" i="106" s="1"/>
  <c r="D188" i="43"/>
  <c r="D134" i="43"/>
  <c r="N127" i="43" s="1"/>
  <c r="D52" i="43"/>
  <c r="E65" i="48"/>
  <c r="E43" i="40"/>
  <c r="F44" i="40"/>
  <c r="H43" i="40"/>
  <c r="E44" i="40"/>
  <c r="G25" i="43"/>
  <c r="I28" i="106" s="1"/>
  <c r="D79" i="43"/>
  <c r="N73" i="43" s="1"/>
  <c r="F64" i="47"/>
  <c r="D52" i="44"/>
  <c r="D25" i="44"/>
  <c r="D53" i="46"/>
  <c r="D78" i="44"/>
  <c r="E25" i="43"/>
  <c r="G28" i="106" s="1"/>
  <c r="D25" i="43"/>
  <c r="H64" i="47"/>
  <c r="E188" i="43"/>
  <c r="F45" i="70"/>
  <c r="E25" i="44"/>
  <c r="E28" i="44" s="1"/>
  <c r="H25" i="45"/>
  <c r="J57" i="106" s="1"/>
  <c r="H25" i="43"/>
  <c r="J28" i="106" s="1"/>
  <c r="E52" i="45"/>
  <c r="D107" i="43"/>
  <c r="N105" i="43" s="1"/>
  <c r="D45" i="70"/>
  <c r="E80" i="52"/>
  <c r="F52" i="43"/>
  <c r="H35" i="106" s="1"/>
  <c r="E78" i="44"/>
  <c r="D80" i="52"/>
  <c r="F134" i="45"/>
  <c r="E45" i="70"/>
  <c r="E52" i="43"/>
  <c r="G35" i="106" s="1"/>
  <c r="F47" i="70"/>
  <c r="F25" i="43"/>
  <c r="H28" i="106" s="1"/>
  <c r="D47" i="70"/>
  <c r="D60" i="41"/>
  <c r="D161" i="43"/>
  <c r="D52" i="45"/>
  <c r="M55" i="45" s="1"/>
  <c r="F191" i="43"/>
  <c r="E105" i="44"/>
  <c r="G45" i="70"/>
  <c r="F80" i="52"/>
  <c r="G134" i="43"/>
  <c r="H134" i="43"/>
  <c r="G134" i="45"/>
  <c r="E107" i="43"/>
  <c r="F161" i="43"/>
  <c r="H36" i="106" s="1"/>
  <c r="E107" i="45"/>
  <c r="G61" i="106" s="1"/>
  <c r="F52" i="45"/>
  <c r="G52" i="43"/>
  <c r="H52" i="43"/>
  <c r="J35" i="106" s="1"/>
  <c r="E53" i="46"/>
  <c r="F78" i="44"/>
  <c r="E52" i="44"/>
  <c r="E54" i="44" s="1"/>
  <c r="E79" i="43"/>
  <c r="G29" i="106" s="1"/>
  <c r="G188" i="43"/>
  <c r="H52" i="45"/>
  <c r="G52" i="45"/>
  <c r="H134" i="45"/>
  <c r="G64" i="47"/>
  <c r="F79" i="43"/>
  <c r="H80" i="52"/>
  <c r="G80" i="52"/>
  <c r="G25" i="44"/>
  <c r="H45" i="70"/>
  <c r="F25" i="44"/>
  <c r="F28" i="44" s="1"/>
  <c r="G53" i="46"/>
  <c r="F52" i="44"/>
  <c r="F54" i="44" s="1"/>
  <c r="H78" i="44"/>
  <c r="G78" i="44"/>
  <c r="F53" i="46"/>
  <c r="F107" i="45"/>
  <c r="H61" i="106" s="1"/>
  <c r="H161" i="43"/>
  <c r="J36" i="106" s="1"/>
  <c r="G161" i="43"/>
  <c r="F107" i="43"/>
  <c r="F60" i="41"/>
  <c r="F105" i="44"/>
  <c r="G105" i="44"/>
  <c r="H60" i="41"/>
  <c r="G60" i="41"/>
  <c r="H107" i="43"/>
  <c r="G107" i="43"/>
  <c r="G107" i="45"/>
  <c r="I61" i="106" s="1"/>
  <c r="H188" i="43"/>
  <c r="H79" i="43"/>
  <c r="J29" i="106" s="1"/>
  <c r="G79" i="43"/>
  <c r="I29" i="106" s="1"/>
  <c r="H25" i="44"/>
  <c r="H52" i="44"/>
  <c r="H54" i="44" s="1"/>
  <c r="G52" i="44"/>
  <c r="H105" i="44"/>
  <c r="H107" i="45"/>
  <c r="J61" i="106" s="1"/>
  <c r="E39" i="52"/>
  <c r="E44" i="52" s="1"/>
  <c r="E71" i="52" s="1"/>
  <c r="F39" i="52"/>
  <c r="F44" i="52" s="1"/>
  <c r="F71" i="52" s="1"/>
  <c r="G39" i="52"/>
  <c r="G44" i="52" s="1"/>
  <c r="G71" i="52" s="1"/>
  <c r="H39" i="52"/>
  <c r="H44" i="52" s="1"/>
  <c r="H71" i="52" s="1"/>
  <c r="I67" i="61"/>
  <c r="I45" i="70" l="1"/>
  <c r="I25" i="43"/>
  <c r="L24" i="44"/>
  <c r="I25" i="44"/>
  <c r="M105" i="43"/>
  <c r="I107" i="43"/>
  <c r="I49" i="46"/>
  <c r="I34" i="46"/>
  <c r="I43" i="40"/>
  <c r="C37" i="47"/>
  <c r="I37" i="47" s="1"/>
  <c r="I36" i="47"/>
  <c r="I52" i="44"/>
  <c r="N183" i="43"/>
  <c r="I188" i="43"/>
  <c r="I79" i="43"/>
  <c r="E46" i="40"/>
  <c r="F46" i="40" s="1"/>
  <c r="G46" i="40" s="1"/>
  <c r="H46" i="40" s="1"/>
  <c r="C37" i="48"/>
  <c r="I37" i="48" s="1"/>
  <c r="I36" i="48"/>
  <c r="I47" i="70"/>
  <c r="C46" i="70"/>
  <c r="C51" i="70" s="1"/>
  <c r="I30" i="70"/>
  <c r="C30" i="47"/>
  <c r="I30" i="47" s="1"/>
  <c r="I29" i="47"/>
  <c r="C30" i="48"/>
  <c r="I30" i="48" s="1"/>
  <c r="I29" i="48"/>
  <c r="N157" i="43"/>
  <c r="I161" i="43"/>
  <c r="L75" i="44"/>
  <c r="I78" i="44"/>
  <c r="I52" i="43"/>
  <c r="K104" i="44"/>
  <c r="I105" i="44"/>
  <c r="I71" i="40"/>
  <c r="I47" i="46"/>
  <c r="D44" i="52"/>
  <c r="I39" i="52"/>
  <c r="I58" i="47"/>
  <c r="M127" i="43"/>
  <c r="I134" i="43"/>
  <c r="I69" i="40"/>
  <c r="I42" i="40"/>
  <c r="I44" i="40"/>
  <c r="I64" i="47"/>
  <c r="I56" i="41"/>
  <c r="C33" i="40"/>
  <c r="I28" i="40"/>
  <c r="I25" i="45"/>
  <c r="I107" i="45"/>
  <c r="L134" i="45"/>
  <c r="I134" i="45"/>
  <c r="L55" i="45"/>
  <c r="I52" i="45"/>
  <c r="E29" i="106"/>
  <c r="M73" i="43"/>
  <c r="E35" i="106"/>
  <c r="M49" i="43"/>
  <c r="F61" i="106"/>
  <c r="M105" i="45"/>
  <c r="F57" i="106"/>
  <c r="L21" i="45"/>
  <c r="D54" i="44"/>
  <c r="L49" i="44"/>
  <c r="F35" i="106"/>
  <c r="N49" i="43"/>
  <c r="F28" i="106"/>
  <c r="M22" i="43"/>
  <c r="G141" i="44"/>
  <c r="F51" i="59"/>
  <c r="H107" i="44"/>
  <c r="H141" i="44"/>
  <c r="F141" i="44"/>
  <c r="E141" i="44"/>
  <c r="C141" i="44"/>
  <c r="D141" i="44"/>
  <c r="F53" i="70"/>
  <c r="F52" i="70"/>
  <c r="H53" i="70"/>
  <c r="H52" i="70"/>
  <c r="E53" i="70"/>
  <c r="E52" i="70"/>
  <c r="G53" i="70"/>
  <c r="G52" i="70"/>
  <c r="D53" i="70"/>
  <c r="D52" i="70"/>
  <c r="H57" i="70"/>
  <c r="H51" i="70"/>
  <c r="H45" i="58" s="1"/>
  <c r="H158" i="58" s="1"/>
  <c r="G51" i="70"/>
  <c r="G45" i="58" s="1"/>
  <c r="G158" i="58" s="1"/>
  <c r="G57" i="70"/>
  <c r="D57" i="70"/>
  <c r="D51" i="70"/>
  <c r="D45" i="58" s="1"/>
  <c r="D158" i="58" s="1"/>
  <c r="F57" i="70"/>
  <c r="F51" i="70"/>
  <c r="F45" i="58" s="1"/>
  <c r="F158" i="58" s="1"/>
  <c r="E51" i="70"/>
  <c r="E45" i="58" s="1"/>
  <c r="E158" i="58" s="1"/>
  <c r="E57" i="70"/>
  <c r="G56" i="70"/>
  <c r="D56" i="70"/>
  <c r="J50" i="70" s="1"/>
  <c r="F56" i="70"/>
  <c r="H56" i="70"/>
  <c r="E56" i="70"/>
  <c r="E137" i="45"/>
  <c r="G62" i="106"/>
  <c r="G63" i="106" s="1"/>
  <c r="G64" i="106" s="1"/>
  <c r="E18" i="97" s="1"/>
  <c r="D137" i="45"/>
  <c r="F62" i="106"/>
  <c r="H137" i="45"/>
  <c r="J62" i="106"/>
  <c r="J63" i="106" s="1"/>
  <c r="J64" i="106" s="1"/>
  <c r="H18" i="97" s="1"/>
  <c r="G137" i="45"/>
  <c r="I62" i="106"/>
  <c r="I63" i="106" s="1"/>
  <c r="I64" i="106" s="1"/>
  <c r="G18" i="97" s="1"/>
  <c r="F137" i="45"/>
  <c r="H62" i="106"/>
  <c r="H63" i="106" s="1"/>
  <c r="H64" i="106" s="1"/>
  <c r="F18" i="97" s="1"/>
  <c r="C137" i="45"/>
  <c r="E62" i="106"/>
  <c r="E63" i="106" s="1"/>
  <c r="E64" i="106" s="1"/>
  <c r="C18" i="97" s="1"/>
  <c r="F55" i="45"/>
  <c r="H56" i="106"/>
  <c r="G55" i="45"/>
  <c r="I56" i="106"/>
  <c r="I58" i="106" s="1"/>
  <c r="I59" i="106" s="1"/>
  <c r="D55" i="45"/>
  <c r="F56" i="106"/>
  <c r="H55" i="45"/>
  <c r="J56" i="106"/>
  <c r="J58" i="106" s="1"/>
  <c r="J59" i="106" s="1"/>
  <c r="E55" i="45"/>
  <c r="G56" i="106"/>
  <c r="G58" i="106" s="1"/>
  <c r="G59" i="106" s="1"/>
  <c r="C55" i="45"/>
  <c r="E56" i="106"/>
  <c r="E58" i="106" s="1"/>
  <c r="E59" i="106" s="1"/>
  <c r="F28" i="45"/>
  <c r="H57" i="106"/>
  <c r="H191" i="43"/>
  <c r="J31" i="106"/>
  <c r="D191" i="43"/>
  <c r="F31" i="106"/>
  <c r="G191" i="43"/>
  <c r="I31" i="106"/>
  <c r="E191" i="43"/>
  <c r="G31" i="106"/>
  <c r="C191" i="43"/>
  <c r="E31" i="106"/>
  <c r="D164" i="43"/>
  <c r="F36" i="106"/>
  <c r="C164" i="43"/>
  <c r="E36" i="106"/>
  <c r="G164" i="43"/>
  <c r="I36" i="106"/>
  <c r="E164" i="43"/>
  <c r="G36" i="106"/>
  <c r="G137" i="43"/>
  <c r="I41" i="106"/>
  <c r="I42" i="106" s="1"/>
  <c r="G16" i="97" s="1"/>
  <c r="D137" i="43"/>
  <c r="F41" i="106"/>
  <c r="F42" i="106" s="1"/>
  <c r="D16" i="97" s="1"/>
  <c r="E137" i="43"/>
  <c r="G41" i="106"/>
  <c r="G42" i="106" s="1"/>
  <c r="E16" i="97" s="1"/>
  <c r="C137" i="43"/>
  <c r="E41" i="106"/>
  <c r="E42" i="106" s="1"/>
  <c r="C16" i="97" s="1"/>
  <c r="H137" i="43"/>
  <c r="J41" i="106"/>
  <c r="J42" i="106" s="1"/>
  <c r="H16" i="97" s="1"/>
  <c r="F137" i="43"/>
  <c r="H41" i="106"/>
  <c r="H42" i="106" s="1"/>
  <c r="F16" i="97" s="1"/>
  <c r="G30" i="106"/>
  <c r="G37" i="106"/>
  <c r="J30" i="106"/>
  <c r="J37" i="106"/>
  <c r="J38" i="106" s="1"/>
  <c r="J39" i="106" s="1"/>
  <c r="H17" i="95" s="1"/>
  <c r="H37" i="106"/>
  <c r="H38" i="106" s="1"/>
  <c r="H39" i="106" s="1"/>
  <c r="F17" i="95" s="1"/>
  <c r="H30" i="106"/>
  <c r="F30" i="106"/>
  <c r="F37" i="106"/>
  <c r="E30" i="106"/>
  <c r="E37" i="106"/>
  <c r="I37" i="106"/>
  <c r="I30" i="106"/>
  <c r="F82" i="43"/>
  <c r="H29" i="106"/>
  <c r="D82" i="43"/>
  <c r="F29" i="106"/>
  <c r="G55" i="43"/>
  <c r="I35" i="106"/>
  <c r="H68" i="102"/>
  <c r="H68" i="115"/>
  <c r="F68" i="102"/>
  <c r="F68" i="115"/>
  <c r="E68" i="102"/>
  <c r="E68" i="115"/>
  <c r="C14" i="66"/>
  <c r="C40" i="66" s="1"/>
  <c r="H14" i="66"/>
  <c r="H40" i="66" s="1"/>
  <c r="F14" i="66"/>
  <c r="F40" i="66" s="1"/>
  <c r="D14" i="66"/>
  <c r="D40" i="66" s="1"/>
  <c r="G14" i="66"/>
  <c r="G40" i="66" s="1"/>
  <c r="H41" i="66"/>
  <c r="D41" i="66"/>
  <c r="G51" i="59"/>
  <c r="C57" i="41"/>
  <c r="H57" i="39"/>
  <c r="F57" i="39"/>
  <c r="H39" i="40"/>
  <c r="D39" i="40"/>
  <c r="D47" i="40" s="1"/>
  <c r="D78" i="40"/>
  <c r="G39" i="40"/>
  <c r="F39" i="40"/>
  <c r="E39" i="40"/>
  <c r="C39" i="40"/>
  <c r="G82" i="43"/>
  <c r="G110" i="43"/>
  <c r="G107" i="44"/>
  <c r="H28" i="43"/>
  <c r="D28" i="43"/>
  <c r="E57" i="39"/>
  <c r="I54" i="39"/>
  <c r="H80" i="44"/>
  <c r="H28" i="45"/>
  <c r="C46" i="46"/>
  <c r="H28" i="44"/>
  <c r="H50" i="62"/>
  <c r="H67" i="62" s="1"/>
  <c r="H55" i="43"/>
  <c r="E107" i="44"/>
  <c r="H79" i="52"/>
  <c r="D79" i="52"/>
  <c r="D58" i="48"/>
  <c r="D67" i="48" s="1"/>
  <c r="D57" i="47"/>
  <c r="D66" i="47" s="1"/>
  <c r="K48" i="47" s="1"/>
  <c r="K50" i="47" s="1"/>
  <c r="C107" i="44"/>
  <c r="H110" i="45"/>
  <c r="F80" i="44"/>
  <c r="E79" i="52"/>
  <c r="F164" i="43"/>
  <c r="F198" i="43"/>
  <c r="D110" i="45"/>
  <c r="F142" i="45"/>
  <c r="C62" i="41"/>
  <c r="G79" i="52"/>
  <c r="C63" i="41"/>
  <c r="C63" i="47"/>
  <c r="G58" i="48"/>
  <c r="C60" i="41"/>
  <c r="F58" i="48"/>
  <c r="H52" i="46"/>
  <c r="D52" i="46"/>
  <c r="G58" i="46"/>
  <c r="G46" i="58" s="1"/>
  <c r="G52" i="46"/>
  <c r="C58" i="46"/>
  <c r="C52" i="46"/>
  <c r="E69" i="48"/>
  <c r="E32" i="58" s="1"/>
  <c r="F58" i="46"/>
  <c r="F46" i="58" s="1"/>
  <c r="F52" i="46"/>
  <c r="D69" i="48"/>
  <c r="E52" i="46"/>
  <c r="G57" i="47"/>
  <c r="F57" i="47"/>
  <c r="E58" i="48"/>
  <c r="E67" i="48" s="1"/>
  <c r="H58" i="48"/>
  <c r="C64" i="41"/>
  <c r="E64" i="41"/>
  <c r="E36" i="58" s="1"/>
  <c r="C79" i="40"/>
  <c r="F63" i="47"/>
  <c r="E63" i="47"/>
  <c r="H68" i="47"/>
  <c r="H30" i="58" s="1"/>
  <c r="H63" i="47"/>
  <c r="D63" i="47"/>
  <c r="G63" i="47"/>
  <c r="G59" i="41"/>
  <c r="H74" i="40"/>
  <c r="G74" i="40"/>
  <c r="H51" i="59"/>
  <c r="D85" i="52"/>
  <c r="D38" i="58" s="1"/>
  <c r="D46" i="46"/>
  <c r="D55" i="43"/>
  <c r="E28" i="45"/>
  <c r="E51" i="59"/>
  <c r="F107" i="44"/>
  <c r="F110" i="43"/>
  <c r="E82" i="43"/>
  <c r="G142" i="45"/>
  <c r="C28" i="45"/>
  <c r="D51" i="59"/>
  <c r="G110" i="45"/>
  <c r="E80" i="44"/>
  <c r="C51" i="59"/>
  <c r="H110" i="43"/>
  <c r="G80" i="44"/>
  <c r="G28" i="44"/>
  <c r="H65" i="48"/>
  <c r="E110" i="45"/>
  <c r="D110" i="43"/>
  <c r="E28" i="43"/>
  <c r="G28" i="45"/>
  <c r="D107" i="44"/>
  <c r="G65" i="48"/>
  <c r="C28" i="44"/>
  <c r="E200" i="43"/>
  <c r="H82" i="43"/>
  <c r="C55" i="43"/>
  <c r="G41" i="66"/>
  <c r="C41" i="66"/>
  <c r="I57" i="39"/>
  <c r="H65" i="58" s="1"/>
  <c r="H123" i="58" s="1"/>
  <c r="H138" i="58" s="1"/>
  <c r="F110" i="45"/>
  <c r="F55" i="43"/>
  <c r="D28" i="45"/>
  <c r="C142" i="45"/>
  <c r="C53" i="46"/>
  <c r="E110" i="43"/>
  <c r="F28" i="43"/>
  <c r="D80" i="44"/>
  <c r="C200" i="43"/>
  <c r="F200" i="43"/>
  <c r="C82" i="43"/>
  <c r="D142" i="45"/>
  <c r="H57" i="47"/>
  <c r="H66" i="47" s="1"/>
  <c r="H200" i="43"/>
  <c r="D200" i="43"/>
  <c r="F41" i="66"/>
  <c r="G57" i="39"/>
  <c r="G200" i="43"/>
  <c r="E41" i="66"/>
  <c r="E17" i="62"/>
  <c r="E66" i="62" s="1"/>
  <c r="E50" i="62"/>
  <c r="E67" i="62" s="1"/>
  <c r="D50" i="62"/>
  <c r="D67" i="62" s="1"/>
  <c r="G69" i="48"/>
  <c r="G32" i="58" s="1"/>
  <c r="F79" i="40"/>
  <c r="F34" i="58" s="1"/>
  <c r="F64" i="41"/>
  <c r="F36" i="58" s="1"/>
  <c r="C110" i="45"/>
  <c r="H142" i="45"/>
  <c r="E142" i="45"/>
  <c r="C74" i="52"/>
  <c r="C74" i="40"/>
  <c r="C50" i="62"/>
  <c r="C67" i="62" s="1"/>
  <c r="F50" i="62"/>
  <c r="F67" i="62" s="1"/>
  <c r="C110" i="43"/>
  <c r="C17" i="62"/>
  <c r="C66" i="62" s="1"/>
  <c r="G17" i="62"/>
  <c r="G66" i="62" s="1"/>
  <c r="H198" i="43"/>
  <c r="H17" i="62"/>
  <c r="H66" i="62" s="1"/>
  <c r="F17" i="62"/>
  <c r="F66" i="62" s="1"/>
  <c r="D17" i="62"/>
  <c r="D66" i="62" s="1"/>
  <c r="D42" i="58"/>
  <c r="G42" i="58"/>
  <c r="H53" i="46"/>
  <c r="C80" i="52"/>
  <c r="I80" i="52" s="1"/>
  <c r="E60" i="41"/>
  <c r="H64" i="48"/>
  <c r="F65" i="48"/>
  <c r="F64" i="48"/>
  <c r="C59" i="41"/>
  <c r="H85" i="52"/>
  <c r="H38" i="58" s="1"/>
  <c r="D140" i="45"/>
  <c r="C140" i="45"/>
  <c r="F140" i="45"/>
  <c r="G140" i="45"/>
  <c r="E140" i="45"/>
  <c r="H140" i="45"/>
  <c r="G54" i="44"/>
  <c r="D28" i="44"/>
  <c r="H164" i="43"/>
  <c r="E198" i="43"/>
  <c r="D198" i="43"/>
  <c r="E55" i="43"/>
  <c r="G198" i="43"/>
  <c r="C198" i="43"/>
  <c r="G28" i="43"/>
  <c r="G85" i="52"/>
  <c r="G38" i="58" s="1"/>
  <c r="H69" i="48"/>
  <c r="H32" i="58" s="1"/>
  <c r="F68" i="47"/>
  <c r="G64" i="48"/>
  <c r="D64" i="48"/>
  <c r="F59" i="41"/>
  <c r="D59" i="41"/>
  <c r="H58" i="46"/>
  <c r="H46" i="58" s="1"/>
  <c r="E79" i="40"/>
  <c r="E34" i="58" s="1"/>
  <c r="E42" i="58"/>
  <c r="F74" i="52"/>
  <c r="D68" i="47"/>
  <c r="E57" i="47"/>
  <c r="J70" i="61"/>
  <c r="D64" i="41"/>
  <c r="D36" i="58" s="1"/>
  <c r="E59" i="41"/>
  <c r="D58" i="46"/>
  <c r="D46" i="58" s="1"/>
  <c r="H79" i="40"/>
  <c r="H34" i="58" s="1"/>
  <c r="F42" i="58"/>
  <c r="E64" i="48"/>
  <c r="E68" i="61"/>
  <c r="E71" i="61" s="1"/>
  <c r="G67" i="62"/>
  <c r="H78" i="40"/>
  <c r="H59" i="41"/>
  <c r="D74" i="40"/>
  <c r="G64" i="41"/>
  <c r="G36" i="58" s="1"/>
  <c r="C68" i="47"/>
  <c r="E68" i="47"/>
  <c r="E58" i="46"/>
  <c r="E46" i="58" s="1"/>
  <c r="D68" i="61"/>
  <c r="D71" i="61" s="1"/>
  <c r="F68" i="61"/>
  <c r="F71" i="61" s="1"/>
  <c r="C68" i="61"/>
  <c r="C71" i="61" s="1"/>
  <c r="G68" i="61"/>
  <c r="G71" i="61" s="1"/>
  <c r="H68" i="61"/>
  <c r="H71" i="61" s="1"/>
  <c r="G68" i="47"/>
  <c r="F69" i="48"/>
  <c r="F32" i="58" s="1"/>
  <c r="D79" i="40"/>
  <c r="D34" i="58" s="1"/>
  <c r="C64" i="48"/>
  <c r="F74" i="40"/>
  <c r="C32" i="58"/>
  <c r="H64" i="41"/>
  <c r="H36" i="58" s="1"/>
  <c r="E85" i="52"/>
  <c r="E38" i="58" s="1"/>
  <c r="E74" i="40"/>
  <c r="C56" i="70" l="1"/>
  <c r="I56" i="70" s="1"/>
  <c r="C57" i="70"/>
  <c r="I57" i="70" s="1"/>
  <c r="C58" i="48"/>
  <c r="I58" i="48" s="1"/>
  <c r="C57" i="47"/>
  <c r="I57" i="47" s="1"/>
  <c r="G47" i="40"/>
  <c r="I74" i="52"/>
  <c r="I191" i="43"/>
  <c r="I110" i="43"/>
  <c r="I52" i="70"/>
  <c r="I28" i="43"/>
  <c r="I82" i="43"/>
  <c r="I65" i="48"/>
  <c r="E47" i="40"/>
  <c r="F47" i="40"/>
  <c r="H47" i="40"/>
  <c r="I46" i="40"/>
  <c r="I53" i="46"/>
  <c r="I55" i="43"/>
  <c r="C46" i="58"/>
  <c r="I58" i="46"/>
  <c r="I63" i="47"/>
  <c r="C50" i="46"/>
  <c r="C68" i="40"/>
  <c r="I68" i="40" s="1"/>
  <c r="I33" i="40"/>
  <c r="D71" i="52"/>
  <c r="I71" i="52" s="1"/>
  <c r="I44" i="52"/>
  <c r="C50" i="70"/>
  <c r="I50" i="70" s="1"/>
  <c r="I46" i="70"/>
  <c r="I68" i="47"/>
  <c r="I59" i="41"/>
  <c r="I80" i="44"/>
  <c r="C36" i="58"/>
  <c r="C62" i="99" s="1"/>
  <c r="I64" i="41"/>
  <c r="I137" i="43"/>
  <c r="I164" i="43"/>
  <c r="C45" i="58"/>
  <c r="C158" i="58" s="1"/>
  <c r="I51" i="70"/>
  <c r="I141" i="44"/>
  <c r="J25" i="45"/>
  <c r="J25" i="44"/>
  <c r="I60" i="41"/>
  <c r="C47" i="40"/>
  <c r="I39" i="40"/>
  <c r="I64" i="48"/>
  <c r="I74" i="40"/>
  <c r="I28" i="44"/>
  <c r="I69" i="48"/>
  <c r="I52" i="46"/>
  <c r="J60" i="41"/>
  <c r="J61" i="41" s="1"/>
  <c r="I107" i="44"/>
  <c r="I53" i="70"/>
  <c r="I54" i="44"/>
  <c r="J25" i="43"/>
  <c r="I140" i="45"/>
  <c r="I28" i="45"/>
  <c r="I110" i="45"/>
  <c r="I142" i="45"/>
  <c r="I55" i="45"/>
  <c r="I137" i="45"/>
  <c r="F63" i="106"/>
  <c r="F64" i="106" s="1"/>
  <c r="D18" i="97" s="1"/>
  <c r="F58" i="106"/>
  <c r="F59" i="106" s="1"/>
  <c r="D19" i="95" s="1"/>
  <c r="G132" i="58"/>
  <c r="D132" i="58"/>
  <c r="E132" i="58"/>
  <c r="F132" i="58"/>
  <c r="H32" i="106"/>
  <c r="H33" i="106" s="1"/>
  <c r="I32" i="106"/>
  <c r="I33" i="106" s="1"/>
  <c r="G12" i="94" s="1"/>
  <c r="E32" i="106"/>
  <c r="E33" i="106" s="1"/>
  <c r="C12" i="94" s="1"/>
  <c r="J32" i="106"/>
  <c r="J33" i="106" s="1"/>
  <c r="H12" i="94" s="1"/>
  <c r="G32" i="106"/>
  <c r="G33" i="106" s="1"/>
  <c r="E12" i="94" s="1"/>
  <c r="F32" i="106"/>
  <c r="F33" i="106" s="1"/>
  <c r="D12" i="94" s="1"/>
  <c r="D14" i="24"/>
  <c r="F50" i="106"/>
  <c r="F51" i="106" s="1"/>
  <c r="D18" i="95" s="1"/>
  <c r="F14" i="24"/>
  <c r="H50" i="106"/>
  <c r="H51" i="106" s="1"/>
  <c r="F18" i="95" s="1"/>
  <c r="G14" i="24"/>
  <c r="I50" i="106"/>
  <c r="I51" i="106" s="1"/>
  <c r="G18" i="95" s="1"/>
  <c r="E14" i="24"/>
  <c r="G50" i="106"/>
  <c r="G51" i="106" s="1"/>
  <c r="E18" i="95" s="1"/>
  <c r="H14" i="24"/>
  <c r="J50" i="106"/>
  <c r="J51" i="106" s="1"/>
  <c r="H18" i="95" s="1"/>
  <c r="C14" i="24"/>
  <c r="E50" i="106"/>
  <c r="E51" i="106" s="1"/>
  <c r="C18" i="95" s="1"/>
  <c r="F24" i="24"/>
  <c r="G24" i="24"/>
  <c r="E24" i="24"/>
  <c r="D24" i="24"/>
  <c r="H24" i="24"/>
  <c r="D30" i="58"/>
  <c r="F30" i="58"/>
  <c r="H17" i="24"/>
  <c r="E18" i="24"/>
  <c r="D18" i="24"/>
  <c r="E30" i="58"/>
  <c r="D17" i="24"/>
  <c r="G30" i="58"/>
  <c r="C20" i="24"/>
  <c r="G23" i="24"/>
  <c r="F23" i="24"/>
  <c r="H23" i="24"/>
  <c r="E23" i="24"/>
  <c r="C23" i="24"/>
  <c r="D23" i="24"/>
  <c r="H58" i="106"/>
  <c r="H59" i="106" s="1"/>
  <c r="F19" i="95" s="1"/>
  <c r="J57" i="39"/>
  <c r="G38" i="106"/>
  <c r="G39" i="106" s="1"/>
  <c r="E17" i="95" s="1"/>
  <c r="E60" i="115"/>
  <c r="E60" i="102"/>
  <c r="H60" i="115"/>
  <c r="H60" i="102"/>
  <c r="F60" i="115"/>
  <c r="F60" i="102"/>
  <c r="G60" i="115"/>
  <c r="G60" i="102"/>
  <c r="D60" i="115"/>
  <c r="D60" i="102"/>
  <c r="C60" i="115"/>
  <c r="C60" i="102"/>
  <c r="G19" i="95"/>
  <c r="E19" i="95"/>
  <c r="C19" i="95"/>
  <c r="H19" i="95"/>
  <c r="F15" i="24"/>
  <c r="H15" i="24"/>
  <c r="C15" i="24"/>
  <c r="G15" i="24"/>
  <c r="D15" i="24"/>
  <c r="E15" i="24"/>
  <c r="E38" i="106"/>
  <c r="E39" i="106" s="1"/>
  <c r="C17" i="95" s="1"/>
  <c r="F38" i="106"/>
  <c r="F39" i="106" s="1"/>
  <c r="D17" i="95" s="1"/>
  <c r="I38" i="106"/>
  <c r="I39" i="106" s="1"/>
  <c r="G17" i="95" s="1"/>
  <c r="G13" i="24"/>
  <c r="D13" i="24"/>
  <c r="C13" i="24"/>
  <c r="E13" i="24"/>
  <c r="H13" i="24"/>
  <c r="F13" i="24"/>
  <c r="E58" i="98"/>
  <c r="E58" i="113"/>
  <c r="E58" i="111"/>
  <c r="D58" i="98"/>
  <c r="D58" i="113"/>
  <c r="D58" i="111"/>
  <c r="H58" i="98"/>
  <c r="H58" i="113"/>
  <c r="H58" i="111"/>
  <c r="F58" i="98"/>
  <c r="F58" i="113"/>
  <c r="F58" i="111"/>
  <c r="G58" i="98"/>
  <c r="G58" i="113"/>
  <c r="G58" i="111"/>
  <c r="F64" i="102"/>
  <c r="F64" i="115"/>
  <c r="H64" i="102"/>
  <c r="H64" i="115"/>
  <c r="G64" i="102"/>
  <c r="G64" i="115"/>
  <c r="E64" i="102"/>
  <c r="E64" i="115"/>
  <c r="D64" i="102"/>
  <c r="D64" i="115"/>
  <c r="C64" i="102"/>
  <c r="C64" i="115"/>
  <c r="H38" i="98"/>
  <c r="H38" i="113"/>
  <c r="H38" i="111"/>
  <c r="E38" i="98"/>
  <c r="E38" i="113"/>
  <c r="E38" i="111"/>
  <c r="G38" i="98"/>
  <c r="G38" i="113"/>
  <c r="G38" i="111"/>
  <c r="D38" i="98"/>
  <c r="D38" i="113"/>
  <c r="D38" i="111"/>
  <c r="E28" i="99"/>
  <c r="E28" i="112"/>
  <c r="E109" i="113"/>
  <c r="F62" i="99"/>
  <c r="F143" i="113"/>
  <c r="F62" i="112"/>
  <c r="E32" i="99"/>
  <c r="E32" i="112"/>
  <c r="E113" i="113"/>
  <c r="D28" i="99"/>
  <c r="D109" i="113"/>
  <c r="D28" i="112"/>
  <c r="G62" i="99"/>
  <c r="G62" i="112"/>
  <c r="G143" i="113"/>
  <c r="D62" i="99"/>
  <c r="D143" i="113"/>
  <c r="D62" i="112"/>
  <c r="F32" i="99"/>
  <c r="F113" i="113"/>
  <c r="F32" i="112"/>
  <c r="H28" i="99"/>
  <c r="H109" i="113"/>
  <c r="H28" i="112"/>
  <c r="F28" i="99"/>
  <c r="F109" i="113"/>
  <c r="F28" i="112"/>
  <c r="C32" i="99"/>
  <c r="C32" i="112"/>
  <c r="C113" i="113"/>
  <c r="H32" i="99"/>
  <c r="H113" i="113"/>
  <c r="H32" i="112"/>
  <c r="H62" i="99"/>
  <c r="H143" i="113"/>
  <c r="H62" i="112"/>
  <c r="G32" i="99"/>
  <c r="G32" i="112"/>
  <c r="G113" i="113"/>
  <c r="E62" i="99"/>
  <c r="E62" i="112"/>
  <c r="E143" i="113"/>
  <c r="C56" i="98"/>
  <c r="C56" i="113"/>
  <c r="C56" i="111"/>
  <c r="H56" i="98"/>
  <c r="H56" i="113"/>
  <c r="H56" i="111"/>
  <c r="D56" i="98"/>
  <c r="D56" i="113"/>
  <c r="D56" i="111"/>
  <c r="F50" i="99"/>
  <c r="F50" i="112"/>
  <c r="F131" i="113"/>
  <c r="E40" i="98"/>
  <c r="E40" i="113"/>
  <c r="E40" i="111"/>
  <c r="F40" i="98"/>
  <c r="F40" i="113"/>
  <c r="F40" i="111"/>
  <c r="G36" i="99"/>
  <c r="G117" i="113"/>
  <c r="G36" i="112"/>
  <c r="F56" i="98"/>
  <c r="F56" i="113"/>
  <c r="F56" i="111"/>
  <c r="D40" i="98"/>
  <c r="D40" i="113"/>
  <c r="D40" i="111"/>
  <c r="H40" i="98"/>
  <c r="H40" i="113"/>
  <c r="H40" i="111"/>
  <c r="D36" i="99"/>
  <c r="D117" i="113"/>
  <c r="D36" i="112"/>
  <c r="C36" i="99"/>
  <c r="C117" i="113"/>
  <c r="C36" i="112"/>
  <c r="G56" i="98"/>
  <c r="G56" i="111"/>
  <c r="G56" i="113"/>
  <c r="E50" i="99"/>
  <c r="E50" i="112"/>
  <c r="E131" i="113"/>
  <c r="G40" i="98"/>
  <c r="G40" i="113"/>
  <c r="G40" i="111"/>
  <c r="D50" i="99"/>
  <c r="D131" i="113"/>
  <c r="D50" i="112"/>
  <c r="H36" i="99"/>
  <c r="H117" i="113"/>
  <c r="H36" i="112"/>
  <c r="F36" i="99"/>
  <c r="F36" i="112"/>
  <c r="F117" i="113"/>
  <c r="E56" i="98"/>
  <c r="E56" i="113"/>
  <c r="E56" i="111"/>
  <c r="C50" i="99"/>
  <c r="C131" i="113"/>
  <c r="C50" i="112"/>
  <c r="G50" i="99"/>
  <c r="G131" i="113"/>
  <c r="G50" i="112"/>
  <c r="H50" i="99"/>
  <c r="H131" i="113"/>
  <c r="H50" i="112"/>
  <c r="E36" i="99"/>
  <c r="E36" i="112"/>
  <c r="E117" i="113"/>
  <c r="D68" i="102"/>
  <c r="D68" i="115"/>
  <c r="G69" i="102"/>
  <c r="G69" i="115"/>
  <c r="C69" i="102"/>
  <c r="C69" i="115"/>
  <c r="C68" i="102"/>
  <c r="C68" i="115"/>
  <c r="G68" i="102"/>
  <c r="G68" i="115"/>
  <c r="D69" i="102"/>
  <c r="D69" i="115"/>
  <c r="F65" i="58"/>
  <c r="F123" i="58" s="1"/>
  <c r="C65" i="58"/>
  <c r="C123" i="58" s="1"/>
  <c r="E65" i="58"/>
  <c r="E123" i="58" s="1"/>
  <c r="E138" i="58" s="1"/>
  <c r="D65" i="58"/>
  <c r="D123" i="58" s="1"/>
  <c r="D138" i="58" s="1"/>
  <c r="G65" i="58"/>
  <c r="G123" i="58" s="1"/>
  <c r="G138" i="58" s="1"/>
  <c r="H72" i="40"/>
  <c r="D72" i="40"/>
  <c r="C56" i="46"/>
  <c r="F78" i="40"/>
  <c r="F72" i="40"/>
  <c r="H67" i="47"/>
  <c r="H61" i="47"/>
  <c r="H68" i="48"/>
  <c r="H62" i="48"/>
  <c r="G68" i="48"/>
  <c r="G62" i="48"/>
  <c r="D68" i="48"/>
  <c r="D62" i="48"/>
  <c r="D56" i="46"/>
  <c r="K56" i="46" s="1"/>
  <c r="D50" i="46"/>
  <c r="E68" i="48"/>
  <c r="E62" i="48"/>
  <c r="E67" i="47"/>
  <c r="E61" i="47"/>
  <c r="F67" i="47"/>
  <c r="F61" i="47"/>
  <c r="F68" i="48"/>
  <c r="F62" i="48"/>
  <c r="C66" i="47"/>
  <c r="C67" i="48"/>
  <c r="G67" i="47"/>
  <c r="G61" i="47"/>
  <c r="D67" i="47"/>
  <c r="D61" i="47"/>
  <c r="F62" i="47"/>
  <c r="C79" i="52"/>
  <c r="H62" i="47"/>
  <c r="H31" i="58" s="1"/>
  <c r="H156" i="58" s="1"/>
  <c r="G62" i="47"/>
  <c r="E62" i="47"/>
  <c r="D62" i="47"/>
  <c r="F67" i="48"/>
  <c r="E66" i="47"/>
  <c r="F66" i="47"/>
  <c r="G66" i="47"/>
  <c r="G67" i="48"/>
  <c r="H67" i="48"/>
  <c r="C42" i="58"/>
  <c r="C34" i="58"/>
  <c r="D32" i="58"/>
  <c r="C30" i="58"/>
  <c r="H77" i="40"/>
  <c r="F77" i="40"/>
  <c r="G34" i="58" s="1"/>
  <c r="G28" i="99" s="1"/>
  <c r="D73" i="40"/>
  <c r="F79" i="52"/>
  <c r="I55" i="39"/>
  <c r="E83" i="52"/>
  <c r="D77" i="40"/>
  <c r="C57" i="46"/>
  <c r="C51" i="46"/>
  <c r="D51" i="46"/>
  <c r="D57" i="46"/>
  <c r="C58" i="41"/>
  <c r="F83" i="52"/>
  <c r="E72" i="40"/>
  <c r="H73" i="40"/>
  <c r="H35" i="58" s="1"/>
  <c r="H148" i="58" s="1"/>
  <c r="G72" i="40"/>
  <c r="G53" i="41"/>
  <c r="D53" i="41"/>
  <c r="H53" i="41"/>
  <c r="E53" i="41"/>
  <c r="E57" i="41" s="1"/>
  <c r="F53" i="41"/>
  <c r="F73" i="40"/>
  <c r="C85" i="52"/>
  <c r="G63" i="48"/>
  <c r="E30" i="46"/>
  <c r="F63" i="48"/>
  <c r="H77" i="52"/>
  <c r="E63" i="48"/>
  <c r="C83" i="52"/>
  <c r="G77" i="52"/>
  <c r="F85" i="52"/>
  <c r="F38" i="58" s="1"/>
  <c r="D63" i="48"/>
  <c r="H63" i="48"/>
  <c r="H33" i="58" s="1"/>
  <c r="H157" i="58" s="1"/>
  <c r="I68" i="61"/>
  <c r="I24" i="24" l="1"/>
  <c r="I23" i="24"/>
  <c r="C67" i="47"/>
  <c r="C62" i="47"/>
  <c r="C61" i="47"/>
  <c r="M132" i="58"/>
  <c r="F138" i="58"/>
  <c r="M123" i="58"/>
  <c r="C24" i="24"/>
  <c r="G109" i="113"/>
  <c r="I79" i="40"/>
  <c r="G28" i="112"/>
  <c r="I42" i="58"/>
  <c r="I45" i="58" s="1"/>
  <c r="C132" i="58"/>
  <c r="N123" i="58"/>
  <c r="C62" i="48"/>
  <c r="I62" i="48" s="1"/>
  <c r="C63" i="48"/>
  <c r="C33" i="58" s="1"/>
  <c r="C157" i="58" s="1"/>
  <c r="C68" i="48"/>
  <c r="I68" i="48" s="1"/>
  <c r="C143" i="113"/>
  <c r="I47" i="40"/>
  <c r="D78" i="52"/>
  <c r="J27" i="44"/>
  <c r="C62" i="112"/>
  <c r="J28" i="43"/>
  <c r="I85" i="52"/>
  <c r="I67" i="47"/>
  <c r="I79" i="52"/>
  <c r="I61" i="47"/>
  <c r="E46" i="46"/>
  <c r="E51" i="46" s="1"/>
  <c r="D57" i="41"/>
  <c r="I53" i="41"/>
  <c r="I66" i="47"/>
  <c r="J28" i="45"/>
  <c r="I62" i="47"/>
  <c r="J56" i="46"/>
  <c r="J57" i="46" s="1"/>
  <c r="J61" i="48"/>
  <c r="J62" i="48" s="1"/>
  <c r="I67" i="48"/>
  <c r="L76" i="40"/>
  <c r="L78" i="40" s="1"/>
  <c r="E84" i="40"/>
  <c r="E85" i="40" s="1"/>
  <c r="C138" i="58"/>
  <c r="F30" i="112"/>
  <c r="F82" i="112" s="1"/>
  <c r="F40" i="97"/>
  <c r="F31" i="94"/>
  <c r="E22" i="95"/>
  <c r="H31" i="94"/>
  <c r="D22" i="95"/>
  <c r="G40" i="97"/>
  <c r="E31" i="94"/>
  <c r="E40" i="97"/>
  <c r="D40" i="97"/>
  <c r="D31" i="94"/>
  <c r="D21" i="95"/>
  <c r="H40" i="97"/>
  <c r="C37" i="95"/>
  <c r="E111" i="113"/>
  <c r="E163" i="113" s="1"/>
  <c r="E168" i="113" s="1"/>
  <c r="D111" i="113"/>
  <c r="E30" i="99"/>
  <c r="E82" i="99" s="1"/>
  <c r="E84" i="99" s="1"/>
  <c r="F30" i="99"/>
  <c r="F82" i="99" s="1"/>
  <c r="F84" i="99" s="1"/>
  <c r="C31" i="94"/>
  <c r="H111" i="113"/>
  <c r="H163" i="113" s="1"/>
  <c r="H168" i="113" s="1"/>
  <c r="G31" i="94"/>
  <c r="H21" i="95"/>
  <c r="G30" i="112"/>
  <c r="D47" i="58"/>
  <c r="D152" i="58" s="1"/>
  <c r="D25" i="24"/>
  <c r="C25" i="24"/>
  <c r="F17" i="24"/>
  <c r="C18" i="24"/>
  <c r="H18" i="24"/>
  <c r="E17" i="24"/>
  <c r="E30" i="112"/>
  <c r="E82" i="112" s="1"/>
  <c r="E84" i="112" s="1"/>
  <c r="G30" i="99"/>
  <c r="G82" i="99" s="1"/>
  <c r="G118" i="99" s="1"/>
  <c r="G120" i="99" s="1"/>
  <c r="D30" i="99"/>
  <c r="H30" i="99"/>
  <c r="H82" i="99" s="1"/>
  <c r="H118" i="99" s="1"/>
  <c r="H120" i="99" s="1"/>
  <c r="D19" i="24"/>
  <c r="C17" i="24"/>
  <c r="G18" i="24"/>
  <c r="F18" i="24"/>
  <c r="I18" i="24" s="1"/>
  <c r="G17" i="24"/>
  <c r="G111" i="113"/>
  <c r="D30" i="112"/>
  <c r="F111" i="113"/>
  <c r="F163" i="113" s="1"/>
  <c r="F168" i="113" s="1"/>
  <c r="H30" i="112"/>
  <c r="H82" i="112" s="1"/>
  <c r="C21" i="24"/>
  <c r="F21" i="24"/>
  <c r="E21" i="24"/>
  <c r="C71" i="102"/>
  <c r="F43" i="58"/>
  <c r="F125" i="58" s="1"/>
  <c r="D35" i="58"/>
  <c r="D148" i="58" s="1"/>
  <c r="H82" i="98"/>
  <c r="H84" i="98" s="1"/>
  <c r="D82" i="98"/>
  <c r="D84" i="98" s="1"/>
  <c r="E82" i="98"/>
  <c r="E84" i="98" s="1"/>
  <c r="H82" i="111"/>
  <c r="H84" i="111" s="1"/>
  <c r="G82" i="98"/>
  <c r="G84" i="98" s="1"/>
  <c r="D82" i="111"/>
  <c r="D84" i="111" s="1"/>
  <c r="E61" i="115"/>
  <c r="E61" i="102"/>
  <c r="H61" i="115"/>
  <c r="H61" i="102"/>
  <c r="D61" i="115"/>
  <c r="D61" i="102"/>
  <c r="C61" i="115"/>
  <c r="C61" i="102"/>
  <c r="G61" i="115"/>
  <c r="G61" i="102"/>
  <c r="F61" i="115"/>
  <c r="F61" i="102"/>
  <c r="F12" i="94"/>
  <c r="C58" i="98"/>
  <c r="C58" i="113"/>
  <c r="C58" i="111"/>
  <c r="D71" i="102"/>
  <c r="D71" i="115"/>
  <c r="G71" i="102"/>
  <c r="G71" i="115"/>
  <c r="H71" i="102"/>
  <c r="H71" i="115"/>
  <c r="F38" i="113"/>
  <c r="F82" i="113" s="1"/>
  <c r="F38" i="111"/>
  <c r="F82" i="111" s="1"/>
  <c r="F84" i="111" s="1"/>
  <c r="C28" i="99"/>
  <c r="C28" i="112"/>
  <c r="C109" i="113"/>
  <c r="C30" i="99"/>
  <c r="C30" i="112"/>
  <c r="C111" i="113"/>
  <c r="D113" i="113"/>
  <c r="D32" i="112"/>
  <c r="E82" i="111"/>
  <c r="E84" i="111" s="1"/>
  <c r="G82" i="111"/>
  <c r="H82" i="113"/>
  <c r="E82" i="113"/>
  <c r="D82" i="113"/>
  <c r="G82" i="113"/>
  <c r="H69" i="102"/>
  <c r="H69" i="115"/>
  <c r="F69" i="102"/>
  <c r="F69" i="115"/>
  <c r="E69" i="102"/>
  <c r="E69" i="115"/>
  <c r="F38" i="98"/>
  <c r="F82" i="98" s="1"/>
  <c r="D32" i="99"/>
  <c r="C78" i="52"/>
  <c r="D31" i="58"/>
  <c r="D156" i="58" s="1"/>
  <c r="C77" i="52"/>
  <c r="F62" i="41"/>
  <c r="F57" i="41"/>
  <c r="G62" i="41"/>
  <c r="G57" i="41"/>
  <c r="E56" i="46"/>
  <c r="H62" i="41"/>
  <c r="H57" i="41"/>
  <c r="C73" i="40"/>
  <c r="C72" i="40"/>
  <c r="I72" i="40" s="1"/>
  <c r="D83" i="52"/>
  <c r="D77" i="52"/>
  <c r="E84" i="52"/>
  <c r="E77" i="52"/>
  <c r="F77" i="52"/>
  <c r="G77" i="40"/>
  <c r="C31" i="58"/>
  <c r="C156" i="58" s="1"/>
  <c r="C78" i="40"/>
  <c r="C38" i="58"/>
  <c r="C77" i="40"/>
  <c r="F19" i="24"/>
  <c r="H19" i="24"/>
  <c r="C47" i="58"/>
  <c r="C152" i="58" s="1"/>
  <c r="E62" i="41"/>
  <c r="E63" i="41"/>
  <c r="E58" i="41"/>
  <c r="D62" i="41"/>
  <c r="D63" i="41"/>
  <c r="D58" i="41"/>
  <c r="E77" i="40"/>
  <c r="E78" i="40"/>
  <c r="E73" i="40"/>
  <c r="E78" i="52"/>
  <c r="D43" i="58"/>
  <c r="D125" i="58" s="1"/>
  <c r="D140" i="58" s="1"/>
  <c r="D84" i="52"/>
  <c r="C84" i="52"/>
  <c r="H63" i="41"/>
  <c r="F78" i="52"/>
  <c r="F84" i="52"/>
  <c r="G43" i="58"/>
  <c r="G125" i="58" s="1"/>
  <c r="G140" i="58" s="1"/>
  <c r="G84" i="52"/>
  <c r="G33" i="58"/>
  <c r="G157" i="58" s="1"/>
  <c r="F35" i="58"/>
  <c r="F148" i="58" s="1"/>
  <c r="G78" i="40"/>
  <c r="H84" i="52"/>
  <c r="F63" i="41"/>
  <c r="G63" i="41"/>
  <c r="C37" i="58"/>
  <c r="C149" i="58" s="1"/>
  <c r="G58" i="41"/>
  <c r="H58" i="41"/>
  <c r="H37" i="58" s="1"/>
  <c r="H149" i="58" s="1"/>
  <c r="F58" i="41"/>
  <c r="G73" i="40"/>
  <c r="G31" i="58"/>
  <c r="G156" i="58" s="1"/>
  <c r="H83" i="52"/>
  <c r="H78" i="52"/>
  <c r="H39" i="58" s="1"/>
  <c r="H150" i="58" s="1"/>
  <c r="G83" i="52"/>
  <c r="G78" i="52"/>
  <c r="F33" i="58"/>
  <c r="F157" i="58" s="1"/>
  <c r="F30" i="46"/>
  <c r="F46" i="46" s="1"/>
  <c r="E33" i="58"/>
  <c r="E157" i="58" s="1"/>
  <c r="E43" i="58"/>
  <c r="E125" i="58" s="1"/>
  <c r="E140" i="58" s="1"/>
  <c r="C43" i="58"/>
  <c r="C125" i="58" s="1"/>
  <c r="D33" i="58"/>
  <c r="D157" i="58" s="1"/>
  <c r="I17" i="24" l="1"/>
  <c r="G163" i="113"/>
  <c r="G168" i="113" s="1"/>
  <c r="I138" i="58"/>
  <c r="C40" i="97"/>
  <c r="G82" i="112"/>
  <c r="G84" i="112" s="1"/>
  <c r="F140" i="58"/>
  <c r="M125" i="58"/>
  <c r="N125" i="58"/>
  <c r="I132" i="58"/>
  <c r="N132" i="58"/>
  <c r="I63" i="48"/>
  <c r="E57" i="46"/>
  <c r="E50" i="46"/>
  <c r="I58" i="41"/>
  <c r="I83" i="52"/>
  <c r="I62" i="41"/>
  <c r="I78" i="40"/>
  <c r="I78" i="52"/>
  <c r="I57" i="41"/>
  <c r="I73" i="40"/>
  <c r="I84" i="52"/>
  <c r="I87" i="52" s="1"/>
  <c r="I63" i="41"/>
  <c r="J76" i="40"/>
  <c r="J77" i="40" s="1"/>
  <c r="I77" i="40"/>
  <c r="I77" i="52"/>
  <c r="D86" i="40"/>
  <c r="J48" i="52"/>
  <c r="J49" i="52" s="1"/>
  <c r="J79" i="52"/>
  <c r="C140" i="58"/>
  <c r="D163" i="113"/>
  <c r="D168" i="113" s="1"/>
  <c r="F21" i="94"/>
  <c r="F43" i="94" s="1"/>
  <c r="F51" i="94" s="1"/>
  <c r="G37" i="119" s="1"/>
  <c r="G22" i="95"/>
  <c r="H22" i="95"/>
  <c r="C21" i="95"/>
  <c r="E21" i="94"/>
  <c r="E43" i="94" s="1"/>
  <c r="E51" i="94" s="1"/>
  <c r="F37" i="119" s="1"/>
  <c r="F22" i="95"/>
  <c r="E21" i="95"/>
  <c r="D20" i="95"/>
  <c r="F21" i="95"/>
  <c r="C21" i="94"/>
  <c r="C43" i="94" s="1"/>
  <c r="C51" i="94" s="1"/>
  <c r="D37" i="119" s="1"/>
  <c r="C22" i="95"/>
  <c r="G21" i="95"/>
  <c r="D37" i="97"/>
  <c r="C37" i="97"/>
  <c r="D82" i="112"/>
  <c r="D84" i="112" s="1"/>
  <c r="D29" i="99"/>
  <c r="D65" i="102"/>
  <c r="D110" i="113"/>
  <c r="D29" i="112"/>
  <c r="C71" i="115"/>
  <c r="G101" i="98"/>
  <c r="Z11" i="98" s="1"/>
  <c r="H59" i="98"/>
  <c r="D82" i="99"/>
  <c r="D84" i="99" s="1"/>
  <c r="D65" i="115"/>
  <c r="E20" i="24"/>
  <c r="H20" i="24"/>
  <c r="G20" i="24"/>
  <c r="D20" i="24"/>
  <c r="E19" i="24"/>
  <c r="G19" i="24"/>
  <c r="I19" i="24" s="1"/>
  <c r="F20" i="24"/>
  <c r="H59" i="113"/>
  <c r="H59" i="111"/>
  <c r="G21" i="24"/>
  <c r="I21" i="24" s="1"/>
  <c r="D21" i="24"/>
  <c r="H21" i="24"/>
  <c r="F59" i="111"/>
  <c r="F59" i="113"/>
  <c r="F59" i="98"/>
  <c r="C35" i="58"/>
  <c r="C148" i="58" s="1"/>
  <c r="H20" i="95"/>
  <c r="F20" i="95"/>
  <c r="D101" i="98"/>
  <c r="D103" i="98" s="1"/>
  <c r="D104" i="98" s="1"/>
  <c r="D114" i="99" s="1"/>
  <c r="D115" i="99" s="1"/>
  <c r="D117" i="99" s="1"/>
  <c r="H101" i="98"/>
  <c r="AF10" i="98" s="1"/>
  <c r="F118" i="99"/>
  <c r="F120" i="99" s="1"/>
  <c r="E25" i="24"/>
  <c r="E101" i="98"/>
  <c r="E103" i="98" s="1"/>
  <c r="E104" i="98" s="1"/>
  <c r="E114" i="99" s="1"/>
  <c r="E115" i="99" s="1"/>
  <c r="E117" i="99" s="1"/>
  <c r="E118" i="99"/>
  <c r="E120" i="99" s="1"/>
  <c r="G84" i="99"/>
  <c r="H84" i="99"/>
  <c r="C82" i="99"/>
  <c r="C82" i="112"/>
  <c r="E59" i="98"/>
  <c r="E59" i="113"/>
  <c r="E59" i="111"/>
  <c r="G59" i="98"/>
  <c r="G59" i="113"/>
  <c r="G59" i="111"/>
  <c r="C59" i="98"/>
  <c r="C59" i="113"/>
  <c r="C59" i="111"/>
  <c r="D59" i="98"/>
  <c r="D59" i="113"/>
  <c r="D59" i="111"/>
  <c r="E71" i="102"/>
  <c r="E71" i="115"/>
  <c r="F71" i="102"/>
  <c r="F71" i="115"/>
  <c r="C65" i="102"/>
  <c r="C65" i="115"/>
  <c r="C38" i="98"/>
  <c r="C82" i="98" s="1"/>
  <c r="C84" i="98" s="1"/>
  <c r="C38" i="113"/>
  <c r="C82" i="113" s="1"/>
  <c r="I82" i="113" s="1"/>
  <c r="C93" i="113" s="1"/>
  <c r="C38" i="111"/>
  <c r="C82" i="111" s="1"/>
  <c r="C84" i="111" s="1"/>
  <c r="C163" i="113"/>
  <c r="C168" i="113" s="1"/>
  <c r="H33" i="99"/>
  <c r="H33" i="112"/>
  <c r="H114" i="113"/>
  <c r="E33" i="99"/>
  <c r="E114" i="113"/>
  <c r="E33" i="112"/>
  <c r="G31" i="99"/>
  <c r="G112" i="113"/>
  <c r="G31" i="112"/>
  <c r="C63" i="99"/>
  <c r="C144" i="113"/>
  <c r="C63" i="112"/>
  <c r="H31" i="99"/>
  <c r="H31" i="112"/>
  <c r="H112" i="113"/>
  <c r="D31" i="99"/>
  <c r="D31" i="112"/>
  <c r="D112" i="113"/>
  <c r="F33" i="99"/>
  <c r="F114" i="113"/>
  <c r="F33" i="112"/>
  <c r="C33" i="99"/>
  <c r="C114" i="113"/>
  <c r="C33" i="112"/>
  <c r="G33" i="99"/>
  <c r="G114" i="113"/>
  <c r="G33" i="112"/>
  <c r="C31" i="99"/>
  <c r="C112" i="113"/>
  <c r="C31" i="112"/>
  <c r="D33" i="99"/>
  <c r="D33" i="112"/>
  <c r="D114" i="113"/>
  <c r="H29" i="99"/>
  <c r="H29" i="112"/>
  <c r="H110" i="113"/>
  <c r="F29" i="99"/>
  <c r="F110" i="113"/>
  <c r="F29" i="112"/>
  <c r="H51" i="99"/>
  <c r="H51" i="112"/>
  <c r="H132" i="113"/>
  <c r="F37" i="99"/>
  <c r="F118" i="113"/>
  <c r="F37" i="112"/>
  <c r="G37" i="99"/>
  <c r="G118" i="113"/>
  <c r="G37" i="112"/>
  <c r="F85" i="113"/>
  <c r="F86" i="113"/>
  <c r="F167" i="113"/>
  <c r="F169" i="113" s="1"/>
  <c r="F84" i="112"/>
  <c r="E51" i="99"/>
  <c r="E132" i="113"/>
  <c r="E51" i="112"/>
  <c r="C37" i="99"/>
  <c r="C118" i="113"/>
  <c r="C37" i="112"/>
  <c r="E37" i="99"/>
  <c r="E37" i="112"/>
  <c r="E118" i="113"/>
  <c r="H84" i="112"/>
  <c r="F51" i="99"/>
  <c r="F132" i="113"/>
  <c r="F51" i="112"/>
  <c r="H37" i="99"/>
  <c r="H37" i="112"/>
  <c r="H118" i="113"/>
  <c r="G85" i="113"/>
  <c r="G167" i="113"/>
  <c r="G169" i="113" s="1"/>
  <c r="G86" i="113"/>
  <c r="D85" i="113"/>
  <c r="D86" i="113"/>
  <c r="D167" i="113"/>
  <c r="E86" i="113"/>
  <c r="E167" i="113"/>
  <c r="E169" i="113" s="1"/>
  <c r="E85" i="113"/>
  <c r="H167" i="113"/>
  <c r="H169" i="113" s="1"/>
  <c r="H85" i="113"/>
  <c r="H86" i="113"/>
  <c r="D51" i="99"/>
  <c r="D51" i="112"/>
  <c r="D132" i="113"/>
  <c r="D37" i="99"/>
  <c r="D37" i="112"/>
  <c r="D118" i="113"/>
  <c r="G84" i="111"/>
  <c r="F84" i="98"/>
  <c r="F101" i="98"/>
  <c r="T12" i="98" s="1"/>
  <c r="F56" i="46"/>
  <c r="F50" i="46"/>
  <c r="C19" i="24"/>
  <c r="E39" i="58"/>
  <c r="E150" i="58" s="1"/>
  <c r="E37" i="58"/>
  <c r="E149" i="58" s="1"/>
  <c r="D37" i="58"/>
  <c r="D149" i="58" s="1"/>
  <c r="E35" i="58"/>
  <c r="E148" i="58" s="1"/>
  <c r="C39" i="58"/>
  <c r="C150" i="58" s="1"/>
  <c r="F39" i="58"/>
  <c r="F150" i="58" s="1"/>
  <c r="F37" i="58"/>
  <c r="F149" i="58" s="1"/>
  <c r="G37" i="58"/>
  <c r="G149" i="58" s="1"/>
  <c r="F57" i="46"/>
  <c r="F51" i="46"/>
  <c r="G35" i="58"/>
  <c r="G148" i="58" s="1"/>
  <c r="F31" i="58"/>
  <c r="F156" i="58" s="1"/>
  <c r="E31" i="58"/>
  <c r="E156" i="58" s="1"/>
  <c r="E47" i="58"/>
  <c r="E152" i="58" s="1"/>
  <c r="G39" i="58"/>
  <c r="G150" i="58" s="1"/>
  <c r="G30" i="46"/>
  <c r="G46" i="46" s="1"/>
  <c r="H30" i="46"/>
  <c r="H46" i="46" s="1"/>
  <c r="H56" i="46" s="1"/>
  <c r="D39" i="58"/>
  <c r="D150" i="58" s="1"/>
  <c r="I20" i="24" l="1"/>
  <c r="I140" i="58"/>
  <c r="I46" i="46"/>
  <c r="I30" i="46"/>
  <c r="I149" i="58"/>
  <c r="I150" i="58"/>
  <c r="I148" i="58"/>
  <c r="D169" i="113"/>
  <c r="D171" i="113" s="1"/>
  <c r="D118" i="112" s="1"/>
  <c r="D120" i="112" s="1"/>
  <c r="G37" i="95"/>
  <c r="D37" i="95"/>
  <c r="D47" i="95" s="1"/>
  <c r="E20" i="95"/>
  <c r="G20" i="95"/>
  <c r="F37" i="95"/>
  <c r="F47" i="95" s="1"/>
  <c r="H37" i="95"/>
  <c r="H47" i="95" s="1"/>
  <c r="D118" i="99"/>
  <c r="D120" i="99" s="1"/>
  <c r="I82" i="112"/>
  <c r="C93" i="112" s="1"/>
  <c r="H21" i="94"/>
  <c r="H43" i="94" s="1"/>
  <c r="H51" i="94" s="1"/>
  <c r="I37" i="119" s="1"/>
  <c r="G21" i="94"/>
  <c r="G43" i="94" s="1"/>
  <c r="G46" i="94" s="1"/>
  <c r="N12" i="98"/>
  <c r="C29" i="112"/>
  <c r="C110" i="113"/>
  <c r="C29" i="99"/>
  <c r="I82" i="99"/>
  <c r="C93" i="99" s="1"/>
  <c r="E37" i="95"/>
  <c r="G103" i="98"/>
  <c r="G104" i="98" s="1"/>
  <c r="G114" i="99" s="1"/>
  <c r="G115" i="99" s="1"/>
  <c r="G117" i="99" s="1"/>
  <c r="G121" i="99" s="1"/>
  <c r="Z12" i="98"/>
  <c r="Z10" i="98"/>
  <c r="D21" i="94"/>
  <c r="D43" i="94" s="1"/>
  <c r="D46" i="94" s="1"/>
  <c r="N10" i="98"/>
  <c r="H10" i="98"/>
  <c r="E37" i="97"/>
  <c r="AF11" i="98"/>
  <c r="H103" i="98"/>
  <c r="H104" i="98" s="1"/>
  <c r="H114" i="99" s="1"/>
  <c r="H115" i="99" s="1"/>
  <c r="H117" i="99" s="1"/>
  <c r="H121" i="99" s="1"/>
  <c r="AF11" i="99" s="1"/>
  <c r="H11" i="98"/>
  <c r="H12" i="98"/>
  <c r="AF12" i="98"/>
  <c r="F25" i="24"/>
  <c r="E121" i="99"/>
  <c r="N12" i="99" s="1"/>
  <c r="C84" i="99"/>
  <c r="C118" i="99"/>
  <c r="C120" i="99" s="1"/>
  <c r="C84" i="112"/>
  <c r="E46" i="94"/>
  <c r="C101" i="98"/>
  <c r="B12" i="98" s="1"/>
  <c r="I82" i="98"/>
  <c r="C92" i="98" s="1"/>
  <c r="I163" i="113"/>
  <c r="C46" i="94"/>
  <c r="F37" i="114"/>
  <c r="F46" i="94"/>
  <c r="F37" i="109"/>
  <c r="F48" i="95"/>
  <c r="T11" i="98"/>
  <c r="E65" i="102"/>
  <c r="E65" i="115"/>
  <c r="T10" i="98"/>
  <c r="I82" i="111"/>
  <c r="C92" i="111" s="1"/>
  <c r="G39" i="98"/>
  <c r="G39" i="113"/>
  <c r="G39" i="111"/>
  <c r="E39" i="98"/>
  <c r="E39" i="113"/>
  <c r="E39" i="111"/>
  <c r="D39" i="98"/>
  <c r="D39" i="113"/>
  <c r="D39" i="111"/>
  <c r="F39" i="98"/>
  <c r="F39" i="113"/>
  <c r="F39" i="111"/>
  <c r="C86" i="113"/>
  <c r="C167" i="113"/>
  <c r="C169" i="113" s="1"/>
  <c r="C170" i="113" s="1"/>
  <c r="C85" i="113"/>
  <c r="H39" i="98"/>
  <c r="H39" i="113"/>
  <c r="H39" i="111"/>
  <c r="C39" i="98"/>
  <c r="C39" i="113"/>
  <c r="C39" i="111"/>
  <c r="D63" i="99"/>
  <c r="D87" i="99" s="1"/>
  <c r="D89" i="99" s="1"/>
  <c r="D63" i="112"/>
  <c r="D87" i="112" s="1"/>
  <c r="D89" i="112" s="1"/>
  <c r="D144" i="113"/>
  <c r="D164" i="113" s="1"/>
  <c r="D176" i="113" s="1"/>
  <c r="E31" i="99"/>
  <c r="E112" i="113"/>
  <c r="E31" i="112"/>
  <c r="F31" i="99"/>
  <c r="F112" i="113"/>
  <c r="F31" i="112"/>
  <c r="G63" i="99"/>
  <c r="G144" i="113"/>
  <c r="G63" i="112"/>
  <c r="F63" i="99"/>
  <c r="F144" i="113"/>
  <c r="F63" i="112"/>
  <c r="H63" i="99"/>
  <c r="H124" i="99" s="1"/>
  <c r="H63" i="112"/>
  <c r="H87" i="112" s="1"/>
  <c r="H89" i="112" s="1"/>
  <c r="H144" i="113"/>
  <c r="H164" i="113" s="1"/>
  <c r="H176" i="113" s="1"/>
  <c r="E63" i="99"/>
  <c r="E144" i="113"/>
  <c r="E63" i="112"/>
  <c r="G29" i="99"/>
  <c r="G110" i="113"/>
  <c r="G29" i="112"/>
  <c r="E29" i="99"/>
  <c r="E110" i="113"/>
  <c r="E29" i="112"/>
  <c r="G51" i="99"/>
  <c r="G132" i="113"/>
  <c r="G51" i="112"/>
  <c r="D41" i="98"/>
  <c r="D41" i="113"/>
  <c r="D41" i="111"/>
  <c r="C41" i="98"/>
  <c r="C41" i="113"/>
  <c r="C41" i="111"/>
  <c r="F171" i="113"/>
  <c r="F118" i="112" s="1"/>
  <c r="F120" i="112" s="1"/>
  <c r="F170" i="113"/>
  <c r="G41" i="98"/>
  <c r="G41" i="113"/>
  <c r="G41" i="111"/>
  <c r="E170" i="113"/>
  <c r="E171" i="113"/>
  <c r="E118" i="112" s="1"/>
  <c r="E120" i="112" s="1"/>
  <c r="E41" i="98"/>
  <c r="E41" i="113"/>
  <c r="E41" i="111"/>
  <c r="C51" i="99"/>
  <c r="C51" i="112"/>
  <c r="C132" i="113"/>
  <c r="F41" i="98"/>
  <c r="F41" i="113"/>
  <c r="F41" i="111"/>
  <c r="H41" i="98"/>
  <c r="H41" i="113"/>
  <c r="H41" i="111"/>
  <c r="H170" i="113"/>
  <c r="H171" i="113"/>
  <c r="H118" i="112" s="1"/>
  <c r="H120" i="112" s="1"/>
  <c r="G171" i="113"/>
  <c r="G118" i="112" s="1"/>
  <c r="G120" i="112" s="1"/>
  <c r="G170" i="113"/>
  <c r="E37" i="109"/>
  <c r="E37" i="114"/>
  <c r="C48" i="95"/>
  <c r="C37" i="114"/>
  <c r="F103" i="98"/>
  <c r="F104" i="98" s="1"/>
  <c r="F114" i="99" s="1"/>
  <c r="F115" i="99" s="1"/>
  <c r="F117" i="99" s="1"/>
  <c r="F121" i="99" s="1"/>
  <c r="T10" i="99" s="1"/>
  <c r="E48" i="95"/>
  <c r="C37" i="109"/>
  <c r="C20" i="95"/>
  <c r="C47" i="95" s="1"/>
  <c r="G56" i="46"/>
  <c r="I56" i="46" s="1"/>
  <c r="G50" i="46"/>
  <c r="H50" i="46"/>
  <c r="H51" i="46"/>
  <c r="H47" i="58" s="1"/>
  <c r="H152" i="58" s="1"/>
  <c r="H57" i="46"/>
  <c r="G51" i="46"/>
  <c r="G57" i="46"/>
  <c r="F47" i="58"/>
  <c r="F152" i="58" s="1"/>
  <c r="I50" i="46" l="1"/>
  <c r="I57" i="46"/>
  <c r="I51" i="46"/>
  <c r="D121" i="99"/>
  <c r="H11" i="99" s="1"/>
  <c r="D170" i="113"/>
  <c r="D101" i="111" s="1"/>
  <c r="G47" i="95"/>
  <c r="E47" i="95"/>
  <c r="E49" i="95" s="1"/>
  <c r="E52" i="95" s="1"/>
  <c r="C87" i="99"/>
  <c r="C89" i="99" s="1"/>
  <c r="H46" i="94"/>
  <c r="C87" i="112"/>
  <c r="C89" i="112" s="1"/>
  <c r="C164" i="113"/>
  <c r="C176" i="113" s="1"/>
  <c r="D51" i="94"/>
  <c r="E37" i="119" s="1"/>
  <c r="F49" i="95"/>
  <c r="F52" i="95" s="1"/>
  <c r="AF10" i="99"/>
  <c r="H119" i="102"/>
  <c r="H120" i="102" s="1"/>
  <c r="H122" i="102" s="1"/>
  <c r="AF12" i="99"/>
  <c r="F37" i="97"/>
  <c r="E119" i="102"/>
  <c r="E120" i="102" s="1"/>
  <c r="E122" i="102" s="1"/>
  <c r="N11" i="99"/>
  <c r="N10" i="99"/>
  <c r="G25" i="24"/>
  <c r="I25" i="24" s="1"/>
  <c r="H25" i="24"/>
  <c r="G51" i="94"/>
  <c r="H37" i="119" s="1"/>
  <c r="B10" i="98"/>
  <c r="B11" i="98"/>
  <c r="C103" i="98"/>
  <c r="C104" i="98" s="1"/>
  <c r="C114" i="99" s="1"/>
  <c r="C115" i="99" s="1"/>
  <c r="C117" i="99" s="1"/>
  <c r="C121" i="99" s="1"/>
  <c r="C119" i="102" s="1"/>
  <c r="C120" i="102" s="1"/>
  <c r="C122" i="102" s="1"/>
  <c r="N11" i="98"/>
  <c r="F87" i="99"/>
  <c r="F89" i="99" s="1"/>
  <c r="F124" i="99"/>
  <c r="E87" i="99"/>
  <c r="E89" i="99" s="1"/>
  <c r="C124" i="99"/>
  <c r="H87" i="99"/>
  <c r="H89" i="99" s="1"/>
  <c r="E124" i="99"/>
  <c r="G124" i="99"/>
  <c r="D124" i="99"/>
  <c r="E87" i="112"/>
  <c r="E89" i="112" s="1"/>
  <c r="G164" i="113"/>
  <c r="G176" i="113" s="1"/>
  <c r="F164" i="113"/>
  <c r="F176" i="113" s="1"/>
  <c r="E164" i="113"/>
  <c r="E176" i="113" s="1"/>
  <c r="F65" i="102"/>
  <c r="F65" i="115"/>
  <c r="C49" i="95"/>
  <c r="C52" i="95" s="1"/>
  <c r="C171" i="113"/>
  <c r="C118" i="112" s="1"/>
  <c r="C120" i="112" s="1"/>
  <c r="F87" i="112"/>
  <c r="F89" i="112" s="1"/>
  <c r="G87" i="99"/>
  <c r="G89" i="99" s="1"/>
  <c r="G87" i="112"/>
  <c r="G89" i="112" s="1"/>
  <c r="F101" i="111"/>
  <c r="G101" i="111"/>
  <c r="H101" i="111"/>
  <c r="E101" i="111"/>
  <c r="C101" i="111"/>
  <c r="H37" i="109"/>
  <c r="H37" i="114"/>
  <c r="T11" i="99"/>
  <c r="F119" i="102"/>
  <c r="F120" i="102" s="1"/>
  <c r="F122" i="102" s="1"/>
  <c r="T12" i="99"/>
  <c r="H48" i="95"/>
  <c r="H49" i="95" s="1"/>
  <c r="H57" i="95" s="1"/>
  <c r="I23" i="119" s="1"/>
  <c r="Z11" i="99"/>
  <c r="Z12" i="99"/>
  <c r="G119" i="102"/>
  <c r="G120" i="102" s="1"/>
  <c r="G122" i="102" s="1"/>
  <c r="Z10" i="99"/>
  <c r="G47" i="58"/>
  <c r="G152" i="58" s="1"/>
  <c r="I152" i="58" s="1"/>
  <c r="D119" i="102" l="1"/>
  <c r="D120" i="102" s="1"/>
  <c r="D122" i="102" s="1"/>
  <c r="H10" i="99"/>
  <c r="D37" i="109"/>
  <c r="D37" i="114"/>
  <c r="F57" i="95"/>
  <c r="G23" i="119" s="1"/>
  <c r="D48" i="95"/>
  <c r="D49" i="95" s="1"/>
  <c r="D52" i="95" s="1"/>
  <c r="G65" i="115"/>
  <c r="H37" i="97"/>
  <c r="G37" i="97"/>
  <c r="B13" i="98"/>
  <c r="I51" i="94"/>
  <c r="G37" i="114"/>
  <c r="G48" i="95"/>
  <c r="G49" i="95" s="1"/>
  <c r="G52" i="95" s="1"/>
  <c r="G37" i="109"/>
  <c r="B11" i="99"/>
  <c r="B10" i="99"/>
  <c r="H12" i="99"/>
  <c r="B12" i="99"/>
  <c r="E57" i="95"/>
  <c r="F23" i="119" s="1"/>
  <c r="H65" i="115"/>
  <c r="I89" i="99"/>
  <c r="C92" i="99" s="1"/>
  <c r="C94" i="99" s="1"/>
  <c r="C95" i="99" s="1"/>
  <c r="C57" i="95"/>
  <c r="D23" i="119" s="1"/>
  <c r="I164" i="113"/>
  <c r="I89" i="112"/>
  <c r="C92" i="112" s="1"/>
  <c r="C94" i="112" s="1"/>
  <c r="C95" i="112" s="1"/>
  <c r="T10" i="111"/>
  <c r="T12" i="111"/>
  <c r="T11" i="111"/>
  <c r="F103" i="111"/>
  <c r="F104" i="111" s="1"/>
  <c r="F114" i="112" s="1"/>
  <c r="F115" i="112" s="1"/>
  <c r="F117" i="112" s="1"/>
  <c r="F121" i="112" s="1"/>
  <c r="H11" i="111"/>
  <c r="H12" i="111"/>
  <c r="H10" i="111"/>
  <c r="D103" i="111"/>
  <c r="D104" i="111" s="1"/>
  <c r="D114" i="112" s="1"/>
  <c r="D115" i="112" s="1"/>
  <c r="D117" i="112" s="1"/>
  <c r="D121" i="112" s="1"/>
  <c r="C103" i="111"/>
  <c r="C104" i="111" s="1"/>
  <c r="C114" i="112" s="1"/>
  <c r="C115" i="112" s="1"/>
  <c r="C117" i="112" s="1"/>
  <c r="C121" i="112" s="1"/>
  <c r="B10" i="111"/>
  <c r="N11" i="111"/>
  <c r="B11" i="111"/>
  <c r="B12" i="111"/>
  <c r="N10" i="111"/>
  <c r="E103" i="111"/>
  <c r="E104" i="111" s="1"/>
  <c r="E114" i="112" s="1"/>
  <c r="E115" i="112" s="1"/>
  <c r="E117" i="112" s="1"/>
  <c r="E121" i="112" s="1"/>
  <c r="N12" i="111"/>
  <c r="AF11" i="111"/>
  <c r="AF12" i="111"/>
  <c r="AF10" i="111"/>
  <c r="H103" i="111"/>
  <c r="H104" i="111" s="1"/>
  <c r="H114" i="112" s="1"/>
  <c r="H115" i="112" s="1"/>
  <c r="H117" i="112" s="1"/>
  <c r="H121" i="112" s="1"/>
  <c r="Z10" i="111"/>
  <c r="Z12" i="111"/>
  <c r="Z11" i="111"/>
  <c r="G103" i="111"/>
  <c r="G104" i="111" s="1"/>
  <c r="G114" i="112" s="1"/>
  <c r="G115" i="112" s="1"/>
  <c r="G117" i="112" s="1"/>
  <c r="G121" i="112" s="1"/>
  <c r="H23" i="109"/>
  <c r="H23" i="114"/>
  <c r="H52" i="95"/>
  <c r="H65" i="102"/>
  <c r="G65" i="102"/>
  <c r="F23" i="109" l="1"/>
  <c r="F23" i="114"/>
  <c r="D57" i="95"/>
  <c r="E23" i="119" s="1"/>
  <c r="G57" i="95"/>
  <c r="H23" i="119" s="1"/>
  <c r="E23" i="109"/>
  <c r="B13" i="99"/>
  <c r="E23" i="114"/>
  <c r="C23" i="114"/>
  <c r="C23" i="109"/>
  <c r="N10" i="112"/>
  <c r="N11" i="112"/>
  <c r="E119" i="115"/>
  <c r="E120" i="115" s="1"/>
  <c r="E122" i="115" s="1"/>
  <c r="N12" i="112"/>
  <c r="B10" i="112"/>
  <c r="H12" i="112"/>
  <c r="C119" i="115"/>
  <c r="C120" i="115" s="1"/>
  <c r="C122" i="115" s="1"/>
  <c r="B12" i="112"/>
  <c r="B11" i="112"/>
  <c r="H10" i="112"/>
  <c r="H11" i="112"/>
  <c r="D119" i="115"/>
  <c r="D120" i="115" s="1"/>
  <c r="D122" i="115" s="1"/>
  <c r="T10" i="112"/>
  <c r="T12" i="112"/>
  <c r="T11" i="112"/>
  <c r="F119" i="115"/>
  <c r="F120" i="115" s="1"/>
  <c r="F122" i="115" s="1"/>
  <c r="Z12" i="112"/>
  <c r="G119" i="115"/>
  <c r="G120" i="115" s="1"/>
  <c r="G122" i="115" s="1"/>
  <c r="Z11" i="112"/>
  <c r="Z10" i="112"/>
  <c r="AF11" i="112"/>
  <c r="AF10" i="112"/>
  <c r="AF12" i="112"/>
  <c r="H119" i="115"/>
  <c r="H120" i="115" s="1"/>
  <c r="H122" i="115" s="1"/>
  <c r="B13" i="111"/>
  <c r="D23" i="114" l="1"/>
  <c r="D23" i="109"/>
  <c r="G23" i="109"/>
  <c r="I57" i="95"/>
  <c r="G23" i="114"/>
  <c r="B13" i="112"/>
  <c r="J32" i="22" l="1"/>
  <c r="D5" i="22" l="1"/>
  <c r="E5" i="22"/>
  <c r="C5" i="22"/>
  <c r="H6" i="76"/>
  <c r="G79" i="24"/>
  <c r="H5" i="108"/>
  <c r="H22" i="108" s="1"/>
  <c r="B66" i="127"/>
  <c r="G11" i="72"/>
  <c r="G10" i="72" s="1"/>
  <c r="E2" i="22" l="1"/>
  <c r="I29" i="22"/>
  <c r="I37" i="22" s="1"/>
  <c r="E6" i="76"/>
  <c r="D6" i="76"/>
  <c r="G6" i="76"/>
  <c r="F6" i="76"/>
  <c r="E79" i="24"/>
  <c r="F79" i="24"/>
  <c r="C79" i="24"/>
  <c r="B79" i="24"/>
  <c r="D79" i="24"/>
  <c r="H16" i="108"/>
  <c r="H37" i="108" s="1"/>
  <c r="H38" i="108" s="1"/>
  <c r="H39" i="114" s="1"/>
  <c r="H40" i="114" s="1"/>
  <c r="H42" i="114" s="1"/>
  <c r="D5" i="108"/>
  <c r="D16" i="108" s="1"/>
  <c r="D37" i="108" s="1"/>
  <c r="D38" i="108" s="1"/>
  <c r="B62" i="127"/>
  <c r="K66" i="127"/>
  <c r="C66" i="127"/>
  <c r="G66" i="127" s="1"/>
  <c r="F5" i="108"/>
  <c r="F16" i="108" s="1"/>
  <c r="F37" i="108" s="1"/>
  <c r="F38" i="108" s="1"/>
  <c r="B64" i="127"/>
  <c r="E5" i="108"/>
  <c r="E16" i="108" s="1"/>
  <c r="E37" i="108" s="1"/>
  <c r="E38" i="108" s="1"/>
  <c r="B63" i="127"/>
  <c r="C5" i="108"/>
  <c r="C22" i="108" s="1"/>
  <c r="B61" i="127"/>
  <c r="G5" i="108"/>
  <c r="G22" i="108" s="1"/>
  <c r="B65" i="127"/>
  <c r="C11" i="72"/>
  <c r="C10" i="72" s="1"/>
  <c r="G81" i="73"/>
  <c r="G78" i="73"/>
  <c r="D11" i="72"/>
  <c r="D10" i="72" s="1"/>
  <c r="B11" i="72"/>
  <c r="B10" i="72" s="1"/>
  <c r="F11" i="72"/>
  <c r="F10" i="72" s="1"/>
  <c r="E11" i="72"/>
  <c r="E10" i="72" s="1"/>
  <c r="I70" i="22" l="1"/>
  <c r="I71" i="22" s="1"/>
  <c r="C6" i="76"/>
  <c r="H79" i="24"/>
  <c r="C16" i="108"/>
  <c r="C37" i="108" s="1"/>
  <c r="C38" i="108" s="1"/>
  <c r="D39" i="119" s="1"/>
  <c r="D40" i="119" s="1"/>
  <c r="F22" i="108"/>
  <c r="E22" i="108"/>
  <c r="G16" i="108"/>
  <c r="G37" i="108" s="1"/>
  <c r="G38" i="108" s="1"/>
  <c r="H39" i="119" s="1"/>
  <c r="H40" i="119" s="1"/>
  <c r="H42" i="119" s="1"/>
  <c r="H69" i="108"/>
  <c r="H70" i="108" s="1"/>
  <c r="H71" i="108" s="1"/>
  <c r="H72" i="108" s="1"/>
  <c r="I25" i="119" s="1"/>
  <c r="I26" i="119" s="1"/>
  <c r="I28" i="119" s="1"/>
  <c r="H39" i="109"/>
  <c r="H40" i="109" s="1"/>
  <c r="H42" i="109" s="1"/>
  <c r="L66" i="127"/>
  <c r="D22" i="108"/>
  <c r="I39" i="119"/>
  <c r="I40" i="119" s="1"/>
  <c r="I42" i="119" s="1"/>
  <c r="K65" i="127"/>
  <c r="C65" i="127"/>
  <c r="C63" i="127"/>
  <c r="K63" i="127"/>
  <c r="K61" i="127"/>
  <c r="C61" i="127"/>
  <c r="K64" i="127"/>
  <c r="C64" i="127"/>
  <c r="C62" i="127"/>
  <c r="K62" i="127"/>
  <c r="E39" i="114"/>
  <c r="E40" i="114" s="1"/>
  <c r="E42" i="114" s="1"/>
  <c r="E39" i="109"/>
  <c r="E40" i="109" s="1"/>
  <c r="E42" i="109" s="1"/>
  <c r="F39" i="119"/>
  <c r="F40" i="119" s="1"/>
  <c r="F42" i="119" s="1"/>
  <c r="E69" i="108"/>
  <c r="E70" i="108" s="1"/>
  <c r="F39" i="109"/>
  <c r="F40" i="109" s="1"/>
  <c r="F42" i="109" s="1"/>
  <c r="F69" i="108"/>
  <c r="F70" i="108" s="1"/>
  <c r="F39" i="114"/>
  <c r="F40" i="114" s="1"/>
  <c r="F42" i="114" s="1"/>
  <c r="G39" i="119"/>
  <c r="G40" i="119" s="1"/>
  <c r="G42" i="119" s="1"/>
  <c r="D69" i="108"/>
  <c r="D70" i="108" s="1"/>
  <c r="D39" i="114"/>
  <c r="D40" i="114" s="1"/>
  <c r="D42" i="114" s="1"/>
  <c r="D39" i="109"/>
  <c r="D40" i="109" s="1"/>
  <c r="D42" i="109" s="1"/>
  <c r="E39" i="119"/>
  <c r="E40" i="119" s="1"/>
  <c r="E42" i="119" s="1"/>
  <c r="G54" i="73"/>
  <c r="G57" i="73"/>
  <c r="G42" i="73"/>
  <c r="G45" i="73"/>
  <c r="G69" i="73"/>
  <c r="G66" i="73"/>
  <c r="G18" i="73"/>
  <c r="G21" i="73"/>
  <c r="G33" i="73"/>
  <c r="G30" i="73"/>
  <c r="F71" i="108" l="1"/>
  <c r="F72" i="108" s="1"/>
  <c r="G25" i="119" s="1"/>
  <c r="G26" i="119" s="1"/>
  <c r="G28" i="119" s="1"/>
  <c r="C39" i="114"/>
  <c r="C40" i="114" s="1"/>
  <c r="C42" i="114" s="1"/>
  <c r="C69" i="108"/>
  <c r="C70" i="108" s="1"/>
  <c r="C71" i="108" s="1"/>
  <c r="C72" i="108" s="1"/>
  <c r="C25" i="114" s="1"/>
  <c r="C26" i="114" s="1"/>
  <c r="E71" i="108"/>
  <c r="E72" i="108" s="1"/>
  <c r="E25" i="114" s="1"/>
  <c r="E26" i="114" s="1"/>
  <c r="E28" i="114" s="1"/>
  <c r="C39" i="109"/>
  <c r="C40" i="109" s="1"/>
  <c r="C42" i="109" s="1"/>
  <c r="G69" i="108"/>
  <c r="G70" i="108" s="1"/>
  <c r="G71" i="108" s="1"/>
  <c r="G72" i="108" s="1"/>
  <c r="H25" i="119" s="1"/>
  <c r="H26" i="119" s="1"/>
  <c r="H28" i="119" s="1"/>
  <c r="G39" i="114"/>
  <c r="G40" i="114" s="1"/>
  <c r="G42" i="114" s="1"/>
  <c r="G39" i="109"/>
  <c r="G40" i="109" s="1"/>
  <c r="G42" i="109" s="1"/>
  <c r="D71" i="108"/>
  <c r="D72" i="108" s="1"/>
  <c r="D25" i="109" s="1"/>
  <c r="D26" i="109" s="1"/>
  <c r="D28" i="109" s="1"/>
  <c r="H25" i="109"/>
  <c r="H26" i="109" s="1"/>
  <c r="H28" i="109" s="1"/>
  <c r="H25" i="114"/>
  <c r="H26" i="114" s="1"/>
  <c r="H28" i="114" s="1"/>
  <c r="D42" i="119"/>
  <c r="J42" i="119" s="1"/>
  <c r="J43" i="119" s="1"/>
  <c r="D46" i="119"/>
  <c r="D47" i="119" s="1"/>
  <c r="C25" i="109" l="1"/>
  <c r="C26" i="109" s="1"/>
  <c r="C28" i="109" s="1"/>
  <c r="D25" i="119"/>
  <c r="D26" i="119" s="1"/>
  <c r="D28" i="119" s="1"/>
  <c r="F25" i="109"/>
  <c r="F26" i="109" s="1"/>
  <c r="F28" i="109" s="1"/>
  <c r="F25" i="114"/>
  <c r="F26" i="114" s="1"/>
  <c r="F28" i="114" s="1"/>
  <c r="E25" i="109"/>
  <c r="E26" i="109" s="1"/>
  <c r="E28" i="109" s="1"/>
  <c r="F25" i="119"/>
  <c r="F26" i="119" s="1"/>
  <c r="F28" i="119" s="1"/>
  <c r="C46" i="109"/>
  <c r="C47" i="109" s="1"/>
  <c r="C46" i="114"/>
  <c r="C47" i="114" s="1"/>
  <c r="D47" i="114" s="1"/>
  <c r="I42" i="109"/>
  <c r="I43" i="109" s="1"/>
  <c r="I42" i="114"/>
  <c r="I43" i="114" s="1"/>
  <c r="G25" i="109"/>
  <c r="G26" i="109" s="1"/>
  <c r="G28" i="109" s="1"/>
  <c r="G25" i="114"/>
  <c r="G26" i="114" s="1"/>
  <c r="G28" i="114" s="1"/>
  <c r="D25" i="114"/>
  <c r="D26" i="114" s="1"/>
  <c r="D28" i="114" s="1"/>
  <c r="E25" i="119"/>
  <c r="E26" i="119" s="1"/>
  <c r="E28" i="119" s="1"/>
  <c r="C28" i="114"/>
  <c r="C31" i="109" l="1"/>
  <c r="C32" i="109" s="1"/>
  <c r="I28" i="109"/>
  <c r="I29" i="109" s="1"/>
  <c r="C31" i="114"/>
  <c r="C32" i="114" s="1"/>
  <c r="D32" i="114" s="1"/>
  <c r="D31" i="119"/>
  <c r="D32" i="119" s="1"/>
  <c r="J28" i="119"/>
  <c r="J29" i="119" s="1"/>
  <c r="I28" i="114"/>
  <c r="I29" i="114" s="1"/>
  <c r="E6" i="97" l="1"/>
  <c r="G6" i="97"/>
  <c r="D6" i="97"/>
  <c r="F6" i="97"/>
  <c r="H6" i="97"/>
  <c r="H7" i="97" s="1"/>
  <c r="C6" i="97"/>
  <c r="G7" i="97" l="1"/>
  <c r="G99" i="108"/>
  <c r="G100" i="108" s="1"/>
  <c r="G101" i="108" s="1"/>
  <c r="G104" i="108"/>
  <c r="G105" i="108" s="1"/>
  <c r="G106" i="108" s="1"/>
  <c r="G57" i="97"/>
  <c r="E104" i="108"/>
  <c r="E105" i="108" s="1"/>
  <c r="E106" i="108" s="1"/>
  <c r="E7" i="97"/>
  <c r="E99" i="108"/>
  <c r="E100" i="108" s="1"/>
  <c r="E101" i="108" s="1"/>
  <c r="E57" i="97"/>
  <c r="F57" i="97"/>
  <c r="F99" i="108"/>
  <c r="F100" i="108" s="1"/>
  <c r="F101" i="108" s="1"/>
  <c r="F104" i="108"/>
  <c r="F105" i="108" s="1"/>
  <c r="F106" i="108" s="1"/>
  <c r="F7" i="97"/>
  <c r="C99" i="108"/>
  <c r="C100" i="108" s="1"/>
  <c r="C101" i="108" s="1"/>
  <c r="C57" i="97"/>
  <c r="C7" i="97"/>
  <c r="C104" i="108"/>
  <c r="C105" i="108" s="1"/>
  <c r="C106" i="108" s="1"/>
  <c r="D7" i="97"/>
  <c r="D57" i="97"/>
  <c r="D104" i="108"/>
  <c r="D105" i="108" s="1"/>
  <c r="D106" i="108" s="1"/>
  <c r="D99" i="108"/>
  <c r="D100" i="108" s="1"/>
  <c r="D101" i="108" s="1"/>
  <c r="H57" i="97"/>
  <c r="H99" i="108"/>
  <c r="H100" i="108" s="1"/>
  <c r="H101" i="108" s="1"/>
  <c r="H104" i="108"/>
  <c r="H105" i="108" s="1"/>
  <c r="H106" i="108" s="1"/>
  <c r="D52" i="84" l="1"/>
  <c r="D60" i="84" s="1"/>
  <c r="D52" i="58" s="1"/>
  <c r="G49" i="84"/>
  <c r="H49" i="84"/>
  <c r="H49" i="83"/>
  <c r="F52" i="84"/>
  <c r="F55" i="84" s="1"/>
  <c r="E49" i="83"/>
  <c r="G6" i="93"/>
  <c r="G7" i="93" s="1"/>
  <c r="H6" i="93"/>
  <c r="H7" i="93" s="1"/>
  <c r="F6" i="93"/>
  <c r="F7" i="93" s="1"/>
  <c r="K6" i="93"/>
  <c r="K7" i="93" s="1"/>
  <c r="H32" i="82"/>
  <c r="D32" i="82"/>
  <c r="D52" i="82"/>
  <c r="I6" i="93"/>
  <c r="I7" i="93" s="1"/>
  <c r="J6" i="93"/>
  <c r="J7" i="93" s="1"/>
  <c r="E32" i="82"/>
  <c r="E52" i="82"/>
  <c r="F32" i="82"/>
  <c r="F52" i="82"/>
  <c r="G32" i="82"/>
  <c r="G52" i="82"/>
  <c r="C52" i="82"/>
  <c r="E54" i="83" l="1"/>
  <c r="E51" i="58" s="1"/>
  <c r="E9" i="76"/>
  <c r="E10" i="76" s="1"/>
  <c r="J13" i="93"/>
  <c r="J14" i="93" s="1"/>
  <c r="F9" i="76"/>
  <c r="F10" i="76" s="1"/>
  <c r="E4" i="72"/>
  <c r="H9" i="76"/>
  <c r="H10" i="76" s="1"/>
  <c r="G4" i="72"/>
  <c r="I13" i="93"/>
  <c r="K13" i="93"/>
  <c r="F13" i="93"/>
  <c r="E52" i="84"/>
  <c r="E58" i="83"/>
  <c r="E27" i="24" s="1"/>
  <c r="F49" i="84"/>
  <c r="F58" i="84" s="1"/>
  <c r="D60" i="83"/>
  <c r="D50" i="58" s="1"/>
  <c r="C52" i="84"/>
  <c r="H52" i="84"/>
  <c r="H53" i="84" s="1"/>
  <c r="D49" i="84"/>
  <c r="D58" i="84" s="1"/>
  <c r="F49" i="82"/>
  <c r="F58" i="82" s="1"/>
  <c r="G49" i="82"/>
  <c r="G58" i="82" s="1"/>
  <c r="H49" i="82"/>
  <c r="E49" i="82"/>
  <c r="E58" i="82" s="1"/>
  <c r="D49" i="82"/>
  <c r="D58" i="82" s="1"/>
  <c r="G60" i="82"/>
  <c r="G55" i="82"/>
  <c r="D55" i="82"/>
  <c r="D60" i="82"/>
  <c r="E55" i="82"/>
  <c r="E60" i="82"/>
  <c r="H52" i="82"/>
  <c r="C32" i="82"/>
  <c r="H13" i="93"/>
  <c r="C60" i="82"/>
  <c r="C55" i="82"/>
  <c r="F55" i="82"/>
  <c r="F60" i="82"/>
  <c r="G13" i="93"/>
  <c r="F49" i="83"/>
  <c r="E49" i="84"/>
  <c r="F60" i="84"/>
  <c r="F52" i="58" s="1"/>
  <c r="D49" i="83"/>
  <c r="G52" i="84"/>
  <c r="C49" i="83"/>
  <c r="E60" i="83"/>
  <c r="E50" i="58" s="1"/>
  <c r="E55" i="83"/>
  <c r="E59" i="83"/>
  <c r="D55" i="84"/>
  <c r="E53" i="83"/>
  <c r="E154" i="58" l="1"/>
  <c r="C60" i="84"/>
  <c r="I52" i="84"/>
  <c r="D70" i="58"/>
  <c r="C88" i="24" s="1"/>
  <c r="D128" i="58"/>
  <c r="E78" i="102"/>
  <c r="H59" i="84"/>
  <c r="E58" i="84"/>
  <c r="E28" i="24" s="1"/>
  <c r="E54" i="24" s="1"/>
  <c r="D53" i="83"/>
  <c r="D55" i="83"/>
  <c r="E60" i="84"/>
  <c r="E52" i="58" s="1"/>
  <c r="H55" i="84"/>
  <c r="E55" i="84"/>
  <c r="E53" i="84"/>
  <c r="E8" i="118"/>
  <c r="E19" i="118" s="1"/>
  <c r="G9" i="76"/>
  <c r="G10" i="76" s="1"/>
  <c r="D9" i="76"/>
  <c r="D10" i="76" s="1"/>
  <c r="H29" i="22"/>
  <c r="H40" i="22" s="1"/>
  <c r="G8" i="97"/>
  <c r="G10" i="97" s="1"/>
  <c r="G11" i="97" s="1"/>
  <c r="G27" i="108" s="1"/>
  <c r="E59" i="82"/>
  <c r="E53" i="82"/>
  <c r="F53" i="82"/>
  <c r="E54" i="82"/>
  <c r="F54" i="82"/>
  <c r="F59" i="82"/>
  <c r="F80" i="102"/>
  <c r="C49" i="84"/>
  <c r="I49" i="84" s="1"/>
  <c r="D58" i="83"/>
  <c r="H5" i="24"/>
  <c r="J3" i="73"/>
  <c r="J4" i="73" s="1"/>
  <c r="J5" i="73" s="1"/>
  <c r="J6" i="73" s="1"/>
  <c r="H8" i="118"/>
  <c r="H19" i="118" s="1"/>
  <c r="H3" i="73"/>
  <c r="H4" i="73" s="1"/>
  <c r="H5" i="73" s="1"/>
  <c r="H6" i="73" s="1"/>
  <c r="F8" i="118"/>
  <c r="F18" i="118" s="1"/>
  <c r="F5" i="24"/>
  <c r="C39" i="127" s="1"/>
  <c r="F53" i="84"/>
  <c r="D54" i="84"/>
  <c r="D53" i="58" s="1"/>
  <c r="D155" i="58" s="1"/>
  <c r="D53" i="84"/>
  <c r="F54" i="84"/>
  <c r="F53" i="58" s="1"/>
  <c r="F155" i="58" s="1"/>
  <c r="D80" i="102"/>
  <c r="D59" i="83"/>
  <c r="E78" i="115"/>
  <c r="D54" i="83"/>
  <c r="D51" i="58" s="1"/>
  <c r="D154" i="58" s="1"/>
  <c r="D54" i="82"/>
  <c r="G59" i="82"/>
  <c r="G53" i="82"/>
  <c r="D59" i="82"/>
  <c r="G54" i="82"/>
  <c r="D53" i="82"/>
  <c r="D59" i="84"/>
  <c r="H54" i="84"/>
  <c r="H53" i="58" s="1"/>
  <c r="H60" i="84"/>
  <c r="H52" i="58" s="1"/>
  <c r="H58" i="84"/>
  <c r="K14" i="93"/>
  <c r="H8" i="97"/>
  <c r="C55" i="84"/>
  <c r="I14" i="93"/>
  <c r="F8" i="97"/>
  <c r="E59" i="84"/>
  <c r="F59" i="84"/>
  <c r="E54" i="84"/>
  <c r="E53" i="58" s="1"/>
  <c r="F14" i="93"/>
  <c r="C8" i="97"/>
  <c r="F28" i="24"/>
  <c r="E79" i="115"/>
  <c r="E79" i="102"/>
  <c r="G5" i="24"/>
  <c r="C40" i="127" s="1"/>
  <c r="G8" i="118"/>
  <c r="F4" i="72"/>
  <c r="G29" i="22"/>
  <c r="G40" i="22" s="1"/>
  <c r="I3" i="73"/>
  <c r="I4" i="73" s="1"/>
  <c r="D76" i="115"/>
  <c r="D76" i="102"/>
  <c r="E76" i="115"/>
  <c r="E76" i="102"/>
  <c r="H59" i="83"/>
  <c r="H55" i="83"/>
  <c r="H53" i="83"/>
  <c r="H60" i="83"/>
  <c r="H50" i="58" s="1"/>
  <c r="H54" i="83"/>
  <c r="H51" i="58" s="1"/>
  <c r="H58" i="83"/>
  <c r="E44" i="97"/>
  <c r="H14" i="93"/>
  <c r="E8" i="97"/>
  <c r="H53" i="82"/>
  <c r="H59" i="82"/>
  <c r="H60" i="82"/>
  <c r="H55" i="82"/>
  <c r="H54" i="82"/>
  <c r="H58" i="82"/>
  <c r="C9" i="76"/>
  <c r="C10" i="76" s="1"/>
  <c r="G76" i="115"/>
  <c r="G76" i="102"/>
  <c r="F54" i="83"/>
  <c r="F51" i="58" s="1"/>
  <c r="F55" i="83"/>
  <c r="F58" i="83"/>
  <c r="F60" i="83"/>
  <c r="F50" i="58" s="1"/>
  <c r="F53" i="83"/>
  <c r="F59" i="83"/>
  <c r="C60" i="83"/>
  <c r="C55" i="83"/>
  <c r="C54" i="83"/>
  <c r="C58" i="83"/>
  <c r="C59" i="83"/>
  <c r="C53" i="83"/>
  <c r="G55" i="83"/>
  <c r="G60" i="83"/>
  <c r="G50" i="58" s="1"/>
  <c r="G14" i="93"/>
  <c r="D8" i="97"/>
  <c r="C49" i="82"/>
  <c r="C54" i="82" s="1"/>
  <c r="C4" i="72"/>
  <c r="D5" i="24"/>
  <c r="C37" i="127" s="1"/>
  <c r="D8" i="118"/>
  <c r="D29" i="22"/>
  <c r="D40" i="22" s="1"/>
  <c r="F3" i="73"/>
  <c r="F4" i="73" s="1"/>
  <c r="F76" i="115"/>
  <c r="F76" i="102"/>
  <c r="D28" i="24"/>
  <c r="G60" i="84"/>
  <c r="G52" i="58" s="1"/>
  <c r="G59" i="84"/>
  <c r="G55" i="84"/>
  <c r="G58" i="84"/>
  <c r="G54" i="84"/>
  <c r="G53" i="58" s="1"/>
  <c r="G53" i="84"/>
  <c r="D78" i="102"/>
  <c r="D78" i="115"/>
  <c r="G49" i="83"/>
  <c r="G58" i="83" s="1"/>
  <c r="H76" i="115"/>
  <c r="H76" i="102"/>
  <c r="G39" i="22" l="1"/>
  <c r="H9" i="117"/>
  <c r="H39" i="22"/>
  <c r="H8" i="117" s="1"/>
  <c r="D39" i="22"/>
  <c r="F8" i="23"/>
  <c r="F9" i="117"/>
  <c r="C50" i="58"/>
  <c r="I60" i="83"/>
  <c r="I55" i="84"/>
  <c r="K56" i="83"/>
  <c r="K58" i="83" s="1"/>
  <c r="I58" i="83"/>
  <c r="I49" i="83"/>
  <c r="C51" i="58"/>
  <c r="I55" i="83"/>
  <c r="C52" i="58"/>
  <c r="I60" i="84"/>
  <c r="D27" i="24"/>
  <c r="D44" i="97" s="1"/>
  <c r="G64" i="83"/>
  <c r="J61" i="83"/>
  <c r="J62" i="83" s="1"/>
  <c r="E58" i="24"/>
  <c r="H154" i="58"/>
  <c r="G155" i="58"/>
  <c r="F154" i="58"/>
  <c r="H155" i="58"/>
  <c r="E155" i="58"/>
  <c r="G128" i="58"/>
  <c r="H128" i="58"/>
  <c r="F121" i="58"/>
  <c r="D121" i="58"/>
  <c r="D136" i="58" s="1"/>
  <c r="H80" i="102"/>
  <c r="H121" i="58"/>
  <c r="E70" i="58"/>
  <c r="D88" i="24" s="1"/>
  <c r="E121" i="58"/>
  <c r="E128" i="58"/>
  <c r="G80" i="102"/>
  <c r="F78" i="102"/>
  <c r="F98" i="102" s="1"/>
  <c r="F128" i="58"/>
  <c r="E80" i="102"/>
  <c r="E98" i="102" s="1"/>
  <c r="H80" i="115"/>
  <c r="H70" i="58"/>
  <c r="E80" i="115"/>
  <c r="E98" i="115" s="1"/>
  <c r="G70" i="58"/>
  <c r="F88" i="24" s="1"/>
  <c r="F78" i="115"/>
  <c r="H78" i="115"/>
  <c r="H78" i="102"/>
  <c r="G80" i="115"/>
  <c r="F70" i="58"/>
  <c r="D81" i="102"/>
  <c r="E18" i="118"/>
  <c r="D4" i="72"/>
  <c r="G3" i="73"/>
  <c r="G4" i="73" s="1"/>
  <c r="G5" i="73" s="1"/>
  <c r="G6" i="73" s="1"/>
  <c r="G8" i="73" s="1"/>
  <c r="E29" i="22"/>
  <c r="E40" i="22" s="1"/>
  <c r="E5" i="24"/>
  <c r="C38" i="127" s="1"/>
  <c r="D63" i="127" s="1"/>
  <c r="E63" i="127" s="1"/>
  <c r="F63" i="127" s="1"/>
  <c r="C58" i="84"/>
  <c r="C54" i="84"/>
  <c r="C59" i="84"/>
  <c r="I59" i="84" s="1"/>
  <c r="C53" i="84"/>
  <c r="I53" i="84" s="1"/>
  <c r="C58" i="82"/>
  <c r="C53" i="82"/>
  <c r="C59" i="82"/>
  <c r="C77" i="115"/>
  <c r="F80" i="115"/>
  <c r="D65" i="127"/>
  <c r="D53" i="127"/>
  <c r="E53" i="127" s="1"/>
  <c r="F53" i="127" s="1"/>
  <c r="D40" i="127"/>
  <c r="E40" i="127" s="1"/>
  <c r="H40" i="127" s="1"/>
  <c r="I40" i="127" s="1"/>
  <c r="D52" i="127"/>
  <c r="E52" i="127" s="1"/>
  <c r="F52" i="127" s="1"/>
  <c r="D39" i="127"/>
  <c r="E39" i="127" s="1"/>
  <c r="H39" i="127" s="1"/>
  <c r="I39" i="127" s="1"/>
  <c r="D64" i="127"/>
  <c r="E64" i="127" s="1"/>
  <c r="F64" i="127" s="1"/>
  <c r="D37" i="127"/>
  <c r="E37" i="127" s="1"/>
  <c r="H37" i="127" s="1"/>
  <c r="I37" i="127" s="1"/>
  <c r="D62" i="127"/>
  <c r="D50" i="127"/>
  <c r="E50" i="127" s="1"/>
  <c r="F50" i="127" s="1"/>
  <c r="F19" i="118"/>
  <c r="D80" i="115"/>
  <c r="D98" i="115" s="1"/>
  <c r="H18" i="118"/>
  <c r="D81" i="115"/>
  <c r="C10" i="97"/>
  <c r="C11" i="97" s="1"/>
  <c r="C27" i="108" s="1"/>
  <c r="G107" i="108"/>
  <c r="G102" i="108"/>
  <c r="G53" i="83"/>
  <c r="I53" i="83" s="1"/>
  <c r="G59" i="83"/>
  <c r="I59" i="83" s="1"/>
  <c r="H28" i="24"/>
  <c r="G54" i="83"/>
  <c r="G51" i="58" s="1"/>
  <c r="G121" i="58" s="1"/>
  <c r="F10" i="97"/>
  <c r="F11" i="97" s="1"/>
  <c r="F27" i="108" s="1"/>
  <c r="H10" i="97"/>
  <c r="H11" i="97" s="1"/>
  <c r="H27" i="108" s="1"/>
  <c r="G27" i="24"/>
  <c r="E45" i="97"/>
  <c r="F77" i="115"/>
  <c r="F77" i="102"/>
  <c r="J8" i="73"/>
  <c r="H78" i="73"/>
  <c r="F78" i="73"/>
  <c r="E43" i="97"/>
  <c r="H27" i="24"/>
  <c r="G19" i="118"/>
  <c r="G18" i="118"/>
  <c r="D10" i="97"/>
  <c r="D11" i="97" s="1"/>
  <c r="D27" i="108" s="1"/>
  <c r="F5" i="73"/>
  <c r="F6" i="73" s="1"/>
  <c r="D79" i="115"/>
  <c r="D79" i="102"/>
  <c r="F43" i="97"/>
  <c r="G28" i="24"/>
  <c r="I28" i="24" s="1"/>
  <c r="E10" i="97"/>
  <c r="E11" i="97" s="1"/>
  <c r="E27" i="108" s="1"/>
  <c r="D98" i="102"/>
  <c r="I5" i="73"/>
  <c r="I6" i="73" s="1"/>
  <c r="F45" i="97"/>
  <c r="G77" i="115"/>
  <c r="G77" i="102"/>
  <c r="G78" i="115"/>
  <c r="G78" i="102"/>
  <c r="C76" i="115"/>
  <c r="C76" i="102"/>
  <c r="H8" i="73"/>
  <c r="F54" i="73"/>
  <c r="H54" i="73"/>
  <c r="D45" i="97"/>
  <c r="G43" i="97"/>
  <c r="E77" i="102"/>
  <c r="E77" i="115"/>
  <c r="D18" i="118"/>
  <c r="D19" i="118"/>
  <c r="C27" i="24"/>
  <c r="F27" i="24"/>
  <c r="D43" i="97"/>
  <c r="D77" i="102"/>
  <c r="D77" i="115"/>
  <c r="I121" i="58" l="1"/>
  <c r="I70" i="58"/>
  <c r="F78" i="58" s="1"/>
  <c r="F54" i="24"/>
  <c r="I27" i="24"/>
  <c r="M128" i="58"/>
  <c r="M135" i="58" s="1"/>
  <c r="F126" i="58"/>
  <c r="F141" i="58" s="1"/>
  <c r="M121" i="58"/>
  <c r="E88" i="24"/>
  <c r="E39" i="22"/>
  <c r="E8" i="117" s="1"/>
  <c r="E9" i="117"/>
  <c r="C78" i="115"/>
  <c r="C128" i="58"/>
  <c r="C154" i="58"/>
  <c r="C78" i="102"/>
  <c r="C70" i="58"/>
  <c r="E77" i="58" s="1"/>
  <c r="H9" i="23"/>
  <c r="D77" i="24"/>
  <c r="D81" i="24" s="1"/>
  <c r="E70" i="24"/>
  <c r="D54" i="24"/>
  <c r="D3" i="76" s="1"/>
  <c r="C53" i="58"/>
  <c r="I54" i="84"/>
  <c r="C80" i="102"/>
  <c r="C98" i="102" s="1"/>
  <c r="C80" i="115"/>
  <c r="K58" i="84"/>
  <c r="K59" i="84" s="1"/>
  <c r="M55" i="84" s="1"/>
  <c r="I58" i="84"/>
  <c r="I54" i="83"/>
  <c r="G98" i="115"/>
  <c r="G119" i="111" s="1"/>
  <c r="G121" i="111" s="1"/>
  <c r="G122" i="111" s="1"/>
  <c r="G98" i="102"/>
  <c r="G195" i="113" s="1"/>
  <c r="G197" i="113" s="1"/>
  <c r="G199" i="113" s="1"/>
  <c r="G154" i="58"/>
  <c r="H98" i="115"/>
  <c r="H123" i="115" s="1"/>
  <c r="Q11" i="58"/>
  <c r="E56" i="22" s="1"/>
  <c r="E55" i="22" s="1"/>
  <c r="H98" i="102"/>
  <c r="H195" i="113" s="1"/>
  <c r="H197" i="113" s="1"/>
  <c r="H199" i="113" s="1"/>
  <c r="Q10" i="58"/>
  <c r="E50" i="22" s="1"/>
  <c r="E49" i="22" s="1"/>
  <c r="Q12" i="58"/>
  <c r="E41" i="118" s="1"/>
  <c r="D126" i="58"/>
  <c r="D141" i="58" s="1"/>
  <c r="G136" i="58"/>
  <c r="G126" i="58"/>
  <c r="G141" i="58" s="1"/>
  <c r="H136" i="58"/>
  <c r="H126" i="58"/>
  <c r="AI12" i="58"/>
  <c r="H41" i="118" s="1"/>
  <c r="G88" i="24"/>
  <c r="E126" i="58"/>
  <c r="E141" i="58" s="1"/>
  <c r="E136" i="58"/>
  <c r="F136" i="58"/>
  <c r="F98" i="115"/>
  <c r="F119" i="111" s="1"/>
  <c r="F121" i="111" s="1"/>
  <c r="F122" i="111" s="1"/>
  <c r="AI10" i="58"/>
  <c r="H29" i="118" s="1"/>
  <c r="AI11" i="58"/>
  <c r="H35" i="118" s="1"/>
  <c r="AC10" i="58"/>
  <c r="G50" i="22" s="1"/>
  <c r="G49" i="22" s="1"/>
  <c r="AC12" i="58"/>
  <c r="G62" i="22" s="1"/>
  <c r="G61" i="22" s="1"/>
  <c r="F8" i="117"/>
  <c r="W11" i="58"/>
  <c r="F35" i="118" s="1"/>
  <c r="F81" i="102"/>
  <c r="C28" i="24"/>
  <c r="AC11" i="58"/>
  <c r="G56" i="22" s="1"/>
  <c r="G55" i="22" s="1"/>
  <c r="B38" i="127"/>
  <c r="H42" i="73"/>
  <c r="E32" i="23" s="1"/>
  <c r="F42" i="73"/>
  <c r="E31" i="117" s="1"/>
  <c r="D38" i="127"/>
  <c r="E38" i="127" s="1"/>
  <c r="H38" i="127" s="1"/>
  <c r="I38" i="127" s="1"/>
  <c r="D51" i="127"/>
  <c r="E51" i="127" s="1"/>
  <c r="F51" i="127" s="1"/>
  <c r="C77" i="102"/>
  <c r="H8" i="23"/>
  <c r="G63" i="127"/>
  <c r="I63" i="127"/>
  <c r="J63" i="127" s="1"/>
  <c r="I53" i="127"/>
  <c r="J53" i="127" s="1"/>
  <c r="G53" i="127"/>
  <c r="E62" i="127"/>
  <c r="F62" i="127" s="1"/>
  <c r="G52" i="127"/>
  <c r="I52" i="127"/>
  <c r="J52" i="127" s="1"/>
  <c r="F58" i="24"/>
  <c r="F81" i="115"/>
  <c r="E65" i="127"/>
  <c r="F65" i="127" s="1"/>
  <c r="G50" i="127"/>
  <c r="I50" i="127"/>
  <c r="J50" i="127" s="1"/>
  <c r="G64" i="127"/>
  <c r="I64" i="127"/>
  <c r="J64" i="127" s="1"/>
  <c r="W10" i="58"/>
  <c r="F50" i="22" s="1"/>
  <c r="F49" i="22" s="1"/>
  <c r="F51" i="22" s="1"/>
  <c r="W12" i="58"/>
  <c r="F62" i="22" s="1"/>
  <c r="F61" i="22" s="1"/>
  <c r="F9" i="23"/>
  <c r="E81" i="115"/>
  <c r="E129" i="115" s="1"/>
  <c r="E81" i="102"/>
  <c r="E103" i="102" s="1"/>
  <c r="E105" i="102" s="1"/>
  <c r="H10" i="58"/>
  <c r="D29" i="118" s="1"/>
  <c r="D103" i="115"/>
  <c r="D105" i="115" s="1"/>
  <c r="D129" i="115"/>
  <c r="D103" i="102"/>
  <c r="D105" i="102" s="1"/>
  <c r="D56" i="97"/>
  <c r="D58" i="97" s="1"/>
  <c r="D66" i="97" s="1"/>
  <c r="E56" i="97"/>
  <c r="E58" i="97" s="1"/>
  <c r="E61" i="97" s="1"/>
  <c r="H11" i="58"/>
  <c r="D56" i="22" s="1"/>
  <c r="D55" i="22" s="1"/>
  <c r="H12" i="58"/>
  <c r="D62" i="22" s="1"/>
  <c r="D61" i="22" s="1"/>
  <c r="F107" i="108"/>
  <c r="F102" i="108"/>
  <c r="H45" i="97"/>
  <c r="G11" i="109"/>
  <c r="G11" i="114"/>
  <c r="H11" i="119"/>
  <c r="H12" i="119"/>
  <c r="G12" i="109"/>
  <c r="G12" i="114"/>
  <c r="H107" i="108"/>
  <c r="H102" i="108"/>
  <c r="C107" i="108"/>
  <c r="C102" i="108"/>
  <c r="D129" i="102"/>
  <c r="H81" i="115"/>
  <c r="H81" i="102"/>
  <c r="I8" i="73"/>
  <c r="H66" i="73"/>
  <c r="F66" i="73"/>
  <c r="E102" i="108"/>
  <c r="E107" i="108"/>
  <c r="F8" i="73"/>
  <c r="F30" i="73"/>
  <c r="H30" i="73"/>
  <c r="D102" i="108"/>
  <c r="D107" i="108"/>
  <c r="G9" i="73"/>
  <c r="G10" i="73" s="1"/>
  <c r="G45" i="97"/>
  <c r="F79" i="102"/>
  <c r="F79" i="115"/>
  <c r="C79" i="115"/>
  <c r="C79" i="102"/>
  <c r="E119" i="111"/>
  <c r="E121" i="111" s="1"/>
  <c r="E122" i="111" s="1"/>
  <c r="E123" i="115"/>
  <c r="H77" i="115"/>
  <c r="H77" i="102"/>
  <c r="D123" i="102"/>
  <c r="D111" i="98"/>
  <c r="D112" i="98" s="1"/>
  <c r="D195" i="113"/>
  <c r="D197" i="113" s="1"/>
  <c r="D199" i="113" s="1"/>
  <c r="E3" i="76"/>
  <c r="D8" i="72"/>
  <c r="C39" i="73" s="1"/>
  <c r="E63" i="24"/>
  <c r="H31" i="117"/>
  <c r="H31" i="23"/>
  <c r="E79" i="73"/>
  <c r="E82" i="73" s="1"/>
  <c r="E111" i="98"/>
  <c r="E112" i="98" s="1"/>
  <c r="E123" i="102"/>
  <c r="E195" i="113"/>
  <c r="E197" i="113" s="1"/>
  <c r="E199" i="113" s="1"/>
  <c r="G9" i="23"/>
  <c r="G9" i="117"/>
  <c r="F111" i="98"/>
  <c r="F112" i="98" s="1"/>
  <c r="F195" i="113"/>
  <c r="F197" i="113" s="1"/>
  <c r="F199" i="113" s="1"/>
  <c r="F123" i="102"/>
  <c r="G54" i="24"/>
  <c r="F44" i="97"/>
  <c r="F56" i="97" s="1"/>
  <c r="F58" i="97" s="1"/>
  <c r="H44" i="97"/>
  <c r="C36" i="127"/>
  <c r="C8" i="118"/>
  <c r="B4" i="72"/>
  <c r="C29" i="22"/>
  <c r="E3" i="73"/>
  <c r="E4" i="73" s="1"/>
  <c r="H32" i="117"/>
  <c r="H32" i="23"/>
  <c r="G79" i="73"/>
  <c r="G82" i="73" s="1"/>
  <c r="H43" i="97"/>
  <c r="G44" i="97"/>
  <c r="C44" i="97"/>
  <c r="F31" i="23"/>
  <c r="F31" i="117"/>
  <c r="E55" i="73"/>
  <c r="E58" i="73" s="1"/>
  <c r="G79" i="115"/>
  <c r="G79" i="102"/>
  <c r="D8" i="117"/>
  <c r="D8" i="23"/>
  <c r="C43" i="97"/>
  <c r="G8" i="23"/>
  <c r="G8" i="117"/>
  <c r="H9" i="73"/>
  <c r="H10" i="73" s="1"/>
  <c r="D119" i="111"/>
  <c r="D121" i="111" s="1"/>
  <c r="D122" i="111" s="1"/>
  <c r="D123" i="115"/>
  <c r="F32" i="117"/>
  <c r="F32" i="23"/>
  <c r="G55" i="73"/>
  <c r="G58" i="73" s="1"/>
  <c r="H79" i="102"/>
  <c r="H79" i="115"/>
  <c r="D9" i="23"/>
  <c r="D9" i="117"/>
  <c r="G81" i="102"/>
  <c r="G81" i="115"/>
  <c r="J9" i="73"/>
  <c r="J10" i="73" s="1"/>
  <c r="H141" i="58" l="1"/>
  <c r="I126" i="58"/>
  <c r="C40" i="22"/>
  <c r="C39" i="22"/>
  <c r="M126" i="58"/>
  <c r="C98" i="115"/>
  <c r="C119" i="111" s="1"/>
  <c r="C121" i="111" s="1"/>
  <c r="C122" i="111" s="1"/>
  <c r="I128" i="58"/>
  <c r="N128" i="58"/>
  <c r="N135" i="58" s="1"/>
  <c r="B88" i="24"/>
  <c r="H88" i="24" s="1"/>
  <c r="I133" i="58"/>
  <c r="I154" i="58"/>
  <c r="C155" i="58"/>
  <c r="I155" i="58" s="1"/>
  <c r="C81" i="102"/>
  <c r="C99" i="102" s="1"/>
  <c r="E77" i="24"/>
  <c r="E81" i="24" s="1"/>
  <c r="F70" i="24"/>
  <c r="C121" i="58"/>
  <c r="C81" i="115"/>
  <c r="C99" i="115" s="1"/>
  <c r="G123" i="102"/>
  <c r="G125" i="102" s="1"/>
  <c r="G126" i="102" s="1"/>
  <c r="G111" i="98"/>
  <c r="G112" i="98" s="1"/>
  <c r="B12" i="58"/>
  <c r="C41" i="118" s="1"/>
  <c r="B11" i="58"/>
  <c r="AN11" i="58" s="1"/>
  <c r="B10" i="58"/>
  <c r="C50" i="22" s="1"/>
  <c r="C49" i="22" s="1"/>
  <c r="C8" i="72"/>
  <c r="C27" i="73" s="1"/>
  <c r="D30" i="73" s="1"/>
  <c r="C34" i="73" s="1"/>
  <c r="D58" i="24"/>
  <c r="D63" i="24"/>
  <c r="D7" i="117" s="1"/>
  <c r="D10" i="117" s="1"/>
  <c r="G123" i="115"/>
  <c r="G125" i="115" s="1"/>
  <c r="G126" i="115" s="1"/>
  <c r="H119" i="111"/>
  <c r="H121" i="111" s="1"/>
  <c r="H122" i="111" s="1"/>
  <c r="G58" i="24"/>
  <c r="E62" i="22"/>
  <c r="E61" i="22" s="1"/>
  <c r="E63" i="22" s="1"/>
  <c r="E54" i="23" s="1"/>
  <c r="E35" i="118"/>
  <c r="E34" i="118" s="1"/>
  <c r="E36" i="118" s="1"/>
  <c r="E53" i="117" s="1"/>
  <c r="E29" i="118"/>
  <c r="E51" i="118" s="1"/>
  <c r="E50" i="118" s="1"/>
  <c r="E52" i="118" s="1"/>
  <c r="H123" i="102"/>
  <c r="H125" i="102" s="1"/>
  <c r="H126" i="102" s="1"/>
  <c r="H111" i="98"/>
  <c r="H112" i="98" s="1"/>
  <c r="H50" i="22"/>
  <c r="H49" i="22" s="1"/>
  <c r="F123" i="115"/>
  <c r="F125" i="115" s="1"/>
  <c r="F126" i="115" s="1"/>
  <c r="H62" i="22"/>
  <c r="H56" i="22"/>
  <c r="G29" i="118"/>
  <c r="G28" i="118" s="1"/>
  <c r="G41" i="118"/>
  <c r="G63" i="118" s="1"/>
  <c r="G62" i="118" s="1"/>
  <c r="G64" i="118" s="1"/>
  <c r="F129" i="102"/>
  <c r="F184" i="113" s="1"/>
  <c r="F56" i="22"/>
  <c r="F55" i="22" s="1"/>
  <c r="E9" i="23"/>
  <c r="C45" i="97"/>
  <c r="E31" i="23"/>
  <c r="G35" i="118"/>
  <c r="G34" i="118" s="1"/>
  <c r="G36" i="118" s="1"/>
  <c r="G53" i="117" s="1"/>
  <c r="E43" i="73"/>
  <c r="E46" i="73" s="1"/>
  <c r="F46" i="73" s="1"/>
  <c r="B39" i="127"/>
  <c r="F39" i="127" s="1"/>
  <c r="B76" i="127" s="1"/>
  <c r="G43" i="73"/>
  <c r="G46" i="73" s="1"/>
  <c r="F99" i="73" s="1"/>
  <c r="E32" i="117"/>
  <c r="F38" i="127"/>
  <c r="J38" i="127" s="1"/>
  <c r="E8" i="23"/>
  <c r="F41" i="118"/>
  <c r="F63" i="118" s="1"/>
  <c r="F62" i="118" s="1"/>
  <c r="F64" i="118" s="1"/>
  <c r="E8" i="72"/>
  <c r="C51" i="73" s="1"/>
  <c r="D54" i="73" s="1"/>
  <c r="C58" i="73" s="1"/>
  <c r="F3" i="76"/>
  <c r="F63" i="24"/>
  <c r="F7" i="117" s="1"/>
  <c r="F10" i="117" s="1"/>
  <c r="L63" i="127"/>
  <c r="L50" i="127"/>
  <c r="F29" i="118"/>
  <c r="F28" i="118" s="1"/>
  <c r="G51" i="127"/>
  <c r="I51" i="127"/>
  <c r="J51" i="127" s="1"/>
  <c r="I65" i="127"/>
  <c r="J65" i="127" s="1"/>
  <c r="G65" i="127"/>
  <c r="D61" i="127"/>
  <c r="C42" i="127"/>
  <c r="D49" i="127"/>
  <c r="E49" i="127" s="1"/>
  <c r="F49" i="127" s="1"/>
  <c r="D36" i="127"/>
  <c r="E36" i="127" s="1"/>
  <c r="L64" i="127"/>
  <c r="L53" i="127"/>
  <c r="G62" i="127"/>
  <c r="I62" i="127"/>
  <c r="J62" i="127" s="1"/>
  <c r="G56" i="97"/>
  <c r="G58" i="97" s="1"/>
  <c r="G61" i="97" s="1"/>
  <c r="L52" i="127"/>
  <c r="E103" i="115"/>
  <c r="E105" i="115" s="1"/>
  <c r="D57" i="22"/>
  <c r="D49" i="23" s="1"/>
  <c r="D63" i="22"/>
  <c r="D54" i="23" s="1"/>
  <c r="G57" i="22"/>
  <c r="G49" i="23" s="1"/>
  <c r="D41" i="118"/>
  <c r="D63" i="118" s="1"/>
  <c r="D62" i="118" s="1"/>
  <c r="D64" i="118" s="1"/>
  <c r="E57" i="22"/>
  <c r="E49" i="23" s="1"/>
  <c r="G63" i="22"/>
  <c r="G54" i="23" s="1"/>
  <c r="F63" i="22"/>
  <c r="F54" i="23" s="1"/>
  <c r="E129" i="102"/>
  <c r="E184" i="113" s="1"/>
  <c r="C56" i="97"/>
  <c r="C58" i="97" s="1"/>
  <c r="C66" i="97" s="1"/>
  <c r="D61" i="97"/>
  <c r="E66" i="97"/>
  <c r="E10" i="114" s="1"/>
  <c r="D50" i="22"/>
  <c r="D49" i="22" s="1"/>
  <c r="D35" i="118"/>
  <c r="D57" i="118" s="1"/>
  <c r="D56" i="118" s="1"/>
  <c r="D58" i="118" s="1"/>
  <c r="F103" i="102"/>
  <c r="F105" i="102" s="1"/>
  <c r="H56" i="97"/>
  <c r="H58" i="97" s="1"/>
  <c r="H61" i="97" s="1"/>
  <c r="D184" i="113"/>
  <c r="I11" i="119"/>
  <c r="H11" i="114"/>
  <c r="H11" i="109"/>
  <c r="I12" i="119"/>
  <c r="H12" i="114"/>
  <c r="H12" i="109"/>
  <c r="D11" i="119"/>
  <c r="C11" i="114"/>
  <c r="C11" i="109"/>
  <c r="F11" i="114"/>
  <c r="F11" i="109"/>
  <c r="G11" i="119"/>
  <c r="G103" i="115"/>
  <c r="G105" i="115" s="1"/>
  <c r="C12" i="109"/>
  <c r="D12" i="119"/>
  <c r="C12" i="114"/>
  <c r="G12" i="119"/>
  <c r="F12" i="114"/>
  <c r="F12" i="109"/>
  <c r="E14" i="118"/>
  <c r="E8" i="24"/>
  <c r="E35" i="22"/>
  <c r="H14" i="118"/>
  <c r="H35" i="22"/>
  <c r="H8" i="24"/>
  <c r="H44" i="118"/>
  <c r="H51" i="118"/>
  <c r="H50" i="118" s="1"/>
  <c r="H52" i="118" s="1"/>
  <c r="H28" i="118"/>
  <c r="H58" i="73"/>
  <c r="G99" i="73"/>
  <c r="F8" i="24"/>
  <c r="F14" i="118"/>
  <c r="F35" i="22"/>
  <c r="F61" i="97"/>
  <c r="F66" i="97"/>
  <c r="G129" i="102"/>
  <c r="G103" i="102"/>
  <c r="G105" i="102" s="1"/>
  <c r="G98" i="73"/>
  <c r="F58" i="73"/>
  <c r="G65" i="22"/>
  <c r="D125" i="102"/>
  <c r="D126" i="102" s="1"/>
  <c r="D12" i="109"/>
  <c r="D12" i="114"/>
  <c r="E12" i="119"/>
  <c r="F9" i="73"/>
  <c r="F10" i="73" s="1"/>
  <c r="G32" i="23"/>
  <c r="G32" i="117"/>
  <c r="G67" i="73"/>
  <c r="G70" i="73" s="1"/>
  <c r="I98" i="102"/>
  <c r="C109" i="102" s="1"/>
  <c r="C195" i="113"/>
  <c r="C197" i="113" s="1"/>
  <c r="C199" i="113" s="1"/>
  <c r="C111" i="98"/>
  <c r="C112" i="98" s="1"/>
  <c r="C123" i="102"/>
  <c r="H57" i="118"/>
  <c r="H56" i="118" s="1"/>
  <c r="H58" i="118" s="1"/>
  <c r="H34" i="118"/>
  <c r="H36" i="118" s="1"/>
  <c r="H53" i="117" s="1"/>
  <c r="F57" i="118"/>
  <c r="F56" i="118" s="1"/>
  <c r="F58" i="118" s="1"/>
  <c r="F34" i="118"/>
  <c r="F36" i="118" s="1"/>
  <c r="F53" i="117" s="1"/>
  <c r="H82" i="73"/>
  <c r="I99" i="73"/>
  <c r="H125" i="115"/>
  <c r="H126" i="115" s="1"/>
  <c r="E10" i="119"/>
  <c r="D10" i="114"/>
  <c r="D10" i="109"/>
  <c r="E125" i="115"/>
  <c r="E126" i="115" s="1"/>
  <c r="F103" i="115"/>
  <c r="F105" i="115" s="1"/>
  <c r="F129" i="115"/>
  <c r="D31" i="23"/>
  <c r="D31" i="117"/>
  <c r="E31" i="73"/>
  <c r="E34" i="73" s="1"/>
  <c r="G31" i="117"/>
  <c r="G31" i="23"/>
  <c r="E67" i="73"/>
  <c r="E70" i="73" s="1"/>
  <c r="E63" i="118"/>
  <c r="E62" i="118" s="1"/>
  <c r="E64" i="118" s="1"/>
  <c r="E40" i="118"/>
  <c r="E42" i="118" s="1"/>
  <c r="E59" i="117" s="1"/>
  <c r="C19" i="118"/>
  <c r="C18" i="118"/>
  <c r="G63" i="24"/>
  <c r="G3" i="76"/>
  <c r="F8" i="72"/>
  <c r="C63" i="73" s="1"/>
  <c r="F125" i="102"/>
  <c r="F126" i="102" s="1"/>
  <c r="F82" i="73"/>
  <c r="I98" i="73"/>
  <c r="E7" i="117"/>
  <c r="E10" i="117" s="1"/>
  <c r="E7" i="23"/>
  <c r="G129" i="115"/>
  <c r="H103" i="102"/>
  <c r="H105" i="102" s="1"/>
  <c r="H129" i="102"/>
  <c r="E11" i="119"/>
  <c r="D11" i="114"/>
  <c r="D11" i="109"/>
  <c r="F12" i="119"/>
  <c r="E12" i="109"/>
  <c r="E12" i="114"/>
  <c r="I9" i="73"/>
  <c r="I10" i="73" s="1"/>
  <c r="D125" i="115"/>
  <c r="D126" i="115" s="1"/>
  <c r="D51" i="118"/>
  <c r="D50" i="118" s="1"/>
  <c r="D52" i="118" s="1"/>
  <c r="D28" i="118"/>
  <c r="E5" i="73"/>
  <c r="E6" i="73" s="1"/>
  <c r="H63" i="118"/>
  <c r="H62" i="118" s="1"/>
  <c r="H64" i="118" s="1"/>
  <c r="H40" i="118"/>
  <c r="H42" i="118" s="1"/>
  <c r="H59" i="117" s="1"/>
  <c r="E125" i="102"/>
  <c r="E126" i="102" s="1"/>
  <c r="D39" i="73"/>
  <c r="D42" i="73"/>
  <c r="C46" i="73" s="1"/>
  <c r="F97" i="73" s="1"/>
  <c r="E55" i="24" s="1"/>
  <c r="D46" i="73"/>
  <c r="H103" i="115"/>
  <c r="H105" i="115" s="1"/>
  <c r="H129" i="115"/>
  <c r="G31" i="73"/>
  <c r="G34" i="73" s="1"/>
  <c r="D32" i="117"/>
  <c r="D32" i="23"/>
  <c r="E11" i="109"/>
  <c r="E11" i="114"/>
  <c r="F11" i="119"/>
  <c r="I98" i="115" l="1"/>
  <c r="C109" i="115" s="1"/>
  <c r="C123" i="115"/>
  <c r="C125" i="115" s="1"/>
  <c r="C126" i="115" s="1"/>
  <c r="C103" i="102"/>
  <c r="C105" i="102" s="1"/>
  <c r="I105" i="102" s="1"/>
  <c r="C108" i="102" s="1"/>
  <c r="C110" i="102" s="1"/>
  <c r="C111" i="102" s="1"/>
  <c r="C136" i="58"/>
  <c r="I136" i="58" s="1"/>
  <c r="N121" i="58"/>
  <c r="C103" i="115"/>
  <c r="C105" i="115" s="1"/>
  <c r="I105" i="115" s="1"/>
  <c r="C108" i="115" s="1"/>
  <c r="C110" i="115" s="1"/>
  <c r="C111" i="115" s="1"/>
  <c r="C129" i="102"/>
  <c r="C184" i="113" s="1"/>
  <c r="C129" i="115"/>
  <c r="C77" i="24"/>
  <c r="C81" i="24" s="1"/>
  <c r="D70" i="24"/>
  <c r="F77" i="24"/>
  <c r="F81" i="24" s="1"/>
  <c r="G70" i="24"/>
  <c r="C126" i="58"/>
  <c r="D27" i="73"/>
  <c r="C62" i="22"/>
  <c r="C61" i="22" s="1"/>
  <c r="C63" i="22" s="1"/>
  <c r="C54" i="23" s="1"/>
  <c r="AN12" i="58"/>
  <c r="C56" i="22"/>
  <c r="C55" i="22" s="1"/>
  <c r="C57" i="22" s="1"/>
  <c r="C49" i="23" s="1"/>
  <c r="C35" i="118"/>
  <c r="C57" i="118" s="1"/>
  <c r="C56" i="118" s="1"/>
  <c r="C58" i="118" s="1"/>
  <c r="I122" i="111"/>
  <c r="D7" i="23"/>
  <c r="D10" i="23" s="1"/>
  <c r="B37" i="127"/>
  <c r="F37" i="127" s="1"/>
  <c r="J37" i="127" s="1"/>
  <c r="AN10" i="58"/>
  <c r="C29" i="118"/>
  <c r="B40" i="127"/>
  <c r="F40" i="127" s="1"/>
  <c r="B77" i="127" s="1"/>
  <c r="E57" i="118"/>
  <c r="E56" i="118" s="1"/>
  <c r="E58" i="118" s="1"/>
  <c r="E65" i="22"/>
  <c r="E44" i="118"/>
  <c r="E28" i="118"/>
  <c r="E45" i="118" s="1"/>
  <c r="H61" i="22"/>
  <c r="H63" i="22" s="1"/>
  <c r="H54" i="23" s="1"/>
  <c r="H55" i="22"/>
  <c r="H57" i="22" s="1"/>
  <c r="H49" i="23" s="1"/>
  <c r="H65" i="22"/>
  <c r="G51" i="118"/>
  <c r="G50" i="118" s="1"/>
  <c r="G52" i="118" s="1"/>
  <c r="G40" i="118"/>
  <c r="G42" i="118" s="1"/>
  <c r="G59" i="117" s="1"/>
  <c r="F57" i="22"/>
  <c r="F49" i="23" s="1"/>
  <c r="F65" i="22"/>
  <c r="G57" i="118"/>
  <c r="G56" i="118" s="1"/>
  <c r="G58" i="118" s="1"/>
  <c r="G44" i="118"/>
  <c r="F98" i="73"/>
  <c r="E33" i="22" s="1"/>
  <c r="E43" i="22" s="1"/>
  <c r="H46" i="73"/>
  <c r="I46" i="73" s="1"/>
  <c r="J39" i="127"/>
  <c r="E10" i="23"/>
  <c r="F40" i="118"/>
  <c r="F42" i="118" s="1"/>
  <c r="F59" i="117" s="1"/>
  <c r="F7" i="23"/>
  <c r="F10" i="23" s="1"/>
  <c r="D51" i="73"/>
  <c r="L51" i="127"/>
  <c r="G66" i="97"/>
  <c r="G10" i="114" s="1"/>
  <c r="G13" i="114" s="1"/>
  <c r="G15" i="114" s="1"/>
  <c r="F51" i="118"/>
  <c r="F50" i="118" s="1"/>
  <c r="F52" i="118" s="1"/>
  <c r="F44" i="118"/>
  <c r="L62" i="127"/>
  <c r="H36" i="127"/>
  <c r="I36" i="127" s="1"/>
  <c r="B75" i="127"/>
  <c r="L65" i="127"/>
  <c r="G49" i="127"/>
  <c r="I49" i="127"/>
  <c r="J49" i="127" s="1"/>
  <c r="E61" i="127"/>
  <c r="F61" i="127" s="1"/>
  <c r="D34" i="118"/>
  <c r="D36" i="118" s="1"/>
  <c r="D53" i="117" s="1"/>
  <c r="D40" i="118"/>
  <c r="D42" i="118" s="1"/>
  <c r="D59" i="117" s="1"/>
  <c r="D44" i="118"/>
  <c r="C61" i="97"/>
  <c r="F10" i="119"/>
  <c r="F13" i="119" s="1"/>
  <c r="F15" i="119" s="1"/>
  <c r="D65" i="22"/>
  <c r="E10" i="109"/>
  <c r="E13" i="109" s="1"/>
  <c r="E15" i="109" s="1"/>
  <c r="H66" i="97"/>
  <c r="H10" i="114" s="1"/>
  <c r="H13" i="114" s="1"/>
  <c r="H15" i="114" s="1"/>
  <c r="E69" i="24"/>
  <c r="E19" i="23" s="1"/>
  <c r="E8" i="73"/>
  <c r="F18" i="73"/>
  <c r="H18" i="73"/>
  <c r="D34" i="73"/>
  <c r="E97" i="73"/>
  <c r="D55" i="24" s="1"/>
  <c r="AF11" i="115"/>
  <c r="AF12" i="115"/>
  <c r="AF10" i="115"/>
  <c r="H10" i="115"/>
  <c r="H12" i="115"/>
  <c r="H11" i="115"/>
  <c r="G8" i="24"/>
  <c r="G14" i="118"/>
  <c r="G35" i="22"/>
  <c r="T12" i="102"/>
  <c r="T11" i="102"/>
  <c r="T10" i="102"/>
  <c r="D58" i="73"/>
  <c r="I58" i="73" s="1"/>
  <c r="G97" i="73"/>
  <c r="F55" i="24" s="1"/>
  <c r="H45" i="118"/>
  <c r="H46" i="118" s="1"/>
  <c r="H30" i="118"/>
  <c r="H47" i="117" s="1"/>
  <c r="H184" i="113"/>
  <c r="F30" i="118"/>
  <c r="F47" i="117" s="1"/>
  <c r="E34" i="22"/>
  <c r="E44" i="22" s="1"/>
  <c r="E13" i="118"/>
  <c r="E23" i="118" s="1"/>
  <c r="F34" i="73"/>
  <c r="E98" i="73"/>
  <c r="D13" i="114"/>
  <c r="D15" i="114" s="1"/>
  <c r="C8" i="23"/>
  <c r="C8" i="117"/>
  <c r="C125" i="102"/>
  <c r="C126" i="102" s="1"/>
  <c r="H70" i="73"/>
  <c r="H99" i="73"/>
  <c r="H10" i="102"/>
  <c r="H11" i="102"/>
  <c r="H12" i="102"/>
  <c r="G184" i="113"/>
  <c r="N11" i="102"/>
  <c r="N10" i="102"/>
  <c r="N12" i="102"/>
  <c r="D66" i="22"/>
  <c r="D51" i="22"/>
  <c r="D44" i="23" s="1"/>
  <c r="Z10" i="115"/>
  <c r="Z12" i="115"/>
  <c r="Z11" i="115"/>
  <c r="D13" i="109"/>
  <c r="D15" i="109" s="1"/>
  <c r="D35" i="22"/>
  <c r="D14" i="118"/>
  <c r="D8" i="24"/>
  <c r="G66" i="22"/>
  <c r="G67" i="22" s="1"/>
  <c r="G51" i="22"/>
  <c r="G44" i="23" s="1"/>
  <c r="H51" i="22"/>
  <c r="H44" i="23" s="1"/>
  <c r="E30" i="117"/>
  <c r="E33" i="117" s="1"/>
  <c r="I42" i="73"/>
  <c r="E30" i="23"/>
  <c r="E33" i="23" s="1"/>
  <c r="E66" i="22"/>
  <c r="E51" i="22"/>
  <c r="E44" i="23" s="1"/>
  <c r="H12" i="118"/>
  <c r="H22" i="118" s="1"/>
  <c r="H33" i="22"/>
  <c r="H43" i="22" s="1"/>
  <c r="E13" i="114"/>
  <c r="E15" i="114" s="1"/>
  <c r="D63" i="73"/>
  <c r="D66" i="73"/>
  <c r="C70" i="73" s="1"/>
  <c r="F70" i="73"/>
  <c r="H98" i="73"/>
  <c r="E13" i="119"/>
  <c r="E15" i="119" s="1"/>
  <c r="C9" i="117"/>
  <c r="C9" i="23"/>
  <c r="AF10" i="102"/>
  <c r="AF12" i="102"/>
  <c r="AF11" i="102"/>
  <c r="F10" i="109"/>
  <c r="F13" i="109" s="1"/>
  <c r="F15" i="109" s="1"/>
  <c r="F10" i="114"/>
  <c r="F13" i="114" s="1"/>
  <c r="F15" i="114" s="1"/>
  <c r="G10" i="119"/>
  <c r="G13" i="119" s="1"/>
  <c r="G15" i="119" s="1"/>
  <c r="G7" i="23"/>
  <c r="G10" i="23" s="1"/>
  <c r="G7" i="117"/>
  <c r="G10" i="117" s="1"/>
  <c r="H34" i="73"/>
  <c r="E99" i="73"/>
  <c r="C10" i="114"/>
  <c r="C13" i="114" s="1"/>
  <c r="D10" i="119"/>
  <c r="D13" i="119" s="1"/>
  <c r="C10" i="109"/>
  <c r="C13" i="109" s="1"/>
  <c r="D30" i="118"/>
  <c r="D47" i="117" s="1"/>
  <c r="T11" i="115"/>
  <c r="T12" i="115"/>
  <c r="T10" i="115"/>
  <c r="I30" i="73"/>
  <c r="D30" i="117"/>
  <c r="D33" i="117" s="1"/>
  <c r="D30" i="23"/>
  <c r="D33" i="23" s="1"/>
  <c r="N11" i="115"/>
  <c r="N12" i="115"/>
  <c r="N10" i="115"/>
  <c r="H34" i="22"/>
  <c r="H44" i="22" s="1"/>
  <c r="H13" i="118"/>
  <c r="H23" i="118" s="1"/>
  <c r="I54" i="73"/>
  <c r="F30" i="117"/>
  <c r="F33" i="117" s="1"/>
  <c r="F30" i="23"/>
  <c r="F33" i="23" s="1"/>
  <c r="F12" i="118"/>
  <c r="F22" i="118" s="1"/>
  <c r="F33" i="22"/>
  <c r="F43" i="22" s="1"/>
  <c r="F34" i="22"/>
  <c r="F44" i="22" s="1"/>
  <c r="F13" i="118"/>
  <c r="F23" i="118" s="1"/>
  <c r="C63" i="118"/>
  <c r="C62" i="118" s="1"/>
  <c r="C64" i="118" s="1"/>
  <c r="C40" i="118"/>
  <c r="C42" i="118" s="1"/>
  <c r="C59" i="117" s="1"/>
  <c r="G30" i="118"/>
  <c r="G47" i="117" s="1"/>
  <c r="Z11" i="102"/>
  <c r="Z12" i="102"/>
  <c r="Z10" i="102"/>
  <c r="F44" i="23" l="1"/>
  <c r="F72" i="22"/>
  <c r="F69" i="24"/>
  <c r="C34" i="118"/>
  <c r="C36" i="118" s="1"/>
  <c r="C53" i="117" s="1"/>
  <c r="C141" i="58"/>
  <c r="I141" i="58" s="1"/>
  <c r="C65" i="22"/>
  <c r="I65" i="22" s="1"/>
  <c r="C75" i="118"/>
  <c r="B74" i="127"/>
  <c r="C44" i="118"/>
  <c r="I44" i="118" s="1"/>
  <c r="C28" i="118"/>
  <c r="C51" i="118"/>
  <c r="C50" i="118" s="1"/>
  <c r="C52" i="118" s="1"/>
  <c r="E67" i="22"/>
  <c r="J40" i="127"/>
  <c r="E30" i="118"/>
  <c r="E47" i="117" s="1"/>
  <c r="E46" i="118"/>
  <c r="H66" i="22"/>
  <c r="H67" i="22" s="1"/>
  <c r="G45" i="118"/>
  <c r="G46" i="118" s="1"/>
  <c r="F66" i="22"/>
  <c r="F67" i="22" s="1"/>
  <c r="E12" i="118"/>
  <c r="E22" i="118" s="1"/>
  <c r="H10" i="119"/>
  <c r="H13" i="119" s="1"/>
  <c r="H15" i="119" s="1"/>
  <c r="F45" i="118"/>
  <c r="F46" i="118" s="1"/>
  <c r="L49" i="127"/>
  <c r="G10" i="109"/>
  <c r="G13" i="109" s="1"/>
  <c r="G15" i="109" s="1"/>
  <c r="I61" i="127"/>
  <c r="J61" i="127" s="1"/>
  <c r="G61" i="127"/>
  <c r="D45" i="118"/>
  <c r="D46" i="118" s="1"/>
  <c r="D67" i="22"/>
  <c r="H10" i="109"/>
  <c r="H13" i="109" s="1"/>
  <c r="H15" i="109" s="1"/>
  <c r="I10" i="119"/>
  <c r="I13" i="119" s="1"/>
  <c r="I15" i="119" s="1"/>
  <c r="E19" i="117"/>
  <c r="B12" i="115"/>
  <c r="B10" i="115"/>
  <c r="B11" i="115"/>
  <c r="B11" i="102"/>
  <c r="B10" i="102"/>
  <c r="B12" i="102"/>
  <c r="C15" i="114"/>
  <c r="I15" i="114" s="1"/>
  <c r="I16" i="114" s="1"/>
  <c r="C18" i="114"/>
  <c r="F19" i="23"/>
  <c r="F19" i="117"/>
  <c r="I34" i="73"/>
  <c r="F20" i="23"/>
  <c r="F20" i="117"/>
  <c r="H97" i="73"/>
  <c r="G55" i="24" s="1"/>
  <c r="G69" i="24" s="1"/>
  <c r="D70" i="73"/>
  <c r="I70" i="73" s="1"/>
  <c r="H20" i="117"/>
  <c r="H20" i="23"/>
  <c r="E20" i="23"/>
  <c r="E20" i="117"/>
  <c r="E21" i="23"/>
  <c r="E21" i="117"/>
  <c r="C32" i="23"/>
  <c r="C32" i="117"/>
  <c r="G19" i="73"/>
  <c r="G22" i="73" s="1"/>
  <c r="C15" i="109"/>
  <c r="G30" i="23"/>
  <c r="G33" i="23" s="1"/>
  <c r="G30" i="117"/>
  <c r="G33" i="117" s="1"/>
  <c r="I66" i="73"/>
  <c r="D33" i="22"/>
  <c r="D43" i="22" s="1"/>
  <c r="D12" i="118"/>
  <c r="D22" i="118" s="1"/>
  <c r="C31" i="23"/>
  <c r="C31" i="117"/>
  <c r="E19" i="73"/>
  <c r="E22" i="73" s="1"/>
  <c r="F21" i="23"/>
  <c r="F21" i="117"/>
  <c r="H21" i="117"/>
  <c r="H21" i="23"/>
  <c r="C66" i="22"/>
  <c r="C51" i="22"/>
  <c r="D15" i="119"/>
  <c r="D13" i="118"/>
  <c r="D23" i="118" s="1"/>
  <c r="D34" i="22"/>
  <c r="D44" i="22" s="1"/>
  <c r="G12" i="118"/>
  <c r="G22" i="118" s="1"/>
  <c r="G33" i="22"/>
  <c r="G43" i="22" s="1"/>
  <c r="G34" i="22"/>
  <c r="G44" i="22" s="1"/>
  <c r="G13" i="118"/>
  <c r="G23" i="118" s="1"/>
  <c r="D69" i="24"/>
  <c r="E9" i="73"/>
  <c r="E10" i="73" s="1"/>
  <c r="C14" i="76" l="1"/>
  <c r="C44" i="23"/>
  <c r="C45" i="118"/>
  <c r="I45" i="118" s="1"/>
  <c r="C74" i="118"/>
  <c r="D74" i="118" s="1"/>
  <c r="C30" i="118"/>
  <c r="C69" i="118" s="1"/>
  <c r="I66" i="22"/>
  <c r="L61" i="127"/>
  <c r="C18" i="109"/>
  <c r="I15" i="109"/>
  <c r="I16" i="109" s="1"/>
  <c r="J15" i="119"/>
  <c r="J16" i="119" s="1"/>
  <c r="D18" i="119"/>
  <c r="E22" i="117"/>
  <c r="E22" i="23"/>
  <c r="C14" i="118"/>
  <c r="C35" i="22"/>
  <c r="C8" i="24"/>
  <c r="D19" i="117"/>
  <c r="D19" i="23"/>
  <c r="G20" i="23"/>
  <c r="G20" i="117"/>
  <c r="F22" i="73"/>
  <c r="D98" i="73"/>
  <c r="F22" i="117"/>
  <c r="C67" i="22"/>
  <c r="I67" i="22" s="1"/>
  <c r="D21" i="23"/>
  <c r="D21" i="117"/>
  <c r="F22" i="23"/>
  <c r="G21" i="117"/>
  <c r="G21" i="23"/>
  <c r="D20" i="23"/>
  <c r="D20" i="117"/>
  <c r="H22" i="73"/>
  <c r="D99" i="73"/>
  <c r="G19" i="117"/>
  <c r="G19" i="23"/>
  <c r="C46" i="118" l="1"/>
  <c r="I46" i="118" s="1"/>
  <c r="C47" i="117"/>
  <c r="C73" i="118"/>
  <c r="G22" i="117"/>
  <c r="G22" i="23"/>
  <c r="C12" i="118"/>
  <c r="C22" i="118" s="1"/>
  <c r="C33" i="22"/>
  <c r="C43" i="22" s="1"/>
  <c r="D22" i="23"/>
  <c r="C13" i="118"/>
  <c r="C23" i="118" s="1"/>
  <c r="C34" i="22"/>
  <c r="C44" i="22" s="1"/>
  <c r="D22" i="117"/>
  <c r="C20" i="23" l="1"/>
  <c r="C20" i="117"/>
  <c r="C21" i="23"/>
  <c r="C21" i="117"/>
  <c r="I110" i="138" l="1"/>
  <c r="H54" i="24" l="1"/>
  <c r="I54" i="24" s="1"/>
  <c r="G8" i="72" l="1"/>
  <c r="C75" i="73" s="1"/>
  <c r="D75" i="73" s="1"/>
  <c r="H63" i="24"/>
  <c r="H7" i="23" s="1"/>
  <c r="H10" i="23" s="1"/>
  <c r="H58" i="24"/>
  <c r="I58" i="24" s="1"/>
  <c r="H3" i="76"/>
  <c r="B41" i="127" l="1"/>
  <c r="H70" i="24"/>
  <c r="D78" i="73"/>
  <c r="I78" i="73" s="1"/>
  <c r="G77" i="24"/>
  <c r="G81" i="24" s="1"/>
  <c r="H7" i="117"/>
  <c r="H10" i="117" s="1"/>
  <c r="F41" i="127" l="1"/>
  <c r="B78" i="127" s="1"/>
  <c r="B43" i="127"/>
  <c r="C82" i="73"/>
  <c r="D82" i="73" s="1"/>
  <c r="I82" i="73" s="1"/>
  <c r="H30" i="117"/>
  <c r="H33" i="117" s="1"/>
  <c r="H30" i="23"/>
  <c r="H33" i="23" s="1"/>
  <c r="J41" i="127" l="1"/>
  <c r="I97" i="73"/>
  <c r="H55" i="24" s="1"/>
  <c r="H69" i="24" l="1"/>
  <c r="H19" i="23" s="1"/>
  <c r="H22" i="23" s="1"/>
  <c r="H19" i="117"/>
  <c r="H22" i="117" s="1"/>
  <c r="D55" i="58" l="1"/>
  <c r="H55" i="58"/>
  <c r="E55" i="58"/>
  <c r="E6" i="58" s="1"/>
  <c r="G55" i="58"/>
  <c r="G57" i="98" s="1"/>
  <c r="G86" i="98" s="1"/>
  <c r="G88" i="98" s="1"/>
  <c r="F55" i="58"/>
  <c r="C55" i="58"/>
  <c r="C122" i="58" s="1"/>
  <c r="F75" i="58" l="1"/>
  <c r="F57" i="98"/>
  <c r="R14" i="58"/>
  <c r="T11" i="58"/>
  <c r="E72" i="58"/>
  <c r="T12" i="58"/>
  <c r="T10" i="58"/>
  <c r="C137" i="58"/>
  <c r="D75" i="58"/>
  <c r="D122" i="58"/>
  <c r="D137" i="58" s="1"/>
  <c r="D57" i="113"/>
  <c r="D145" i="58"/>
  <c r="D57" i="111"/>
  <c r="D86" i="111" s="1"/>
  <c r="D88" i="111" s="1"/>
  <c r="D6" i="58"/>
  <c r="D57" i="98"/>
  <c r="I55" i="58"/>
  <c r="H57" i="111"/>
  <c r="H86" i="111" s="1"/>
  <c r="H88" i="111" s="1"/>
  <c r="H122" i="58"/>
  <c r="H137" i="58" s="1"/>
  <c r="H57" i="113"/>
  <c r="H6" i="58"/>
  <c r="H57" i="98"/>
  <c r="H75" i="58"/>
  <c r="H145" i="58"/>
  <c r="E122" i="58"/>
  <c r="E137" i="58" s="1"/>
  <c r="E145" i="58"/>
  <c r="E75" i="58"/>
  <c r="G105" i="98"/>
  <c r="C145" i="58"/>
  <c r="C57" i="111"/>
  <c r="C86" i="111" s="1"/>
  <c r="C88" i="111" s="1"/>
  <c r="C57" i="98"/>
  <c r="C75" i="58"/>
  <c r="F122" i="58"/>
  <c r="F145" i="58"/>
  <c r="F6" i="58"/>
  <c r="G145" i="58"/>
  <c r="G75" i="58"/>
  <c r="G57" i="111"/>
  <c r="G86" i="111" s="1"/>
  <c r="G88" i="111" s="1"/>
  <c r="G122" i="58"/>
  <c r="G137" i="58" s="1"/>
  <c r="C57" i="113"/>
  <c r="G57" i="113"/>
  <c r="F57" i="113"/>
  <c r="C6" i="58"/>
  <c r="J145" i="58"/>
  <c r="G6" i="58"/>
  <c r="E57" i="98"/>
  <c r="F57" i="111"/>
  <c r="F86" i="111" s="1"/>
  <c r="F88" i="111" s="1"/>
  <c r="E57" i="113"/>
  <c r="E57" i="111"/>
  <c r="E86" i="111" s="1"/>
  <c r="E88" i="111" s="1"/>
  <c r="I75" i="58" l="1"/>
  <c r="E76" i="58"/>
  <c r="F137" i="58"/>
  <c r="M122" i="58"/>
  <c r="N122" i="58"/>
  <c r="N126" i="58" s="1"/>
  <c r="F86" i="98"/>
  <c r="F88" i="98" s="1"/>
  <c r="F105" i="98"/>
  <c r="E86" i="98"/>
  <c r="E88" i="98" s="1"/>
  <c r="E105" i="98"/>
  <c r="I88" i="111"/>
  <c r="C91" i="111" s="1"/>
  <c r="C93" i="111" s="1"/>
  <c r="C94" i="111" s="1"/>
  <c r="AF11" i="58"/>
  <c r="AF10" i="58"/>
  <c r="AF12" i="58"/>
  <c r="G72" i="58"/>
  <c r="AD14" i="58"/>
  <c r="I145" i="58"/>
  <c r="H86" i="98"/>
  <c r="H88" i="98" s="1"/>
  <c r="H105" i="98"/>
  <c r="D86" i="98"/>
  <c r="D88" i="98" s="1"/>
  <c r="D105" i="98"/>
  <c r="I137" i="58"/>
  <c r="Z11" i="58"/>
  <c r="F72" i="58"/>
  <c r="X14" i="58"/>
  <c r="Z12" i="58"/>
  <c r="Z10" i="58"/>
  <c r="G6" i="98"/>
  <c r="G122" i="99"/>
  <c r="AL11" i="58"/>
  <c r="H72" i="58"/>
  <c r="AL12" i="58"/>
  <c r="AL10" i="58"/>
  <c r="AJ14" i="58"/>
  <c r="N10" i="58"/>
  <c r="I14" i="58"/>
  <c r="N11" i="58"/>
  <c r="N12" i="58"/>
  <c r="D72" i="58"/>
  <c r="E45" i="23"/>
  <c r="E46" i="23" s="1"/>
  <c r="E48" i="117"/>
  <c r="E49" i="117" s="1"/>
  <c r="R15" i="58"/>
  <c r="R16" i="58" s="1"/>
  <c r="H87" i="113"/>
  <c r="H89" i="113" s="1"/>
  <c r="H83" i="113"/>
  <c r="H175" i="113" s="1"/>
  <c r="H177" i="113" s="1"/>
  <c r="E55" i="23"/>
  <c r="E56" i="23" s="1"/>
  <c r="E60" i="117"/>
  <c r="E61" i="117" s="1"/>
  <c r="E87" i="113"/>
  <c r="E89" i="113" s="1"/>
  <c r="E83" i="113"/>
  <c r="E175" i="113" s="1"/>
  <c r="E177" i="113" s="1"/>
  <c r="F87" i="113"/>
  <c r="F89" i="113" s="1"/>
  <c r="F83" i="113"/>
  <c r="F175" i="113" s="1"/>
  <c r="F177" i="113" s="1"/>
  <c r="G87" i="113"/>
  <c r="G89" i="113" s="1"/>
  <c r="G83" i="113"/>
  <c r="G175" i="113" s="1"/>
  <c r="G177" i="113" s="1"/>
  <c r="E74" i="58"/>
  <c r="E2" i="76"/>
  <c r="E8" i="76" s="1"/>
  <c r="E12" i="76" s="1"/>
  <c r="E15" i="76" s="1"/>
  <c r="C14" i="58"/>
  <c r="E12" i="58"/>
  <c r="I6" i="58"/>
  <c r="C72" i="58"/>
  <c r="E10" i="58"/>
  <c r="C45" i="23" s="1"/>
  <c r="C46" i="23" s="1"/>
  <c r="E11" i="58"/>
  <c r="C87" i="113"/>
  <c r="C89" i="113" s="1"/>
  <c r="C83" i="113"/>
  <c r="D87" i="113"/>
  <c r="D89" i="113" s="1"/>
  <c r="D83" i="113"/>
  <c r="D175" i="113" s="1"/>
  <c r="D177" i="113" s="1"/>
  <c r="E54" i="117"/>
  <c r="E55" i="117" s="1"/>
  <c r="E50" i="23"/>
  <c r="E51" i="23" s="1"/>
  <c r="C86" i="98"/>
  <c r="C88" i="98" s="1"/>
  <c r="C105" i="98"/>
  <c r="I88" i="98" l="1"/>
  <c r="C91" i="98" s="1"/>
  <c r="C93" i="98" s="1"/>
  <c r="C94" i="98" s="1"/>
  <c r="F122" i="99"/>
  <c r="F6" i="98"/>
  <c r="C6" i="98"/>
  <c r="C122" i="99"/>
  <c r="I83" i="113"/>
  <c r="C175" i="113"/>
  <c r="C177" i="113" s="1"/>
  <c r="C15" i="58"/>
  <c r="C16" i="58" s="1"/>
  <c r="C48" i="117"/>
  <c r="C49" i="117" s="1"/>
  <c r="D55" i="23"/>
  <c r="D56" i="23" s="1"/>
  <c r="D60" i="117"/>
  <c r="D61" i="117" s="1"/>
  <c r="H50" i="23"/>
  <c r="H51" i="23" s="1"/>
  <c r="H54" i="117"/>
  <c r="H55" i="117" s="1"/>
  <c r="D54" i="117"/>
  <c r="D55" i="117" s="1"/>
  <c r="D50" i="23"/>
  <c r="D51" i="23" s="1"/>
  <c r="D122" i="99"/>
  <c r="D6" i="98"/>
  <c r="G2" i="76"/>
  <c r="G8" i="76" s="1"/>
  <c r="G12" i="76" s="1"/>
  <c r="G15" i="76" s="1"/>
  <c r="G74" i="58"/>
  <c r="D179" i="113"/>
  <c r="D124" i="112" s="1"/>
  <c r="D178" i="113"/>
  <c r="H179" i="113"/>
  <c r="H124" i="112" s="1"/>
  <c r="H178" i="113"/>
  <c r="AA14" i="98"/>
  <c r="AC11" i="98"/>
  <c r="AC12" i="98"/>
  <c r="G85" i="98"/>
  <c r="AC10" i="98"/>
  <c r="G60" i="117"/>
  <c r="G61" i="117" s="1"/>
  <c r="G55" i="23"/>
  <c r="G56" i="23" s="1"/>
  <c r="D48" i="117"/>
  <c r="D49" i="117" s="1"/>
  <c r="D45" i="23"/>
  <c r="D46" i="23" s="1"/>
  <c r="I15" i="58"/>
  <c r="I16" i="58" s="1"/>
  <c r="F45" i="23"/>
  <c r="F46" i="23" s="1"/>
  <c r="F48" i="117"/>
  <c r="F49" i="117" s="1"/>
  <c r="X15" i="58"/>
  <c r="X16" i="58" s="1"/>
  <c r="H122" i="99"/>
  <c r="H6" i="98"/>
  <c r="G45" i="23"/>
  <c r="G46" i="23" s="1"/>
  <c r="G48" i="117"/>
  <c r="G49" i="117" s="1"/>
  <c r="AD15" i="58"/>
  <c r="AD16" i="58" s="1"/>
  <c r="C55" i="23"/>
  <c r="C56" i="23" s="1"/>
  <c r="C60" i="117"/>
  <c r="C61" i="117" s="1"/>
  <c r="F179" i="113"/>
  <c r="F124" i="112" s="1"/>
  <c r="F178" i="113"/>
  <c r="F60" i="117"/>
  <c r="F61" i="117" s="1"/>
  <c r="F55" i="23"/>
  <c r="F56" i="23" s="1"/>
  <c r="G54" i="117"/>
  <c r="G55" i="117" s="1"/>
  <c r="G50" i="23"/>
  <c r="G51" i="23" s="1"/>
  <c r="H48" i="117"/>
  <c r="H49" i="117" s="1"/>
  <c r="AJ15" i="58"/>
  <c r="AJ16" i="58" s="1"/>
  <c r="H45" i="23"/>
  <c r="H46" i="23" s="1"/>
  <c r="I89" i="113"/>
  <c r="C92" i="113" s="1"/>
  <c r="C94" i="113" s="1"/>
  <c r="C95" i="113" s="1"/>
  <c r="E179" i="113"/>
  <c r="E124" i="112" s="1"/>
  <c r="E178" i="113"/>
  <c r="H55" i="23"/>
  <c r="H56" i="23" s="1"/>
  <c r="H60" i="117"/>
  <c r="H61" i="117" s="1"/>
  <c r="F74" i="58"/>
  <c r="F2" i="76"/>
  <c r="F8" i="76" s="1"/>
  <c r="F12" i="76" s="1"/>
  <c r="F15" i="76" s="1"/>
  <c r="E122" i="99"/>
  <c r="E6" i="98"/>
  <c r="C2" i="76"/>
  <c r="C74" i="58"/>
  <c r="E188" i="113"/>
  <c r="D83" i="24"/>
  <c r="D84" i="24" s="1"/>
  <c r="D89" i="24" s="1"/>
  <c r="C50" i="23"/>
  <c r="C51" i="23" s="1"/>
  <c r="C54" i="117"/>
  <c r="C55" i="117" s="1"/>
  <c r="G179" i="113"/>
  <c r="G124" i="112" s="1"/>
  <c r="G178" i="113"/>
  <c r="D2" i="76"/>
  <c r="D8" i="76" s="1"/>
  <c r="D12" i="76" s="1"/>
  <c r="D15" i="76" s="1"/>
  <c r="D74" i="58"/>
  <c r="H2" i="76"/>
  <c r="H8" i="76" s="1"/>
  <c r="H12" i="76" s="1"/>
  <c r="H15" i="76" s="1"/>
  <c r="H74" i="58"/>
  <c r="F54" i="117"/>
  <c r="F55" i="117" s="1"/>
  <c r="F50" i="23"/>
  <c r="F51" i="23" s="1"/>
  <c r="I74" i="58" l="1"/>
  <c r="F77" i="58" s="1"/>
  <c r="F79" i="58" s="1"/>
  <c r="F80" i="58" s="1"/>
  <c r="F59" i="23"/>
  <c r="C66" i="23" s="1"/>
  <c r="C73" i="23" s="1"/>
  <c r="F58" i="23"/>
  <c r="F60" i="23"/>
  <c r="W11" i="98"/>
  <c r="U14" i="98"/>
  <c r="F85" i="98"/>
  <c r="W10" i="98"/>
  <c r="W12" i="98"/>
  <c r="G186" i="113"/>
  <c r="G105" i="111"/>
  <c r="Q10" i="98"/>
  <c r="Q12" i="98"/>
  <c r="Q11" i="98"/>
  <c r="E85" i="98"/>
  <c r="O14" i="98"/>
  <c r="C65" i="117"/>
  <c r="AG14" i="98"/>
  <c r="AI12" i="98"/>
  <c r="AI11" i="98"/>
  <c r="H85" i="98"/>
  <c r="AI10" i="98"/>
  <c r="H186" i="113"/>
  <c r="H105" i="111"/>
  <c r="C64" i="117"/>
  <c r="E83" i="24"/>
  <c r="E84" i="24" s="1"/>
  <c r="E89" i="24" s="1"/>
  <c r="F188" i="113"/>
  <c r="AA15" i="98"/>
  <c r="AA16" i="98" s="1"/>
  <c r="H151" i="119"/>
  <c r="H152" i="119" s="1"/>
  <c r="G151" i="109"/>
  <c r="G152" i="109" s="1"/>
  <c r="D186" i="113"/>
  <c r="D105" i="111"/>
  <c r="F186" i="113"/>
  <c r="F105" i="111"/>
  <c r="G83" i="24"/>
  <c r="G84" i="24" s="1"/>
  <c r="G89" i="24" s="1"/>
  <c r="H188" i="113"/>
  <c r="C66" i="117"/>
  <c r="C179" i="113"/>
  <c r="C124" i="112" s="1"/>
  <c r="C178" i="113"/>
  <c r="D188" i="113"/>
  <c r="C83" i="24"/>
  <c r="C84" i="24" s="1"/>
  <c r="C89" i="24" s="1"/>
  <c r="B83" i="24"/>
  <c r="C188" i="113"/>
  <c r="E186" i="113"/>
  <c r="E190" i="113" s="1"/>
  <c r="E105" i="111"/>
  <c r="H163" i="119"/>
  <c r="H164" i="119" s="1"/>
  <c r="G163" i="109"/>
  <c r="G164" i="109" s="1"/>
  <c r="G188" i="113"/>
  <c r="F83" i="24"/>
  <c r="F84" i="24" s="1"/>
  <c r="F89" i="24" s="1"/>
  <c r="G157" i="109"/>
  <c r="G158" i="109" s="1"/>
  <c r="H157" i="119"/>
  <c r="H158" i="119" s="1"/>
  <c r="I14" i="98"/>
  <c r="K12" i="98"/>
  <c r="K11" i="98"/>
  <c r="D85" i="98"/>
  <c r="K10" i="98"/>
  <c r="C85" i="98"/>
  <c r="C14" i="98"/>
  <c r="I6" i="98"/>
  <c r="E11" i="98"/>
  <c r="E10" i="98"/>
  <c r="E12" i="98"/>
  <c r="B6" i="74" l="1"/>
  <c r="C6" i="74" s="1"/>
  <c r="B26" i="127"/>
  <c r="D26" i="127" s="1"/>
  <c r="F163" i="109"/>
  <c r="F164" i="109" s="1"/>
  <c r="G163" i="119"/>
  <c r="G164" i="119" s="1"/>
  <c r="F151" i="109"/>
  <c r="F152" i="109" s="1"/>
  <c r="G151" i="119"/>
  <c r="G152" i="119" s="1"/>
  <c r="U15" i="98"/>
  <c r="U16" i="98" s="1"/>
  <c r="F190" i="113"/>
  <c r="F157" i="109"/>
  <c r="F158" i="109" s="1"/>
  <c r="G157" i="119"/>
  <c r="G158" i="119" s="1"/>
  <c r="H83" i="24"/>
  <c r="F112" i="111"/>
  <c r="F122" i="112"/>
  <c r="F6" i="111"/>
  <c r="H190" i="113"/>
  <c r="I151" i="119"/>
  <c r="I152" i="119" s="1"/>
  <c r="AG15" i="98"/>
  <c r="AG16" i="98" s="1"/>
  <c r="H151" i="109"/>
  <c r="H152" i="109" s="1"/>
  <c r="D163" i="109"/>
  <c r="D164" i="109" s="1"/>
  <c r="E163" i="119"/>
  <c r="E164" i="119" s="1"/>
  <c r="C163" i="109"/>
  <c r="C164" i="109" s="1"/>
  <c r="C170" i="109" s="1"/>
  <c r="I99" i="105" s="1"/>
  <c r="D163" i="119"/>
  <c r="D164" i="119" s="1"/>
  <c r="D170" i="119" s="1"/>
  <c r="C151" i="109"/>
  <c r="C152" i="109" s="1"/>
  <c r="C168" i="109" s="1"/>
  <c r="I97" i="105" s="1"/>
  <c r="D151" i="119"/>
  <c r="D152" i="119" s="1"/>
  <c r="D168" i="119" s="1"/>
  <c r="C15" i="98"/>
  <c r="C16" i="98" s="1"/>
  <c r="C67" i="23"/>
  <c r="C74" i="23" s="1"/>
  <c r="B27" i="127"/>
  <c r="D27" i="127" s="1"/>
  <c r="B7" i="74"/>
  <c r="C7" i="74" s="1"/>
  <c r="C186" i="113"/>
  <c r="C190" i="113" s="1"/>
  <c r="C105" i="111"/>
  <c r="I157" i="119"/>
  <c r="I158" i="119" s="1"/>
  <c r="H157" i="109"/>
  <c r="H158" i="109" s="1"/>
  <c r="E157" i="109"/>
  <c r="E158" i="109" s="1"/>
  <c r="F157" i="119"/>
  <c r="F158" i="119" s="1"/>
  <c r="D157" i="119"/>
  <c r="D158" i="119" s="1"/>
  <c r="D169" i="119" s="1"/>
  <c r="C157" i="109"/>
  <c r="C158" i="109" s="1"/>
  <c r="C169" i="109" s="1"/>
  <c r="I98" i="105" s="1"/>
  <c r="E112" i="111"/>
  <c r="E6" i="111"/>
  <c r="E122" i="112"/>
  <c r="I163" i="119"/>
  <c r="I164" i="119" s="1"/>
  <c r="H163" i="109"/>
  <c r="H164" i="109" s="1"/>
  <c r="F163" i="119"/>
  <c r="F164" i="119" s="1"/>
  <c r="E163" i="109"/>
  <c r="E164" i="109" s="1"/>
  <c r="D183" i="119"/>
  <c r="C73" i="117"/>
  <c r="B25" i="127"/>
  <c r="D25" i="127" s="1"/>
  <c r="B5" i="74"/>
  <c r="C5" i="74" s="1"/>
  <c r="C65" i="23"/>
  <c r="C72" i="23" s="1"/>
  <c r="F151" i="119"/>
  <c r="F152" i="119" s="1"/>
  <c r="E151" i="109"/>
  <c r="E152" i="109" s="1"/>
  <c r="O15" i="98"/>
  <c r="O16" i="98" s="1"/>
  <c r="D112" i="111"/>
  <c r="D6" i="111"/>
  <c r="D122" i="112"/>
  <c r="C71" i="117"/>
  <c r="D181" i="119"/>
  <c r="D182" i="119"/>
  <c r="C72" i="117"/>
  <c r="G112" i="111"/>
  <c r="G6" i="111"/>
  <c r="G122" i="112"/>
  <c r="D157" i="109"/>
  <c r="D158" i="109" s="1"/>
  <c r="E157" i="119"/>
  <c r="E158" i="119" s="1"/>
  <c r="D151" i="109"/>
  <c r="D152" i="109" s="1"/>
  <c r="E151" i="119"/>
  <c r="E152" i="119" s="1"/>
  <c r="I15" i="98"/>
  <c r="I16" i="98" s="1"/>
  <c r="D190" i="113"/>
  <c r="H112" i="111"/>
  <c r="H122" i="112"/>
  <c r="H6" i="111"/>
  <c r="G190" i="113"/>
  <c r="AI12" i="111" l="1"/>
  <c r="H163" i="114" s="1"/>
  <c r="H164" i="114" s="1"/>
  <c r="AI10" i="111"/>
  <c r="AI11" i="111"/>
  <c r="H157" i="114" s="1"/>
  <c r="H158" i="114" s="1"/>
  <c r="AG14" i="111"/>
  <c r="H85" i="111"/>
  <c r="K11" i="111"/>
  <c r="D157" i="114" s="1"/>
  <c r="D158" i="114" s="1"/>
  <c r="K12" i="111"/>
  <c r="D163" i="114" s="1"/>
  <c r="D164" i="114" s="1"/>
  <c r="K10" i="111"/>
  <c r="I14" i="111"/>
  <c r="D85" i="111"/>
  <c r="Q12" i="111"/>
  <c r="E163" i="114" s="1"/>
  <c r="E164" i="114" s="1"/>
  <c r="Q10" i="111"/>
  <c r="Q11" i="111"/>
  <c r="E157" i="114" s="1"/>
  <c r="E158" i="114" s="1"/>
  <c r="E85" i="111"/>
  <c r="O14" i="111"/>
  <c r="C97" i="105"/>
  <c r="B97" i="105"/>
  <c r="E97" i="105"/>
  <c r="D97" i="105"/>
  <c r="F97" i="105"/>
  <c r="C80" i="117"/>
  <c r="D201" i="119" s="1"/>
  <c r="D192" i="119"/>
  <c r="B98" i="105"/>
  <c r="G98" i="105" s="1"/>
  <c r="F98" i="105"/>
  <c r="C98" i="105"/>
  <c r="E98" i="105"/>
  <c r="D98" i="105"/>
  <c r="F99" i="105"/>
  <c r="D99" i="105"/>
  <c r="C99" i="105"/>
  <c r="E99" i="105"/>
  <c r="B99" i="105"/>
  <c r="G99" i="105" s="1"/>
  <c r="W12" i="111"/>
  <c r="F163" i="114" s="1"/>
  <c r="F164" i="114" s="1"/>
  <c r="W11" i="111"/>
  <c r="F157" i="114" s="1"/>
  <c r="F158" i="114" s="1"/>
  <c r="W10" i="111"/>
  <c r="U14" i="111"/>
  <c r="F85" i="111"/>
  <c r="AC10" i="111"/>
  <c r="G85" i="111"/>
  <c r="AA14" i="111"/>
  <c r="AC11" i="111"/>
  <c r="G157" i="114" s="1"/>
  <c r="G158" i="114" s="1"/>
  <c r="AC12" i="111"/>
  <c r="G163" i="114" s="1"/>
  <c r="G164" i="114" s="1"/>
  <c r="C112" i="111"/>
  <c r="C115" i="111" s="1"/>
  <c r="C6" i="111"/>
  <c r="C109" i="111"/>
  <c r="C122" i="112"/>
  <c r="I105" i="111"/>
  <c r="C79" i="117"/>
  <c r="D200" i="119" s="1"/>
  <c r="D191" i="119"/>
  <c r="C78" i="117"/>
  <c r="D199" i="119" s="1"/>
  <c r="D190" i="119"/>
  <c r="E10" i="111" l="1"/>
  <c r="C14" i="111"/>
  <c r="E12" i="111"/>
  <c r="C163" i="114" s="1"/>
  <c r="C164" i="114" s="1"/>
  <c r="C170" i="114" s="1"/>
  <c r="I98" i="116" s="1"/>
  <c r="E11" i="111"/>
  <c r="C157" i="114" s="1"/>
  <c r="C158" i="114" s="1"/>
  <c r="C169" i="114" s="1"/>
  <c r="I97" i="116" s="1"/>
  <c r="I6" i="111"/>
  <c r="C85" i="111"/>
  <c r="F100" i="105"/>
  <c r="G123" i="99" s="1"/>
  <c r="G125" i="99" s="1"/>
  <c r="E151" i="114"/>
  <c r="E152" i="114" s="1"/>
  <c r="O15" i="111"/>
  <c r="O16" i="111" s="1"/>
  <c r="F151" i="114"/>
  <c r="F152" i="114" s="1"/>
  <c r="U15" i="111"/>
  <c r="U16" i="111" s="1"/>
  <c r="D100" i="105"/>
  <c r="E123" i="99" s="1"/>
  <c r="E125" i="99" s="1"/>
  <c r="E100" i="105"/>
  <c r="F123" i="99" s="1"/>
  <c r="F125" i="99" s="1"/>
  <c r="G97" i="105"/>
  <c r="G100" i="105" s="1"/>
  <c r="H123" i="99" s="1"/>
  <c r="H125" i="99" s="1"/>
  <c r="B100" i="105"/>
  <c r="C123" i="99" s="1"/>
  <c r="C125" i="99" s="1"/>
  <c r="C100" i="105"/>
  <c r="D123" i="99" s="1"/>
  <c r="D125" i="99" s="1"/>
  <c r="I15" i="111"/>
  <c r="I16" i="111" s="1"/>
  <c r="D151" i="114"/>
  <c r="D152" i="114" s="1"/>
  <c r="H151" i="114"/>
  <c r="H152" i="114" s="1"/>
  <c r="AG15" i="111"/>
  <c r="AG16" i="111" s="1"/>
  <c r="AA15" i="111"/>
  <c r="AA16" i="111" s="1"/>
  <c r="G151" i="114"/>
  <c r="G152" i="114" s="1"/>
  <c r="G6" i="99" l="1"/>
  <c r="G127" i="102"/>
  <c r="F6" i="99"/>
  <c r="F127" i="102"/>
  <c r="E6" i="99"/>
  <c r="E127" i="102"/>
  <c r="D6" i="99"/>
  <c r="D127" i="102"/>
  <c r="F97" i="116"/>
  <c r="E97" i="116"/>
  <c r="B97" i="116"/>
  <c r="G97" i="116" s="1"/>
  <c r="C97" i="116"/>
  <c r="D97" i="116"/>
  <c r="E98" i="116"/>
  <c r="C98" i="116"/>
  <c r="B98" i="116"/>
  <c r="G98" i="116" s="1"/>
  <c r="D98" i="116"/>
  <c r="F98" i="116"/>
  <c r="C6" i="99"/>
  <c r="C127" i="102"/>
  <c r="H127" i="102"/>
  <c r="H6" i="99"/>
  <c r="C151" i="114"/>
  <c r="C152" i="114" s="1"/>
  <c r="C168" i="114" s="1"/>
  <c r="I96" i="116" s="1"/>
  <c r="C15" i="111"/>
  <c r="C16" i="111" s="1"/>
  <c r="D96" i="116" l="1"/>
  <c r="D99" i="116" s="1"/>
  <c r="E123" i="112" s="1"/>
  <c r="E125" i="112" s="1"/>
  <c r="E96" i="116"/>
  <c r="E99" i="116" s="1"/>
  <c r="F123" i="112" s="1"/>
  <c r="F125" i="112" s="1"/>
  <c r="C96" i="116"/>
  <c r="C99" i="116" s="1"/>
  <c r="D123" i="112" s="1"/>
  <c r="D125" i="112" s="1"/>
  <c r="B96" i="116"/>
  <c r="F96" i="116"/>
  <c r="F99" i="116" s="1"/>
  <c r="G123" i="112" s="1"/>
  <c r="G125" i="112" s="1"/>
  <c r="K10" i="99"/>
  <c r="I14" i="99"/>
  <c r="K11" i="99"/>
  <c r="K12" i="99"/>
  <c r="D86" i="99"/>
  <c r="E86" i="99"/>
  <c r="O14" i="99"/>
  <c r="Q12" i="99"/>
  <c r="Q11" i="99"/>
  <c r="Q10" i="99"/>
  <c r="W10" i="99"/>
  <c r="U14" i="99"/>
  <c r="F86" i="99"/>
  <c r="W12" i="99"/>
  <c r="W11" i="99"/>
  <c r="AI12" i="99"/>
  <c r="AI11" i="99"/>
  <c r="AG14" i="99"/>
  <c r="H86" i="99"/>
  <c r="AI10" i="99"/>
  <c r="E10" i="99"/>
  <c r="C86" i="99"/>
  <c r="C14" i="99"/>
  <c r="E11" i="99"/>
  <c r="E12" i="99"/>
  <c r="G86" i="99"/>
  <c r="AA14" i="99"/>
  <c r="AC12" i="99"/>
  <c r="AC10" i="99"/>
  <c r="AC11" i="99"/>
  <c r="G137" i="109" l="1"/>
  <c r="G138" i="109" s="1"/>
  <c r="H137" i="119"/>
  <c r="H138" i="119" s="1"/>
  <c r="D137" i="119"/>
  <c r="D138" i="119" s="1"/>
  <c r="D144" i="119" s="1"/>
  <c r="C137" i="109"/>
  <c r="C138" i="109" s="1"/>
  <c r="C144" i="109" s="1"/>
  <c r="I94" i="105" s="1"/>
  <c r="D131" i="119"/>
  <c r="D132" i="119" s="1"/>
  <c r="D143" i="119" s="1"/>
  <c r="C131" i="109"/>
  <c r="C132" i="109" s="1"/>
  <c r="C143" i="109" s="1"/>
  <c r="I93" i="105" s="1"/>
  <c r="I131" i="119"/>
  <c r="I132" i="119" s="1"/>
  <c r="H131" i="109"/>
  <c r="H132" i="109" s="1"/>
  <c r="I137" i="119"/>
  <c r="I138" i="119" s="1"/>
  <c r="H137" i="109"/>
  <c r="H138" i="109" s="1"/>
  <c r="G131" i="109"/>
  <c r="G132" i="109" s="1"/>
  <c r="H131" i="119"/>
  <c r="H132" i="119" s="1"/>
  <c r="G125" i="109"/>
  <c r="G126" i="109" s="1"/>
  <c r="H125" i="119"/>
  <c r="H126" i="119" s="1"/>
  <c r="AA15" i="99"/>
  <c r="AA16" i="99" s="1"/>
  <c r="D125" i="119"/>
  <c r="D126" i="119" s="1"/>
  <c r="D142" i="119" s="1"/>
  <c r="C125" i="109"/>
  <c r="C126" i="109" s="1"/>
  <c r="C142" i="109" s="1"/>
  <c r="I92" i="105" s="1"/>
  <c r="C15" i="99"/>
  <c r="C16" i="99" s="1"/>
  <c r="F131" i="109"/>
  <c r="F132" i="109" s="1"/>
  <c r="G131" i="119"/>
  <c r="G132" i="119" s="1"/>
  <c r="F131" i="119"/>
  <c r="F132" i="119" s="1"/>
  <c r="E131" i="109"/>
  <c r="E132" i="109" s="1"/>
  <c r="G137" i="119"/>
  <c r="G138" i="119" s="1"/>
  <c r="F137" i="109"/>
  <c r="F138" i="109" s="1"/>
  <c r="F137" i="119"/>
  <c r="F138" i="119" s="1"/>
  <c r="E137" i="109"/>
  <c r="E138" i="109" s="1"/>
  <c r="D125" i="109"/>
  <c r="D126" i="109" s="1"/>
  <c r="E125" i="119"/>
  <c r="E126" i="119" s="1"/>
  <c r="I15" i="99"/>
  <c r="I16" i="99" s="1"/>
  <c r="H125" i="109"/>
  <c r="H126" i="109" s="1"/>
  <c r="AG15" i="99"/>
  <c r="AG16" i="99" s="1"/>
  <c r="I125" i="119"/>
  <c r="I126" i="119" s="1"/>
  <c r="G128" i="112"/>
  <c r="G6" i="112"/>
  <c r="G127" i="115"/>
  <c r="G125" i="119"/>
  <c r="G126" i="119" s="1"/>
  <c r="F125" i="109"/>
  <c r="F126" i="109" s="1"/>
  <c r="U15" i="99"/>
  <c r="U16" i="99" s="1"/>
  <c r="G96" i="116"/>
  <c r="G99" i="116" s="1"/>
  <c r="H123" i="112" s="1"/>
  <c r="H125" i="112" s="1"/>
  <c r="B99" i="116"/>
  <c r="C123" i="112" s="1"/>
  <c r="C125" i="112" s="1"/>
  <c r="D128" i="112"/>
  <c r="D6" i="112"/>
  <c r="D127" i="115"/>
  <c r="E137" i="119"/>
  <c r="E138" i="119" s="1"/>
  <c r="D137" i="109"/>
  <c r="D138" i="109" s="1"/>
  <c r="F128" i="112"/>
  <c r="F6" i="112"/>
  <c r="F127" i="115"/>
  <c r="F125" i="119"/>
  <c r="F126" i="119" s="1"/>
  <c r="O15" i="99"/>
  <c r="O16" i="99" s="1"/>
  <c r="E125" i="109"/>
  <c r="E126" i="109" s="1"/>
  <c r="E131" i="119"/>
  <c r="E132" i="119" s="1"/>
  <c r="D131" i="109"/>
  <c r="D132" i="109" s="1"/>
  <c r="E128" i="112"/>
  <c r="E6" i="112"/>
  <c r="E127" i="115"/>
  <c r="E93" i="105" l="1"/>
  <c r="F93" i="105"/>
  <c r="C93" i="105"/>
  <c r="B93" i="105"/>
  <c r="G93" i="105" s="1"/>
  <c r="D93" i="105"/>
  <c r="K12" i="112"/>
  <c r="D137" i="114" s="1"/>
  <c r="D138" i="114" s="1"/>
  <c r="K10" i="112"/>
  <c r="I14" i="112"/>
  <c r="K11" i="112"/>
  <c r="D131" i="114" s="1"/>
  <c r="D132" i="114" s="1"/>
  <c r="D86" i="112"/>
  <c r="AA14" i="112"/>
  <c r="AC11" i="112"/>
  <c r="G131" i="114" s="1"/>
  <c r="G132" i="114" s="1"/>
  <c r="G86" i="112"/>
  <c r="AC12" i="112"/>
  <c r="G137" i="114" s="1"/>
  <c r="G138" i="114" s="1"/>
  <c r="AC10" i="112"/>
  <c r="B94" i="105"/>
  <c r="G94" i="105" s="1"/>
  <c r="E94" i="105"/>
  <c r="D94" i="105"/>
  <c r="F94" i="105"/>
  <c r="C94" i="105"/>
  <c r="Q10" i="112"/>
  <c r="Q11" i="112"/>
  <c r="E131" i="114" s="1"/>
  <c r="E132" i="114" s="1"/>
  <c r="E86" i="112"/>
  <c r="Q12" i="112"/>
  <c r="E137" i="114" s="1"/>
  <c r="E138" i="114" s="1"/>
  <c r="O14" i="112"/>
  <c r="C128" i="112"/>
  <c r="C131" i="112" s="1"/>
  <c r="C127" i="115"/>
  <c r="C6" i="112"/>
  <c r="H128" i="112"/>
  <c r="H127" i="115"/>
  <c r="H6" i="112"/>
  <c r="D92" i="105"/>
  <c r="B92" i="105"/>
  <c r="E92" i="105"/>
  <c r="C92" i="105"/>
  <c r="F92" i="105"/>
  <c r="U14" i="112"/>
  <c r="W12" i="112"/>
  <c r="F137" i="114" s="1"/>
  <c r="F138" i="114" s="1"/>
  <c r="F86" i="112"/>
  <c r="W10" i="112"/>
  <c r="W11" i="112"/>
  <c r="F131" i="114" s="1"/>
  <c r="F132" i="114" s="1"/>
  <c r="F95" i="105" l="1"/>
  <c r="G128" i="102" s="1"/>
  <c r="G130" i="102" s="1"/>
  <c r="G6" i="102" s="1"/>
  <c r="AC11" i="102" s="1"/>
  <c r="D95" i="105"/>
  <c r="E128" i="102" s="1"/>
  <c r="E130" i="102" s="1"/>
  <c r="E6" i="102" s="1"/>
  <c r="O14" i="102" s="1"/>
  <c r="C95" i="105"/>
  <c r="D128" i="102" s="1"/>
  <c r="D130" i="102" s="1"/>
  <c r="D6" i="102" s="1"/>
  <c r="D102" i="102" s="1"/>
  <c r="E95" i="105"/>
  <c r="F128" i="102" s="1"/>
  <c r="F130" i="102" s="1"/>
  <c r="F6" i="102" s="1"/>
  <c r="W10" i="102" s="1"/>
  <c r="E125" i="114"/>
  <c r="E126" i="114" s="1"/>
  <c r="O15" i="112"/>
  <c r="O16" i="112" s="1"/>
  <c r="G92" i="105"/>
  <c r="G95" i="105" s="1"/>
  <c r="H128" i="102" s="1"/>
  <c r="H130" i="102" s="1"/>
  <c r="H6" i="102" s="1"/>
  <c r="B95" i="105"/>
  <c r="C128" i="102" s="1"/>
  <c r="C130" i="102" s="1"/>
  <c r="C6" i="102" s="1"/>
  <c r="F125" i="114"/>
  <c r="F126" i="114" s="1"/>
  <c r="U15" i="112"/>
  <c r="U16" i="112" s="1"/>
  <c r="AG14" i="112"/>
  <c r="AI10" i="112"/>
  <c r="AI12" i="112"/>
  <c r="H137" i="114" s="1"/>
  <c r="H138" i="114" s="1"/>
  <c r="AI11" i="112"/>
  <c r="H131" i="114" s="1"/>
  <c r="H132" i="114" s="1"/>
  <c r="H86" i="112"/>
  <c r="E10" i="112"/>
  <c r="C14" i="112"/>
  <c r="C86" i="112"/>
  <c r="E11" i="112"/>
  <c r="C131" i="114" s="1"/>
  <c r="C132" i="114" s="1"/>
  <c r="C143" i="114" s="1"/>
  <c r="I92" i="116" s="1"/>
  <c r="E12" i="112"/>
  <c r="C137" i="114" s="1"/>
  <c r="C138" i="114" s="1"/>
  <c r="C144" i="114" s="1"/>
  <c r="I93" i="116" s="1"/>
  <c r="G125" i="114"/>
  <c r="G126" i="114" s="1"/>
  <c r="AA15" i="112"/>
  <c r="AA16" i="112" s="1"/>
  <c r="I15" i="112"/>
  <c r="I16" i="112" s="1"/>
  <c r="D125" i="114"/>
  <c r="D126" i="114" s="1"/>
  <c r="Q11" i="102" l="1"/>
  <c r="F104" i="119" s="1"/>
  <c r="F105" i="119" s="1"/>
  <c r="E102" i="102"/>
  <c r="Q12" i="102"/>
  <c r="F110" i="119" s="1"/>
  <c r="F111" i="119" s="1"/>
  <c r="Q10" i="102"/>
  <c r="E98" i="109" s="1"/>
  <c r="E99" i="109" s="1"/>
  <c r="G102" i="102"/>
  <c r="AA14" i="102"/>
  <c r="AC12" i="102"/>
  <c r="G110" i="109" s="1"/>
  <c r="G111" i="109" s="1"/>
  <c r="AC10" i="102"/>
  <c r="H98" i="119" s="1"/>
  <c r="H99" i="119" s="1"/>
  <c r="W12" i="102"/>
  <c r="G110" i="119" s="1"/>
  <c r="G111" i="119" s="1"/>
  <c r="K10" i="102"/>
  <c r="D98" i="109" s="1"/>
  <c r="D99" i="109" s="1"/>
  <c r="U14" i="102"/>
  <c r="K12" i="102"/>
  <c r="E110" i="119" s="1"/>
  <c r="E111" i="119" s="1"/>
  <c r="W11" i="102"/>
  <c r="G104" i="119" s="1"/>
  <c r="G105" i="119" s="1"/>
  <c r="F102" i="102"/>
  <c r="K11" i="102"/>
  <c r="D104" i="109" s="1"/>
  <c r="D105" i="109" s="1"/>
  <c r="I14" i="102"/>
  <c r="C14" i="102"/>
  <c r="E10" i="102"/>
  <c r="I6" i="102"/>
  <c r="C102" i="102"/>
  <c r="E11" i="102"/>
  <c r="E12" i="102"/>
  <c r="AG14" i="102"/>
  <c r="AI11" i="102"/>
  <c r="H102" i="102"/>
  <c r="AI12" i="102"/>
  <c r="AI10" i="102"/>
  <c r="AG15" i="112"/>
  <c r="AG16" i="112" s="1"/>
  <c r="H125" i="114"/>
  <c r="H126" i="114" s="1"/>
  <c r="F92" i="116"/>
  <c r="B92" i="116"/>
  <c r="G92" i="116" s="1"/>
  <c r="E92" i="116"/>
  <c r="D92" i="116"/>
  <c r="C92" i="116"/>
  <c r="B93" i="116"/>
  <c r="G93" i="116" s="1"/>
  <c r="D93" i="116"/>
  <c r="F93" i="116"/>
  <c r="C93" i="116"/>
  <c r="E93" i="116"/>
  <c r="C15" i="112"/>
  <c r="C16" i="112" s="1"/>
  <c r="C125" i="114"/>
  <c r="C126" i="114" s="1"/>
  <c r="C142" i="114" s="1"/>
  <c r="I91" i="116" s="1"/>
  <c r="F98" i="109"/>
  <c r="F99" i="109" s="1"/>
  <c r="G98" i="119"/>
  <c r="G99" i="119" s="1"/>
  <c r="U15" i="102"/>
  <c r="O15" i="102"/>
  <c r="O16" i="102" s="1"/>
  <c r="AA15" i="102"/>
  <c r="H104" i="119"/>
  <c r="H105" i="119" s="1"/>
  <c r="G104" i="109"/>
  <c r="G105" i="109" s="1"/>
  <c r="E104" i="109" l="1"/>
  <c r="E105" i="109" s="1"/>
  <c r="I15" i="102"/>
  <c r="I16" i="102" s="1"/>
  <c r="F98" i="119"/>
  <c r="F99" i="119" s="1"/>
  <c r="H110" i="119"/>
  <c r="H111" i="119" s="1"/>
  <c r="E110" i="109"/>
  <c r="E111" i="109" s="1"/>
  <c r="AA16" i="102"/>
  <c r="G98" i="109"/>
  <c r="G99" i="109" s="1"/>
  <c r="F110" i="109"/>
  <c r="F111" i="109" s="1"/>
  <c r="E98" i="119"/>
  <c r="E99" i="119" s="1"/>
  <c r="D110" i="109"/>
  <c r="D111" i="109" s="1"/>
  <c r="F104" i="109"/>
  <c r="F105" i="109" s="1"/>
  <c r="U16" i="102"/>
  <c r="E104" i="119"/>
  <c r="E105" i="119" s="1"/>
  <c r="C110" i="109"/>
  <c r="C111" i="109" s="1"/>
  <c r="C116" i="109" s="1"/>
  <c r="D110" i="119"/>
  <c r="D111" i="119" s="1"/>
  <c r="D116" i="119" s="1"/>
  <c r="H98" i="109"/>
  <c r="H99" i="109" s="1"/>
  <c r="I98" i="119"/>
  <c r="I99" i="119" s="1"/>
  <c r="AK10" i="102"/>
  <c r="AM10" i="102" s="1"/>
  <c r="AG15" i="102"/>
  <c r="AG16" i="102" s="1"/>
  <c r="D104" i="119"/>
  <c r="D105" i="119" s="1"/>
  <c r="D115" i="119" s="1"/>
  <c r="C104" i="109"/>
  <c r="C105" i="109" s="1"/>
  <c r="C115" i="109" s="1"/>
  <c r="D91" i="116"/>
  <c r="D94" i="116" s="1"/>
  <c r="E128" i="115" s="1"/>
  <c r="E130" i="115" s="1"/>
  <c r="E6" i="115" s="1"/>
  <c r="F91" i="116"/>
  <c r="F94" i="116" s="1"/>
  <c r="G128" i="115" s="1"/>
  <c r="G130" i="115" s="1"/>
  <c r="G6" i="115" s="1"/>
  <c r="B91" i="116"/>
  <c r="E91" i="116"/>
  <c r="E94" i="116" s="1"/>
  <c r="F128" i="115" s="1"/>
  <c r="F130" i="115" s="1"/>
  <c r="F6" i="115" s="1"/>
  <c r="C91" i="116"/>
  <c r="C94" i="116" s="1"/>
  <c r="D128" i="115" s="1"/>
  <c r="D130" i="115" s="1"/>
  <c r="D6" i="115" s="1"/>
  <c r="AK12" i="102"/>
  <c r="AM12" i="102" s="1"/>
  <c r="I110" i="119"/>
  <c r="I111" i="119" s="1"/>
  <c r="H110" i="109"/>
  <c r="H111" i="109" s="1"/>
  <c r="H104" i="109"/>
  <c r="H105" i="109" s="1"/>
  <c r="AK11" i="102"/>
  <c r="AM11" i="102" s="1"/>
  <c r="I104" i="119"/>
  <c r="I105" i="119" s="1"/>
  <c r="C98" i="109"/>
  <c r="C99" i="109" s="1"/>
  <c r="C114" i="109" s="1"/>
  <c r="D98" i="119"/>
  <c r="D99" i="119" s="1"/>
  <c r="D114" i="119" s="1"/>
  <c r="C15" i="102"/>
  <c r="C16" i="102" s="1"/>
  <c r="I14" i="115" l="1"/>
  <c r="K10" i="115"/>
  <c r="K12" i="115"/>
  <c r="D110" i="114" s="1"/>
  <c r="D111" i="114" s="1"/>
  <c r="K11" i="115"/>
  <c r="D104" i="114" s="1"/>
  <c r="D105" i="114" s="1"/>
  <c r="D102" i="115"/>
  <c r="U14" i="115"/>
  <c r="W11" i="115"/>
  <c r="F104" i="114" s="1"/>
  <c r="F105" i="114" s="1"/>
  <c r="F102" i="115"/>
  <c r="W12" i="115"/>
  <c r="F110" i="114" s="1"/>
  <c r="F111" i="114" s="1"/>
  <c r="W10" i="115"/>
  <c r="G91" i="116"/>
  <c r="G94" i="116" s="1"/>
  <c r="H128" i="115" s="1"/>
  <c r="H130" i="115" s="1"/>
  <c r="H6" i="115" s="1"/>
  <c r="B94" i="116"/>
  <c r="C128" i="115" s="1"/>
  <c r="C130" i="115" s="1"/>
  <c r="C6" i="115" s="1"/>
  <c r="AC12" i="115"/>
  <c r="G110" i="114" s="1"/>
  <c r="G111" i="114" s="1"/>
  <c r="AA14" i="115"/>
  <c r="G102" i="115"/>
  <c r="AC10" i="115"/>
  <c r="AC11" i="115"/>
  <c r="G104" i="114" s="1"/>
  <c r="G105" i="114" s="1"/>
  <c r="Q10" i="115"/>
  <c r="Q11" i="115"/>
  <c r="E104" i="114" s="1"/>
  <c r="E105" i="114" s="1"/>
  <c r="Q12" i="115"/>
  <c r="E110" i="114" s="1"/>
  <c r="E111" i="114" s="1"/>
  <c r="E102" i="115"/>
  <c r="O14" i="115"/>
  <c r="G98" i="114" l="1"/>
  <c r="G99" i="114" s="1"/>
  <c r="AA15" i="115"/>
  <c r="AA16" i="115" s="1"/>
  <c r="C14" i="115"/>
  <c r="E12" i="115"/>
  <c r="C110" i="114" s="1"/>
  <c r="C111" i="114" s="1"/>
  <c r="C116" i="114" s="1"/>
  <c r="E10" i="115"/>
  <c r="C102" i="115"/>
  <c r="I6" i="115"/>
  <c r="E11" i="115"/>
  <c r="C104" i="114" s="1"/>
  <c r="C105" i="114" s="1"/>
  <c r="C115" i="114" s="1"/>
  <c r="AI12" i="115"/>
  <c r="AG14" i="115"/>
  <c r="AI11" i="115"/>
  <c r="AI10" i="115"/>
  <c r="H102" i="115"/>
  <c r="E98" i="114"/>
  <c r="E99" i="114" s="1"/>
  <c r="O15" i="115"/>
  <c r="O16" i="115" s="1"/>
  <c r="F98" i="114"/>
  <c r="F99" i="114" s="1"/>
  <c r="U15" i="115"/>
  <c r="U16" i="115" s="1"/>
  <c r="D98" i="114"/>
  <c r="D99" i="114" s="1"/>
  <c r="I15" i="115"/>
  <c r="I16" i="115" s="1"/>
  <c r="C98" i="114" l="1"/>
  <c r="C99" i="114" s="1"/>
  <c r="C114" i="114" s="1"/>
  <c r="C15" i="115"/>
  <c r="C16" i="115" s="1"/>
  <c r="AK12" i="115"/>
  <c r="AM12" i="115" s="1"/>
  <c r="H110" i="114"/>
  <c r="H111" i="114" s="1"/>
  <c r="AK10" i="115"/>
  <c r="AM10" i="115" s="1"/>
  <c r="H98" i="114"/>
  <c r="H99" i="114" s="1"/>
  <c r="AG15" i="115"/>
  <c r="AG16" i="115" s="1"/>
  <c r="AK11" i="115"/>
  <c r="AM11" i="115" s="1"/>
  <c r="H104" i="114"/>
  <c r="H105" i="114" s="1"/>
  <c r="C117" i="138"/>
  <c r="C24" i="138"/>
  <c r="C41" i="138" s="1"/>
  <c r="C112" i="138" s="1"/>
  <c r="C33" i="24" s="1"/>
  <c r="C54" i="24" s="1"/>
  <c r="C63" i="24" l="1"/>
  <c r="C72" i="24"/>
  <c r="C58" i="24"/>
  <c r="B8" i="72"/>
  <c r="C15" i="73" s="1"/>
  <c r="C3" i="76"/>
  <c r="C8" i="76" s="1"/>
  <c r="C12" i="76" s="1"/>
  <c r="C15" i="76" s="1"/>
  <c r="D15" i="73" l="1"/>
  <c r="D18" i="73"/>
  <c r="B77" i="24"/>
  <c r="B36" i="127"/>
  <c r="C70" i="24"/>
  <c r="I70" i="24" s="1"/>
  <c r="I72" i="24" s="1"/>
  <c r="C7" i="23"/>
  <c r="C10" i="23" s="1"/>
  <c r="C7" i="117"/>
  <c r="C10" i="117" s="1"/>
  <c r="C12" i="117" s="1"/>
  <c r="F12" i="117" s="1"/>
  <c r="F36" i="127" l="1"/>
  <c r="B73" i="127" s="1"/>
  <c r="C83" i="127" s="1"/>
  <c r="C84" i="127" s="1"/>
  <c r="B42" i="127"/>
  <c r="H77" i="24"/>
  <c r="B81" i="24"/>
  <c r="H81" i="24" s="1"/>
  <c r="B84" i="24"/>
  <c r="C30" i="23"/>
  <c r="C33" i="23" s="1"/>
  <c r="C35" i="23" s="1"/>
  <c r="C37" i="23" s="1"/>
  <c r="C30" i="117"/>
  <c r="C33" i="117" s="1"/>
  <c r="C35" i="117" s="1"/>
  <c r="C37" i="117" s="1"/>
  <c r="I18" i="73"/>
  <c r="C88" i="73" s="1"/>
  <c r="D88" i="73" s="1"/>
  <c r="C22" i="73"/>
  <c r="D22" i="73" l="1"/>
  <c r="I22" i="73" s="1"/>
  <c r="D97" i="73"/>
  <c r="C55" i="24" s="1"/>
  <c r="C69" i="24" s="1"/>
  <c r="H84" i="24"/>
  <c r="H89" i="24" s="1"/>
  <c r="B89" i="24"/>
  <c r="J36" i="127"/>
  <c r="C19" i="117" l="1"/>
  <c r="C22" i="117" s="1"/>
  <c r="C24" i="117" s="1"/>
  <c r="C19" i="23"/>
  <c r="C22" i="23" s="1"/>
  <c r="C24" i="2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<sst xmlns="http://schemas.openxmlformats.org/spreadsheetml/2006/main" count="12748" uniqueCount="1473">
  <si>
    <t>GTSM</t>
  </si>
  <si>
    <t>DSP</t>
  </si>
  <si>
    <t>DSPX</t>
  </si>
  <si>
    <t>DLDL</t>
  </si>
  <si>
    <t>DAPL</t>
  </si>
  <si>
    <t>CCKP</t>
  </si>
  <si>
    <t>CAES</t>
  </si>
  <si>
    <t>DCPL</t>
  </si>
  <si>
    <t>DHOR</t>
  </si>
  <si>
    <t>DMAT</t>
  </si>
  <si>
    <t>DPUT</t>
  </si>
  <si>
    <t>DEMB</t>
  </si>
  <si>
    <t>GTKW</t>
  </si>
  <si>
    <t>CCKW</t>
  </si>
  <si>
    <t>CPUT</t>
  </si>
  <si>
    <t>RENW</t>
  </si>
  <si>
    <t>GT1</t>
  </si>
  <si>
    <t>GT3</t>
  </si>
  <si>
    <t>CTRC</t>
  </si>
  <si>
    <t>COSB</t>
  </si>
  <si>
    <t>B1</t>
  </si>
  <si>
    <t>B2</t>
  </si>
  <si>
    <t>B3</t>
  </si>
  <si>
    <t>Capacity Charge</t>
  </si>
  <si>
    <t>Energy Charge</t>
  </si>
  <si>
    <t>Ratio for prorating primary fuel</t>
  </si>
  <si>
    <t>Transmission Losses Factor</t>
  </si>
  <si>
    <t>Month</t>
  </si>
  <si>
    <t>Forecasted transmission losses</t>
  </si>
  <si>
    <t>Block 1</t>
  </si>
  <si>
    <t>Total forecasted energy supplied</t>
  </si>
  <si>
    <t>TOTAL</t>
  </si>
  <si>
    <t>Block 2</t>
  </si>
  <si>
    <t>Block 3</t>
  </si>
  <si>
    <t>Capacity Transmission tariff (TR) &amp; Bulk Supply and Operations Business Tariff (BSS)</t>
  </si>
  <si>
    <t>System Coincidental Peak demand</t>
  </si>
  <si>
    <t>Unit</t>
  </si>
  <si>
    <t>%</t>
  </si>
  <si>
    <t xml:space="preserve">Forecasted TLF </t>
  </si>
  <si>
    <t>MW</t>
  </si>
  <si>
    <t>Bulk Supply and Operations Business Tariff (BSS)</t>
  </si>
  <si>
    <t>Capacity Transmission tariff (TR)</t>
  </si>
  <si>
    <t>SLR/MW</t>
  </si>
  <si>
    <t>Item</t>
  </si>
  <si>
    <t xml:space="preserve">Month </t>
  </si>
  <si>
    <t>Generation capacity</t>
  </si>
  <si>
    <t>Transmission</t>
  </si>
  <si>
    <t>Bulk Supply Service</t>
  </si>
  <si>
    <t>Transmission Loss Factor B1</t>
  </si>
  <si>
    <t>BST (E1)</t>
  </si>
  <si>
    <t>BST (E2)</t>
  </si>
  <si>
    <t>BST (E3)</t>
  </si>
  <si>
    <t>BST (C)</t>
  </si>
  <si>
    <t>Generation Capacity Cost</t>
  </si>
  <si>
    <t>Capacity Payment</t>
  </si>
  <si>
    <t>Generation Capacity cost</t>
  </si>
  <si>
    <t>GWh</t>
  </si>
  <si>
    <t>Mahaweli</t>
  </si>
  <si>
    <t>Laxapana</t>
  </si>
  <si>
    <t>Other hydro</t>
  </si>
  <si>
    <t>Mn. SLR</t>
  </si>
  <si>
    <t>Plant\Month</t>
  </si>
  <si>
    <t>Item\Month</t>
  </si>
  <si>
    <t xml:space="preserve">Transmission system allowed revenue </t>
  </si>
  <si>
    <t xml:space="preserve">BSOB allowed revenue </t>
  </si>
  <si>
    <t>Other Hydro</t>
  </si>
  <si>
    <t>Data</t>
  </si>
  <si>
    <t>Cell's colour reference</t>
  </si>
  <si>
    <t>Blue cells</t>
  </si>
  <si>
    <t>White cells</t>
  </si>
  <si>
    <t>Internal calculations: these cells shouldn't be changed</t>
  </si>
  <si>
    <t>Yellow cells</t>
  </si>
  <si>
    <t>Key results: these cells shouldn't be changed</t>
  </si>
  <si>
    <t>These cells can be changed; they should be filled in with actual data</t>
  </si>
  <si>
    <t>Summary</t>
  </si>
  <si>
    <t>Transmission &amp; Bulk Supply and Operations Business Tariffs</t>
  </si>
  <si>
    <t>Generation tariffs</t>
  </si>
  <si>
    <t>Inputs</t>
  </si>
  <si>
    <t>Fuel prices</t>
  </si>
  <si>
    <t>Coal</t>
  </si>
  <si>
    <t xml:space="preserve">Fuel </t>
  </si>
  <si>
    <t>Crude</t>
  </si>
  <si>
    <t>Auto Diesel</t>
  </si>
  <si>
    <t>Heavy Fuel</t>
  </si>
  <si>
    <t>Naphta</t>
  </si>
  <si>
    <t>US$ per barrel</t>
  </si>
  <si>
    <t>Rs/ litre</t>
  </si>
  <si>
    <t xml:space="preserve">Fuel Oil Price </t>
  </si>
  <si>
    <t>SLR/kWh</t>
  </si>
  <si>
    <t>Primary fuel</t>
  </si>
  <si>
    <t>Secondary fuel</t>
  </si>
  <si>
    <t xml:space="preserve">Exchange Rates </t>
  </si>
  <si>
    <t>Transport fuel</t>
  </si>
  <si>
    <t>Money currencies</t>
  </si>
  <si>
    <t>SLR</t>
  </si>
  <si>
    <t>Yen</t>
  </si>
  <si>
    <t>Euro</t>
  </si>
  <si>
    <t>US$</t>
  </si>
  <si>
    <t>barrel</t>
  </si>
  <si>
    <t>Currency</t>
  </si>
  <si>
    <t>Fuel Unit</t>
  </si>
  <si>
    <t>Units</t>
  </si>
  <si>
    <t xml:space="preserve">litre </t>
  </si>
  <si>
    <t>kg</t>
  </si>
  <si>
    <t>Auxiliary Sheet - Lists definition</t>
  </si>
  <si>
    <t>SLR / SLR</t>
  </si>
  <si>
    <t>SLR / US$</t>
  </si>
  <si>
    <t>SLR / Yen</t>
  </si>
  <si>
    <t>SLR / Euro</t>
  </si>
  <si>
    <t>Water</t>
  </si>
  <si>
    <t>CEB Plants</t>
  </si>
  <si>
    <t>GT7</t>
  </si>
  <si>
    <t>KPS combined cycle</t>
  </si>
  <si>
    <t>IPPs Plants</t>
  </si>
  <si>
    <t xml:space="preserve">Fuel Oil </t>
  </si>
  <si>
    <t>Lube Oil (Barge)</t>
  </si>
  <si>
    <t>Lube Oil (Lakdhanavi)</t>
  </si>
  <si>
    <t>Lube Oil (Asia)</t>
  </si>
  <si>
    <t>Lube Oil (Ace Horana, Matara)</t>
  </si>
  <si>
    <t>Heavy Fuel (Asia)</t>
  </si>
  <si>
    <t xml:space="preserve">Distillete Fuel Oil </t>
  </si>
  <si>
    <t xml:space="preserve">Furnace Oil </t>
  </si>
  <si>
    <t xml:space="preserve">Capacity Charge </t>
  </si>
  <si>
    <t>Escalabale Component based on MGEA of 697 gWh</t>
  </si>
  <si>
    <t xml:space="preserve">     Base US$ / kWh</t>
  </si>
  <si>
    <t>US CPI current</t>
  </si>
  <si>
    <t xml:space="preserve">       Charge each year US$ / kWh</t>
  </si>
  <si>
    <t>Non - Escalabale Component based on MGEA of 697 gWh</t>
  </si>
  <si>
    <t xml:space="preserve">     Charge each year US$ / kWh</t>
  </si>
  <si>
    <t>Lube Oil Rate kg/kWh</t>
  </si>
  <si>
    <t>Lube Oil Price Rs/kg</t>
  </si>
  <si>
    <t>Lube Oil Rate Rs / kWh</t>
  </si>
  <si>
    <t>Non Fuel Component</t>
  </si>
  <si>
    <t xml:space="preserve">200  stops free </t>
  </si>
  <si>
    <t>Energy Sent Out</t>
  </si>
  <si>
    <t>Energy Cost Rs / kWh</t>
  </si>
  <si>
    <t>Financial Charge</t>
  </si>
  <si>
    <t>CPI - current</t>
  </si>
  <si>
    <t>Yen CPI current</t>
  </si>
  <si>
    <t>Euro CPI current</t>
  </si>
  <si>
    <t>SLR CPI current</t>
  </si>
  <si>
    <t xml:space="preserve">Fuel Transport Rate </t>
  </si>
  <si>
    <t xml:space="preserve">Base Auto Diesel Price </t>
  </si>
  <si>
    <t xml:space="preserve">Current Auto Diesel Price </t>
  </si>
  <si>
    <t xml:space="preserve">Fuel Oil rate </t>
  </si>
  <si>
    <t>Exchange rate from SLR into</t>
  </si>
  <si>
    <t xml:space="preserve"> Year 1-3  Rate </t>
  </si>
  <si>
    <t xml:space="preserve"> Year 4-7  Rate </t>
  </si>
  <si>
    <t xml:space="preserve">TOTAL CAPACITY CHARGE </t>
  </si>
  <si>
    <t xml:space="preserve">TOTAL ENERGY CHARGE </t>
  </si>
  <si>
    <t>Capacity</t>
  </si>
  <si>
    <t xml:space="preserve">     CPI for base</t>
  </si>
  <si>
    <t xml:space="preserve">     CPI current</t>
  </si>
  <si>
    <t>Plant name</t>
  </si>
  <si>
    <t>Code</t>
  </si>
  <si>
    <t>Small Gas Turbine</t>
  </si>
  <si>
    <t>Diesel Sapugaskanda</t>
  </si>
  <si>
    <t>Diesel Sapugaskanda Extension</t>
  </si>
  <si>
    <t>Gas Turbine 7</t>
  </si>
  <si>
    <t>Coal Puttalam</t>
  </si>
  <si>
    <t>Gas Turbine 1</t>
  </si>
  <si>
    <t>Gas Turbine 2</t>
  </si>
  <si>
    <t>Coal Trinco</t>
  </si>
  <si>
    <t>Lakdhanavi Diesel</t>
  </si>
  <si>
    <t>Asia Power Diesel</t>
  </si>
  <si>
    <t>Kelanitissa Combined Cycle</t>
  </si>
  <si>
    <t>Colombo Power Diesel</t>
  </si>
  <si>
    <t>Horana Diesel</t>
  </si>
  <si>
    <t>Matara Diesel</t>
  </si>
  <si>
    <t>Puttalam Diesel</t>
  </si>
  <si>
    <t>Embilipitiya Diesel</t>
  </si>
  <si>
    <t>Kerawalipitiya Combined Cycle</t>
  </si>
  <si>
    <t>AES Combined Cycle</t>
  </si>
  <si>
    <t>Renewables</t>
  </si>
  <si>
    <t>Generation Energy Cost</t>
  </si>
  <si>
    <t>TOTAL generated energy</t>
  </si>
  <si>
    <t>Energy price and Energy generated in each plant</t>
  </si>
  <si>
    <t>Generation Energy cost</t>
  </si>
  <si>
    <t>Average Generation Energy  cost</t>
  </si>
  <si>
    <t>Total Average cost</t>
  </si>
  <si>
    <t>Total Block cost</t>
  </si>
  <si>
    <t>Block</t>
  </si>
  <si>
    <t>Energy generated (GWh)</t>
  </si>
  <si>
    <t>Charge
(SLR/kWh)</t>
  </si>
  <si>
    <t>Difference</t>
  </si>
  <si>
    <t>Adjusted Factor
(#)</t>
  </si>
  <si>
    <t>Block Factor
(#)</t>
  </si>
  <si>
    <t>Adjustment factor</t>
  </si>
  <si>
    <t>#</t>
  </si>
  <si>
    <t>Others</t>
  </si>
  <si>
    <t>Compensations</t>
  </si>
  <si>
    <t>Settlements</t>
  </si>
  <si>
    <t>BSOBWK allowance</t>
  </si>
  <si>
    <t>BST (C)
6-Month Weighed average</t>
  </si>
  <si>
    <t>Generation energy Cost B1</t>
  </si>
  <si>
    <t>Transmission Loss Factor B2</t>
  </si>
  <si>
    <t>Generation energy Cost B2</t>
  </si>
  <si>
    <t>Transmission Loss Factor B3</t>
  </si>
  <si>
    <t>Generation energy Cost B3</t>
  </si>
  <si>
    <t>BST (E1)
6-Month Weighed average</t>
  </si>
  <si>
    <t>BST (E2)
6-Month Weighed average</t>
  </si>
  <si>
    <t>BST (E3)
6-Month Weighed average</t>
  </si>
  <si>
    <t>Ace Horana   (10 yrs from 2002)</t>
  </si>
  <si>
    <t>for Minimum Guaranteed Energy of 167 gWh p.a, US$/kWh</t>
  </si>
  <si>
    <t xml:space="preserve"> Year 8-10  Rate </t>
  </si>
  <si>
    <t>for Minimum Guaranteed Energy of 698 gWh p.a, US$/kWh</t>
  </si>
  <si>
    <t>Escalabale Component based on MGEA of 698 gWh</t>
  </si>
  <si>
    <t>Heladhanavi (10 yrs from 2004)</t>
  </si>
  <si>
    <t>Colombo Power (15 yrs from 2000)</t>
  </si>
  <si>
    <t>for Minimum Guaranteed Energy of 420gWh p.a, US$/kWh</t>
  </si>
  <si>
    <t>Non - Escalabale Component based on MGEA of 420 gWh</t>
  </si>
  <si>
    <t xml:space="preserve">     Base JPY / kWh</t>
  </si>
  <si>
    <t xml:space="preserve">     Charge each year JPY / kWh</t>
  </si>
  <si>
    <t xml:space="preserve">     Base Rs / kWh</t>
  </si>
  <si>
    <t>Rs/kWh</t>
  </si>
  <si>
    <t>Fuel Oil rate (Operating Year 11 - 15)</t>
  </si>
  <si>
    <t>Lube Oil Rate Rs/kWh</t>
  </si>
  <si>
    <t>Lube Oil Base Price Rs/kJ</t>
  </si>
  <si>
    <t>JPY/kWh</t>
  </si>
  <si>
    <t>Energy Charge Non Fuel</t>
  </si>
  <si>
    <t xml:space="preserve">       Charge each year Rs / kWh</t>
  </si>
  <si>
    <t xml:space="preserve">   US  CPI current</t>
  </si>
  <si>
    <t xml:space="preserve"> US  CPI for base</t>
  </si>
  <si>
    <t xml:space="preserve"> Yen  CPI for base</t>
  </si>
  <si>
    <t xml:space="preserve">    Charge each Non Fuel Component Rate US$/kWh</t>
  </si>
  <si>
    <t>US$/kWh</t>
  </si>
  <si>
    <t xml:space="preserve">    Charge each Non Fuel Component Rate Yen/kWh</t>
  </si>
  <si>
    <t>Escalabale Component based on MGEA of 420 gWh</t>
  </si>
  <si>
    <t>Escalabale Component based on MGEA of 330 gWh</t>
  </si>
  <si>
    <t xml:space="preserve">Financial Charge Rate </t>
  </si>
  <si>
    <t xml:space="preserve">    SLR  CPI for base</t>
  </si>
  <si>
    <t xml:space="preserve">    USCPI base</t>
  </si>
  <si>
    <t xml:space="preserve">    USCPI Current</t>
  </si>
  <si>
    <t>Fix Operating Charge</t>
  </si>
  <si>
    <t>US$ / kWh</t>
  </si>
  <si>
    <t>Base Fix Operating Charge Rate Rupee</t>
  </si>
  <si>
    <t>Base Fix Operating Charge Rate Dollar</t>
  </si>
  <si>
    <t>Fix Operating Charge Rupee</t>
  </si>
  <si>
    <t xml:space="preserve">    Base exchange Rate</t>
  </si>
  <si>
    <t>Rs/ US$</t>
  </si>
  <si>
    <t>Fix Operating Charge Dollar</t>
  </si>
  <si>
    <t>Operating Charge</t>
  </si>
  <si>
    <t>Variable Operating Charge</t>
  </si>
  <si>
    <t>Variable Operating Charge Rupee component Rate</t>
  </si>
  <si>
    <t>Base Variable Operating Charge Rupee component Rate</t>
  </si>
  <si>
    <t>Base Non Maintenance Variable Operating Charge Dollar Component Rate</t>
  </si>
  <si>
    <t>Base Maintenance Variable Operating Charge Dollar Component Rate</t>
  </si>
  <si>
    <t xml:space="preserve"> Variable Operating Charge Dollar Component Rate</t>
  </si>
  <si>
    <t>Base U.S Dollar / Deutschmark exchange rate</t>
  </si>
  <si>
    <t>Base retail price Index of German Federal</t>
  </si>
  <si>
    <t xml:space="preserve">Lube Oil Base Unit rate </t>
  </si>
  <si>
    <t xml:space="preserve">Heavy Fuel Oil Base Unit rate </t>
  </si>
  <si>
    <t>Heavy Fuel Oil Base Price</t>
  </si>
  <si>
    <t>Rs/l</t>
  </si>
  <si>
    <t>kJ / kWh</t>
  </si>
  <si>
    <t>Cost of HFO</t>
  </si>
  <si>
    <t>SLR/kJ</t>
  </si>
  <si>
    <t>Cost of Lube Oil</t>
  </si>
  <si>
    <t>Rs / l</t>
  </si>
  <si>
    <t>Lube Oil Base Price</t>
  </si>
  <si>
    <t xml:space="preserve"> Rs / l</t>
  </si>
  <si>
    <t>West Coast    (25 yrs from 2010 May)</t>
  </si>
  <si>
    <t>AAMAm</t>
  </si>
  <si>
    <t>ECCR ( Euro/kW/year )</t>
  </si>
  <si>
    <t>EFOM( Euro/kW/year )</t>
  </si>
  <si>
    <t xml:space="preserve">     EMUCPHPTTm for base</t>
  </si>
  <si>
    <t xml:space="preserve">     EMUCPHPTTm for current month</t>
  </si>
  <si>
    <t xml:space="preserve">EFOMm( Euro/kW/year ) </t>
  </si>
  <si>
    <t>NDC ( kW )</t>
  </si>
  <si>
    <t>No. of hrs in the month ( PHm )</t>
  </si>
  <si>
    <t>No. of hrs in contract year ( PHy )</t>
  </si>
  <si>
    <t xml:space="preserve">       Charge each year Euro / kWh</t>
  </si>
  <si>
    <t xml:space="preserve">     CCPIm for base</t>
  </si>
  <si>
    <t xml:space="preserve">     CCPIm for current month</t>
  </si>
  <si>
    <t xml:space="preserve">RFOMm( Rs/kW/year ) </t>
  </si>
  <si>
    <t>Rs/ kWh</t>
  </si>
  <si>
    <t>Em ( kWh )</t>
  </si>
  <si>
    <t>EVOM( Euro/kWh )</t>
  </si>
  <si>
    <t xml:space="preserve">EVOMm( Euro/kWh ) </t>
  </si>
  <si>
    <t>Energy charge ( Euro/ kWh )</t>
  </si>
  <si>
    <t>IHRcc</t>
  </si>
  <si>
    <t>RVOM( Euro/kWh )</t>
  </si>
  <si>
    <t xml:space="preserve">RVOMm( Rs/kWh ) </t>
  </si>
  <si>
    <t>NLcc</t>
  </si>
  <si>
    <t>Energy charge ( Rs/ kWh )</t>
  </si>
  <si>
    <t>Base CCR Rate ( US$/kW/year )</t>
  </si>
  <si>
    <t>DFOM(US$/kW/year )</t>
  </si>
  <si>
    <t xml:space="preserve">     USCPI for base</t>
  </si>
  <si>
    <t xml:space="preserve">     USCPI, 3 months prior to billing period</t>
  </si>
  <si>
    <t>DVOM( US$/kWh )</t>
  </si>
  <si>
    <t xml:space="preserve">DVOMm( US$/kWh ) </t>
  </si>
  <si>
    <t>Energy charge ( US$/ kWh )</t>
  </si>
  <si>
    <t>Lakdhanavi (15 Years from 1997)</t>
  </si>
  <si>
    <t>Escalable Component</t>
  </si>
  <si>
    <t>Base Escalable Component (Rs/kWh)</t>
  </si>
  <si>
    <t>SLR CPI Base</t>
  </si>
  <si>
    <t>Escalable Component (Rs/kWh)</t>
  </si>
  <si>
    <t>Non Escalable Component</t>
  </si>
  <si>
    <t>Non Escalable Component (Rs/kWh)</t>
  </si>
  <si>
    <t xml:space="preserve">     Base Non Fuel Component (US$ / kWh)</t>
  </si>
  <si>
    <t>USCPI Base</t>
  </si>
  <si>
    <t xml:space="preserve">    Non Fuel Component (US$ / kWh)</t>
  </si>
  <si>
    <t>Fuel Component</t>
  </si>
  <si>
    <t xml:space="preserve">     Guaranteed heat rate (kJ /kWh)</t>
  </si>
  <si>
    <r>
      <t xml:space="preserve">     k</t>
    </r>
    <r>
      <rPr>
        <vertAlign val="subscript"/>
        <sz val="10"/>
        <rFont val="Verdana"/>
        <family val="2"/>
      </rPr>
      <t>fLFO</t>
    </r>
  </si>
  <si>
    <t xml:space="preserve">     k1</t>
  </si>
  <si>
    <t>Fuel Component (Rs / kWh)</t>
  </si>
  <si>
    <t>Mahaweli Complex</t>
  </si>
  <si>
    <t>MAHW</t>
  </si>
  <si>
    <t>Capacity Charge VIC</t>
  </si>
  <si>
    <t xml:space="preserve">Escalabale Component </t>
  </si>
  <si>
    <t xml:space="preserve">Fixed O&amp;M Charge Base </t>
  </si>
  <si>
    <t>Rs/Month</t>
  </si>
  <si>
    <t>Corporate Costs CEB HQ</t>
  </si>
  <si>
    <t>Corporate Costs GL HQ</t>
  </si>
  <si>
    <t xml:space="preserve">     SLCPI for base August 2010</t>
  </si>
  <si>
    <t xml:space="preserve">     SLCPI current</t>
  </si>
  <si>
    <t>Non - Escalabale Component</t>
  </si>
  <si>
    <t xml:space="preserve">Debt Service Charge Base </t>
  </si>
  <si>
    <t>TOTAL CAPACITY CHARGE VIC</t>
  </si>
  <si>
    <t>Rs</t>
  </si>
  <si>
    <t>Capacity Cost VIC</t>
  </si>
  <si>
    <t>Rs/kW</t>
  </si>
  <si>
    <t>Capacity Charge UK</t>
  </si>
  <si>
    <t>TOTAL CAPACITY CHARGE UK</t>
  </si>
  <si>
    <t>Capacity Cost UK</t>
  </si>
  <si>
    <t>Capacity Charge KOT</t>
  </si>
  <si>
    <t>TOTAL CAPACITY CHARGE KOT</t>
  </si>
  <si>
    <t>Capacity Cost KOT</t>
  </si>
  <si>
    <t>Capacity Charge RND</t>
  </si>
  <si>
    <t>TOTAL CAPACITY CHARGE RND</t>
  </si>
  <si>
    <t>Capacity Cost RND</t>
  </si>
  <si>
    <t>Capacity Charge NIL</t>
  </si>
  <si>
    <t>TOTAL CAPACITY CHARGE NIL</t>
  </si>
  <si>
    <t>Capacity Cost NIL</t>
  </si>
  <si>
    <t>Capacity Charge BOW</t>
  </si>
  <si>
    <t>TOTAL CAPACITY CHARGE BOW</t>
  </si>
  <si>
    <t>Capacity Cost BOW</t>
  </si>
  <si>
    <t>Mn Rs</t>
  </si>
  <si>
    <t>TOTAL DECLARED CAPACITY</t>
  </si>
  <si>
    <t>Laxapana Complex</t>
  </si>
  <si>
    <t>LAXA</t>
  </si>
  <si>
    <t>Capacity Charge LAX</t>
  </si>
  <si>
    <t>TOTAL CAPACITY CHARGE LAX</t>
  </si>
  <si>
    <t>Capacity Cost LAX</t>
  </si>
  <si>
    <t>Capacity Charge POL</t>
  </si>
  <si>
    <t>TOTAL CAPACITY CHARGE POL</t>
  </si>
  <si>
    <t>Capacity Cost POL</t>
  </si>
  <si>
    <t>Capacity Charge WPS</t>
  </si>
  <si>
    <t>TOTAL CAPACITY CHARGE WPS</t>
  </si>
  <si>
    <t>Capacity Cost WPS</t>
  </si>
  <si>
    <t>Capacity Charge CAN</t>
  </si>
  <si>
    <t>TOTAL CAPACITY CHARGE CAN</t>
  </si>
  <si>
    <t>Capacity Cost CAN</t>
  </si>
  <si>
    <t>TOTAL FILED CAPACITY</t>
  </si>
  <si>
    <t>OHYD</t>
  </si>
  <si>
    <t>Capacity Charge SWPS</t>
  </si>
  <si>
    <t>TOTAL CAPACITY CHARGE SWPS</t>
  </si>
  <si>
    <t>Capacity Cost SWPS</t>
  </si>
  <si>
    <t>Capacity Charge KUK</t>
  </si>
  <si>
    <t>TOTAL CAPACITY CHARGE KUK</t>
  </si>
  <si>
    <t>Capacity Cost KUK</t>
  </si>
  <si>
    <t>Capacity Charge ING</t>
  </si>
  <si>
    <t>TOTAL CAPACITY CHARGE ING</t>
  </si>
  <si>
    <t>Capacity Cost ING</t>
  </si>
  <si>
    <t>Capacity Charge UWE</t>
  </si>
  <si>
    <t>TOTAL CAPACITY CHARGE UWE</t>
  </si>
  <si>
    <t>Capacity Cost UWE</t>
  </si>
  <si>
    <t xml:space="preserve">Sapugaskanda A </t>
  </si>
  <si>
    <t>DSP1</t>
  </si>
  <si>
    <t>Residual Oil</t>
  </si>
  <si>
    <t>Litre</t>
  </si>
  <si>
    <t>Rupee</t>
  </si>
  <si>
    <t>l/kWh</t>
  </si>
  <si>
    <t>Rs/liter</t>
  </si>
  <si>
    <t>Energy Charge (Fuel)</t>
  </si>
  <si>
    <t>Energy Charge Non-fuel (Base)</t>
  </si>
  <si>
    <t>USD/Month</t>
  </si>
  <si>
    <t xml:space="preserve">    USCPI for base August 2010</t>
  </si>
  <si>
    <t xml:space="preserve">    USCPI current</t>
  </si>
  <si>
    <t>Start-Stop Cost</t>
  </si>
  <si>
    <t>Start Stop Charge Rate after a station shut down</t>
  </si>
  <si>
    <t>per Strat</t>
  </si>
  <si>
    <t>Start Stop Charge Rate after stop of a unit</t>
  </si>
  <si>
    <t>Number of Starts (1)</t>
  </si>
  <si>
    <t>No</t>
  </si>
  <si>
    <t>Number of Starts (2)</t>
  </si>
  <si>
    <t>TOTAL START-STOP CHARGE</t>
  </si>
  <si>
    <t>kWh</t>
  </si>
  <si>
    <t xml:space="preserve">Energy Cost </t>
  </si>
  <si>
    <t>Capacity Cost</t>
  </si>
  <si>
    <t>Kelanitissa GT 1-6</t>
  </si>
  <si>
    <t>GT16</t>
  </si>
  <si>
    <t>Diesel</t>
  </si>
  <si>
    <t>Primary Fuel Oil Price  (Auto Diesel)</t>
  </si>
  <si>
    <t>IHR</t>
  </si>
  <si>
    <t>Liters/MW/h</t>
  </si>
  <si>
    <t>NL</t>
  </si>
  <si>
    <t>Liters/h</t>
  </si>
  <si>
    <t>Energy charge ( Fuel Component )</t>
  </si>
  <si>
    <t>MWh</t>
  </si>
  <si>
    <t xml:space="preserve">Secondary Fuel Oil Price </t>
  </si>
  <si>
    <t>Synchronised time ( Tj )</t>
  </si>
  <si>
    <t>min</t>
  </si>
  <si>
    <t>Average Load during the month (Lj)</t>
  </si>
  <si>
    <t xml:space="preserve">forecast Dispatch </t>
  </si>
  <si>
    <t xml:space="preserve">Start Stop Charge Rate </t>
  </si>
  <si>
    <t xml:space="preserve">Number of Starts </t>
  </si>
  <si>
    <t>Kelanitissa GT7</t>
  </si>
  <si>
    <t>GT07</t>
  </si>
  <si>
    <t>Primary Fuel Oil Price (Auot Diesel)</t>
  </si>
  <si>
    <t>per Start</t>
  </si>
  <si>
    <t>Kelanitissa CC</t>
  </si>
  <si>
    <t>Naphtha</t>
  </si>
  <si>
    <t xml:space="preserve">Primary Fuel Oil Price </t>
  </si>
  <si>
    <t>Puttalam Coal</t>
  </si>
  <si>
    <t xml:space="preserve">Fuel consumption rate </t>
  </si>
  <si>
    <t>kg/kWh</t>
  </si>
  <si>
    <t xml:space="preserve">Fuel Price </t>
  </si>
  <si>
    <t>Rs/kg</t>
  </si>
  <si>
    <t>Chunnakam</t>
  </si>
  <si>
    <t>410-GEN</t>
  </si>
  <si>
    <t>DCHU</t>
  </si>
  <si>
    <t>Sapugaskanda B</t>
  </si>
  <si>
    <t>DSP2</t>
  </si>
  <si>
    <t xml:space="preserve">160  stops free </t>
  </si>
  <si>
    <t xml:space="preserve">50  stops free </t>
  </si>
  <si>
    <t xml:space="preserve">80 Starts &amp; 80 tops free </t>
  </si>
  <si>
    <t>SLR / kWh</t>
  </si>
  <si>
    <t xml:space="preserve">120  Starts &amp; 120 stops free </t>
  </si>
  <si>
    <t>Northern Power</t>
  </si>
  <si>
    <t>APC (Available Plant Capacity)</t>
  </si>
  <si>
    <t>No of dates in  the Month</t>
  </si>
  <si>
    <t>Fixed Charge Rate (US$/Day/MW)</t>
  </si>
  <si>
    <t>ECOMD( US$/kWh )</t>
  </si>
  <si>
    <t xml:space="preserve">ECOMDm( US$/kWh ) </t>
  </si>
  <si>
    <t>ECOMR( US$/kWh )</t>
  </si>
  <si>
    <t xml:space="preserve">ECOMRm( SLR/kWh ) </t>
  </si>
  <si>
    <t xml:space="preserve">      Fuel Consumption Rate (Litrs/kWh)</t>
  </si>
  <si>
    <t xml:space="preserve">      Average Fuel Price (Rs/Litre)</t>
  </si>
  <si>
    <t xml:space="preserve">      Fuel Component of Energy Charge (Rs/kWh)</t>
  </si>
  <si>
    <t xml:space="preserve">     CCPI for base</t>
  </si>
  <si>
    <t xml:space="preserve">     Base Exchange Rate</t>
  </si>
  <si>
    <t>Mini Hydro Plants</t>
  </si>
  <si>
    <t>Estimated</t>
  </si>
  <si>
    <t>Total</t>
  </si>
  <si>
    <t>Energy (GWh)</t>
  </si>
  <si>
    <t>Wind Power Plants</t>
  </si>
  <si>
    <t>LKR/kg</t>
  </si>
  <si>
    <t>LKR/Litre</t>
  </si>
  <si>
    <t>CEB GL's Thermal Generation</t>
  </si>
  <si>
    <t>Sapu Old 4 x 18 MW</t>
  </si>
  <si>
    <t>Sapu Ext. 8 x 9 MW</t>
  </si>
  <si>
    <t>KPS GT 1 x 115 MW</t>
  </si>
  <si>
    <t>KPS Combined – 165 MW</t>
  </si>
  <si>
    <t xml:space="preserve">                                 Naptha</t>
  </si>
  <si>
    <t xml:space="preserve">                                 Diesel</t>
  </si>
  <si>
    <t>CEB GL's Hydropower Generation</t>
  </si>
  <si>
    <t>Total Generation - CEB  GL</t>
  </si>
  <si>
    <t>Coincident Peak Demand</t>
  </si>
  <si>
    <t>MRs</t>
  </si>
  <si>
    <t>Chunnakum Diesal</t>
  </si>
  <si>
    <t>Aggreko</t>
  </si>
  <si>
    <t>DAGG</t>
  </si>
  <si>
    <t>DNOR</t>
  </si>
  <si>
    <t>Total energy delivered under BST</t>
  </si>
  <si>
    <t>NOTE</t>
  </si>
  <si>
    <t>Note</t>
  </si>
  <si>
    <t xml:space="preserve">       Actual Prices</t>
  </si>
  <si>
    <t>Fuel Oil Price  *</t>
  </si>
  <si>
    <t>Base Start/Stop Cost</t>
  </si>
  <si>
    <t>SLR per Start/ Stop</t>
  </si>
  <si>
    <t>DFO Base Cost</t>
  </si>
  <si>
    <t>DFO Cost</t>
  </si>
  <si>
    <t>Total Start/Stop Cost</t>
  </si>
  <si>
    <t xml:space="preserve">SLR </t>
  </si>
  <si>
    <t>Base Start Stop Charge</t>
  </si>
  <si>
    <t xml:space="preserve">Base Distillate Fuel Oil Price </t>
  </si>
  <si>
    <t>SLR/L</t>
  </si>
  <si>
    <t>Distillate Fuel Oil Price during the Month</t>
  </si>
  <si>
    <t>No. of Starts &amp; Stops for Month</t>
  </si>
  <si>
    <t>Start Stop Charges for the Month</t>
  </si>
  <si>
    <t>Mn.SLR</t>
  </si>
  <si>
    <t>Startup Allowance</t>
  </si>
  <si>
    <t>Base Startup Rates                                           Hot Start</t>
  </si>
  <si>
    <t xml:space="preserve">                                                                          Warm Start</t>
  </si>
  <si>
    <t xml:space="preserve">                                                                          Cold Start</t>
  </si>
  <si>
    <t>Reference Value for Fuel Energy Rate</t>
  </si>
  <si>
    <t>SLR/kj</t>
  </si>
  <si>
    <t>Startup Alowance per Month                            Hot Start</t>
  </si>
  <si>
    <t>Total Startup Allowance for the Month</t>
  </si>
  <si>
    <t xml:space="preserve">Mn.SLR </t>
  </si>
  <si>
    <t>GRAND TOTAL</t>
  </si>
  <si>
    <t>settlements</t>
  </si>
  <si>
    <t xml:space="preserve">Total </t>
  </si>
  <si>
    <t>Expected Avg. plant Factor %</t>
  </si>
  <si>
    <t>Avoided Cost based Tariff</t>
  </si>
  <si>
    <t>Rs. Mn</t>
  </si>
  <si>
    <t>3-tier Cost Based Tariff</t>
  </si>
  <si>
    <t>Biomass/ Dendro Power Plants</t>
  </si>
  <si>
    <t>Cost (Rs.Mn)</t>
  </si>
  <si>
    <t>Total (GWh)</t>
  </si>
  <si>
    <t>Total Cost (Rs. Mn)</t>
  </si>
  <si>
    <t>Auto Diesel (DSP &amp; DSPX)</t>
  </si>
  <si>
    <t>Coal Power DF (CPUT)</t>
  </si>
  <si>
    <t>Auto Diesal</t>
  </si>
  <si>
    <t xml:space="preserve">    Charge each month</t>
  </si>
  <si>
    <t xml:space="preserve">    Charge each month </t>
  </si>
  <si>
    <t>AAMAm*</t>
  </si>
  <si>
    <t xml:space="preserve">       * AAMAm is based the Target Availability from the Contract Year</t>
  </si>
  <si>
    <t xml:space="preserve">     USCPI, 3 months prior to billing period #</t>
  </si>
  <si>
    <t xml:space="preserve">     CCPIm for current month #</t>
  </si>
  <si>
    <t>Synchronised hrs ( hm ) **</t>
  </si>
  <si>
    <t>No of Startups per Month **                                 Hot Start</t>
  </si>
  <si>
    <t>Energy Sent Out ***</t>
  </si>
  <si>
    <t xml:space="preserve">    SLR CPI Current #</t>
  </si>
  <si>
    <t>Energy Sent Out *</t>
  </si>
  <si>
    <t xml:space="preserve">    USCPI Current #</t>
  </si>
  <si>
    <t xml:space="preserve">  Yen  CPI current #</t>
  </si>
  <si>
    <t>Lube Oil Price Rs/kg #</t>
  </si>
  <si>
    <t>Fuel Oil Price  #</t>
  </si>
  <si>
    <t xml:space="preserve">Number of Start/ stop </t>
  </si>
  <si>
    <t>SLR CPI Current #</t>
  </si>
  <si>
    <t>USCPI Current #</t>
  </si>
  <si>
    <t xml:space="preserve">      Average of monthly LFO prices (Rs/litre) #</t>
  </si>
  <si>
    <t xml:space="preserve">      Average of monthly LO prices( Rs/Litre) #</t>
  </si>
  <si>
    <t>This Sheet is not updated as the PPA will expire on 31-12-2012</t>
  </si>
  <si>
    <t>APC (Available Plant Capacity) #</t>
  </si>
  <si>
    <t xml:space="preserve">     USCPI, Current #</t>
  </si>
  <si>
    <t xml:space="preserve">     CCPI, Current #</t>
  </si>
  <si>
    <t xml:space="preserve">      Average Fuel Price (Rs/Litre) #</t>
  </si>
  <si>
    <t>Lube Oil Price Rs/kg *</t>
  </si>
  <si>
    <t>Fuel Oil Price *</t>
  </si>
  <si>
    <t>AAMAm *</t>
  </si>
  <si>
    <t xml:space="preserve">       Reimbursible Taxes and Start/Stop Charges are not included in the calculation Format</t>
  </si>
  <si>
    <t>Capacity Charge U/KOT</t>
  </si>
  <si>
    <t>Capacity Cost U/KOT</t>
  </si>
  <si>
    <t>New Chunnakam</t>
  </si>
  <si>
    <t>DNCHU</t>
  </si>
  <si>
    <t>Solar Power Plants</t>
  </si>
  <si>
    <t>Total Northern CEB generation</t>
  </si>
  <si>
    <t>IPP</t>
  </si>
  <si>
    <t>Barge 60MW</t>
  </si>
  <si>
    <t>ACE -Horana - 20MW</t>
  </si>
  <si>
    <t>ASIA Power 51 MW</t>
  </si>
  <si>
    <t>Lakdanavi Sapu  - 22.5  MW</t>
  </si>
  <si>
    <t>Northern Power - 20 MW</t>
  </si>
  <si>
    <t>Renewable Energy</t>
  </si>
  <si>
    <t>Lak Vijaya (New Chunnakum)</t>
  </si>
  <si>
    <t>Heavy Fuel (Lak Vijaya)</t>
  </si>
  <si>
    <t>Dispatch Schedule at Transmission Boundary</t>
  </si>
  <si>
    <t xml:space="preserve">Dispatch Schedule </t>
  </si>
  <si>
    <t>Tariff</t>
  </si>
  <si>
    <t>Cost Rs. Mn</t>
  </si>
  <si>
    <t>Unit Energy Cost Rs./ kWh</t>
  </si>
  <si>
    <t>FER # (Auto Diesel Price = 121 Rs/L)</t>
  </si>
  <si>
    <t>Yen/kWh</t>
  </si>
  <si>
    <t>SLR/kg</t>
  </si>
  <si>
    <t xml:space="preserve">SLR/litre </t>
  </si>
  <si>
    <t>Energy Sent Out **</t>
  </si>
  <si>
    <t xml:space="preserve"> Energy Forecast (MWh)                </t>
  </si>
  <si>
    <t xml:space="preserve"> (Plant Capacity * Availibility) (MW)</t>
  </si>
  <si>
    <t xml:space="preserve">Total Purchases by TL </t>
  </si>
  <si>
    <t xml:space="preserve">Fuel Oil Price  </t>
  </si>
  <si>
    <t xml:space="preserve">    SLR CPI Current </t>
  </si>
  <si>
    <t xml:space="preserve">Current U.S Dollar / Deutschmark exchange rate </t>
  </si>
  <si>
    <t xml:space="preserve">Current retail price Index of German Federal </t>
  </si>
  <si>
    <t xml:space="preserve">    ** Syn hours:</t>
  </si>
  <si>
    <t xml:space="preserve">  Settlements = Reimbursible and statup are based on the average of Jan - Jun 2013 actual figures</t>
  </si>
  <si>
    <t xml:space="preserve"> # Lube Oil Price, Fuel Price and Indexes(US PI, SLR PI and Yen PI) are based on the Most recently available figures (September 2013 Invoice Values)</t>
  </si>
  <si>
    <t>NOT UPDATED</t>
  </si>
  <si>
    <t>Start Stop Charge Rate   (Hot) - DIESEL</t>
  </si>
  <si>
    <t>Start Stop Charge Rate   (Warm)</t>
  </si>
  <si>
    <t>Start Stop Charge Rate   (Cold)</t>
  </si>
  <si>
    <t>Start Stop Charge Rate   (Hot) - NAPHTHA</t>
  </si>
  <si>
    <t>Start Stop Charge Rate  -  Simple Cycle</t>
  </si>
  <si>
    <t>Fuel Rates of IPP</t>
  </si>
  <si>
    <t>Heavy Fuel (Barge) (Rs/Kg)</t>
  </si>
  <si>
    <t>HORANA LUBE (Rs/Kg)</t>
  </si>
  <si>
    <t>Lube Oil (Barge) (Rs/Kg)</t>
  </si>
  <si>
    <t>Lube Oil (Asia) (Rs/Litre)</t>
  </si>
  <si>
    <t>Lube Oil (Lakdhanavi) (Rs/Litre)</t>
  </si>
  <si>
    <t>US$ / litre*</t>
  </si>
  <si>
    <t>Nothern (Rs/Litre)</t>
  </si>
  <si>
    <t>US$/l</t>
  </si>
  <si>
    <t>*Current Auto diesel price</t>
  </si>
  <si>
    <t xml:space="preserve">Base Startup Rates                                           Immediate Start                                        </t>
  </si>
  <si>
    <t xml:space="preserve">                                                                          Hot Start</t>
  </si>
  <si>
    <t xml:space="preserve">Startup Alowance per Month                            Immediate Start                             </t>
  </si>
  <si>
    <t>Base Stop Cost</t>
  </si>
  <si>
    <t>SLR/Stop</t>
  </si>
  <si>
    <t xml:space="preserve">Number of  stop </t>
  </si>
  <si>
    <t>Total Stop Cost</t>
  </si>
  <si>
    <t>Term Loan</t>
  </si>
  <si>
    <t>CPD</t>
  </si>
  <si>
    <t>(Total Hydro)</t>
  </si>
  <si>
    <t>Total purchase w.o NCRE</t>
  </si>
  <si>
    <t>Rs/ kg</t>
  </si>
  <si>
    <t>(Diesel Generators in Islands of Jaffna Peninsula)</t>
  </si>
  <si>
    <t>Naptha</t>
  </si>
  <si>
    <t xml:space="preserve">Coal – Puttlam </t>
  </si>
  <si>
    <t>E3 -off peak</t>
  </si>
  <si>
    <t>E1 - Day                   E2 -peak</t>
  </si>
  <si>
    <t>Block1</t>
  </si>
  <si>
    <t>The Agreement expired on 31-12-2012</t>
  </si>
  <si>
    <t>Total Energy generated</t>
  </si>
  <si>
    <t>losses</t>
  </si>
  <si>
    <t>Month 1 - Block tariffs</t>
  </si>
  <si>
    <t>Month 2 - Block tariffs</t>
  </si>
  <si>
    <t>Month 3 - Block tariffs</t>
  </si>
  <si>
    <t>Month 4 - Block tariffs</t>
  </si>
  <si>
    <t>Month 5 - Block tariffs</t>
  </si>
  <si>
    <t>Month 6 - Block tariffs</t>
  </si>
  <si>
    <t xml:space="preserve">Bulk Supply Tariff Model       </t>
  </si>
  <si>
    <t>Chunnakam &amp; Islands</t>
  </si>
  <si>
    <t>Start Stop Charge - Cold</t>
  </si>
  <si>
    <t>Start Stop Charge - Warm</t>
  </si>
  <si>
    <t>Start Stop Charge - Hot</t>
  </si>
  <si>
    <t>Guaranteed Net Heat Rate (Operating Year 17 -20)</t>
  </si>
  <si>
    <t>Month 1</t>
  </si>
  <si>
    <t>Month 2</t>
  </si>
  <si>
    <t>Month 3</t>
  </si>
  <si>
    <t>Month 4</t>
  </si>
  <si>
    <t>Month 5</t>
  </si>
  <si>
    <t>Month 6</t>
  </si>
  <si>
    <t>SLR CPI August 2010</t>
  </si>
  <si>
    <t xml:space="preserve">       No.of Startups are based on average of Jan-Jun 2014 figures </t>
  </si>
  <si>
    <t xml:space="preserve">  Settlements = Reimbursible and statup are based on the average of Jan - Jun 2014 actual figures</t>
  </si>
  <si>
    <t xml:space="preserve"> * Energy Sent out is based on Energy Dispatch Forcast 2015  issued by System Control Branch (Letter dated 31-10-2014)</t>
  </si>
  <si>
    <t xml:space="preserve"> # Lube Oil Price, Fuel Price and Indexes(US PI, SLR PI and Yen PI) are based on the Most recently available figures (September 2014 Invoice Values)</t>
  </si>
  <si>
    <t>Coal Power Coal (CPUT)</t>
  </si>
  <si>
    <t>Rs./Kg</t>
  </si>
  <si>
    <t>Fuel Oil Price (HFO)</t>
  </si>
  <si>
    <t xml:space="preserve">Fuel Rates of CEB Power Plants </t>
  </si>
  <si>
    <t>Debt Service</t>
  </si>
  <si>
    <t>Expiring on 30th June 2015</t>
  </si>
  <si>
    <t>Heavy Fuel (Asia) (Rs/l)</t>
  </si>
  <si>
    <t xml:space="preserve">DFOMm( US$/kW/year ) </t>
  </si>
  <si>
    <t>RFOM( Rs/kW/year )</t>
  </si>
  <si>
    <t>for Minimum Guaranteed Energy of 330GWh p.a, US$/kWh</t>
  </si>
  <si>
    <t>Total Generation</t>
  </si>
  <si>
    <t>Barge</t>
  </si>
  <si>
    <t>Energy Generated</t>
  </si>
  <si>
    <t>BARGE</t>
  </si>
  <si>
    <t>Auto Diesel (Barge)</t>
  </si>
  <si>
    <t>Auto Diesel (DCHU ISLANDS)</t>
  </si>
  <si>
    <t xml:space="preserve">       * Exchange Rates for 2016 1st quarter: September 2015</t>
  </si>
  <si>
    <t>US CPI,3 months prior to current</t>
  </si>
  <si>
    <r>
      <t xml:space="preserve">  Settlements = Reimbursible is based on the average of Jun - Nov 2015 invoiced values (</t>
    </r>
    <r>
      <rPr>
        <b/>
        <sz val="12"/>
        <rFont val="Verdana"/>
        <family val="2"/>
      </rPr>
      <t>not settled yet as the plant is shutdown due to the court order</t>
    </r>
    <r>
      <rPr>
        <sz val="10"/>
        <rFont val="Verdana"/>
        <family val="2"/>
      </rPr>
      <t>)</t>
    </r>
  </si>
  <si>
    <t xml:space="preserve">Generation </t>
  </si>
  <si>
    <t>Total  IPP &amp; Renwable Energy</t>
  </si>
  <si>
    <t>Total IPP</t>
  </si>
  <si>
    <t>per yr</t>
  </si>
  <si>
    <t>days per month</t>
  </si>
  <si>
    <t>Heavy Fuel (Barge)</t>
  </si>
  <si>
    <t>DNCHU (uthurujanani)</t>
  </si>
  <si>
    <t>Lanka Auto Diesel price</t>
  </si>
  <si>
    <t xml:space="preserve">adj factor </t>
  </si>
  <si>
    <t xml:space="preserve">Total CEB Thermal Generation </t>
  </si>
  <si>
    <t>Total CEB Northern generation</t>
  </si>
  <si>
    <t>Average Actual Synchronised hours paid per GWh **</t>
  </si>
  <si>
    <t xml:space="preserve">Input data based on BST filing </t>
  </si>
  <si>
    <t>System Coincident Peak Demand           (MW)</t>
  </si>
  <si>
    <r>
      <t xml:space="preserve">Generation capacity </t>
    </r>
    <r>
      <rPr>
        <sz val="10"/>
        <color theme="1"/>
        <rFont val="Calibri"/>
        <family val="2"/>
        <scheme val="minor"/>
      </rPr>
      <t>(Mn.SLR/Month)</t>
    </r>
  </si>
  <si>
    <r>
      <t>Transmission</t>
    </r>
    <r>
      <rPr>
        <sz val="10"/>
        <color theme="1"/>
        <rFont val="Calibri"/>
        <family val="2"/>
        <scheme val="minor"/>
      </rPr>
      <t xml:space="preserve"> (Mn.SLR/Month)</t>
    </r>
  </si>
  <si>
    <r>
      <t xml:space="preserve">Bulk Supply Service  </t>
    </r>
    <r>
      <rPr>
        <sz val="10"/>
        <color theme="1"/>
        <rFont val="Calibri"/>
        <family val="2"/>
        <scheme val="minor"/>
      </rPr>
      <t>(Mn.SLR/Month)</t>
    </r>
  </si>
  <si>
    <t>Consumer Data</t>
  </si>
  <si>
    <t>Consumption at 132/220kV (MW)</t>
  </si>
  <si>
    <t>West Coast (kVA)</t>
  </si>
  <si>
    <t>Ace Embilipitiya(kVA)</t>
  </si>
  <si>
    <t>AES Kelanithissa(kVA)</t>
  </si>
  <si>
    <t>ASIA Power(kVA)</t>
  </si>
  <si>
    <t>Ceylon Steel Coorp(kVA)</t>
  </si>
  <si>
    <t xml:space="preserve">PF at 132/220kV </t>
  </si>
  <si>
    <t xml:space="preserve">West Coast </t>
  </si>
  <si>
    <t>Ace Embilipitiya</t>
  </si>
  <si>
    <t>AES Kelanithissa</t>
  </si>
  <si>
    <t>ASIA Power</t>
  </si>
  <si>
    <t>Ceylon Steel Coorp</t>
  </si>
  <si>
    <t>Loss %</t>
  </si>
  <si>
    <t>at 132 kV/220kV</t>
  </si>
  <si>
    <t>132kV loss</t>
  </si>
  <si>
    <t>input to 132kV</t>
  </si>
  <si>
    <t xml:space="preserve">consumption </t>
  </si>
  <si>
    <t>33kV</t>
  </si>
  <si>
    <t>input to 33kV</t>
  </si>
  <si>
    <t>tr loss</t>
  </si>
  <si>
    <t>Allocation of Gen Cost</t>
  </si>
  <si>
    <t>Allocation of Tr Cost</t>
  </si>
  <si>
    <t>Allocation of BSOB</t>
  </si>
  <si>
    <t>Total Cost</t>
  </si>
  <si>
    <t>LKR/Month</t>
  </si>
  <si>
    <t>Rs/MW</t>
  </si>
  <si>
    <t xml:space="preserve"> Rs.</t>
  </si>
  <si>
    <t>Cost at 220/132 kV</t>
  </si>
  <si>
    <t>Cost at 33kV</t>
  </si>
  <si>
    <t>LKR/MW/Month</t>
  </si>
  <si>
    <t>LKR/MVA/Month</t>
  </si>
  <si>
    <t>Capacity cost at 132kV</t>
  </si>
  <si>
    <t xml:space="preserve">               Power loss - assumed </t>
  </si>
  <si>
    <t>Eneryg Cost</t>
  </si>
  <si>
    <t>BST for Oct 2015- March 2016 (LKR/kWh)</t>
  </si>
  <si>
    <t>Proposed Tariff                                  at 220kV /132kV</t>
  </si>
  <si>
    <t>(LKR/kWh)</t>
  </si>
  <si>
    <t>Loss *</t>
  </si>
  <si>
    <t>Day</t>
  </si>
  <si>
    <t>Peak</t>
  </si>
  <si>
    <t>Offpeak</t>
  </si>
  <si>
    <t>*   losses - assumed</t>
  </si>
  <si>
    <t>BSOB allowed revenue (Mn.SLR)</t>
  </si>
  <si>
    <t>Term Loan(Mn.SLR)</t>
  </si>
  <si>
    <t>Capacity Costs At 33kV Voltage Level</t>
  </si>
  <si>
    <t>Generation Capacity cost at 33 kV</t>
  </si>
  <si>
    <t>Capacity Transmission tariff (TR) at 33kV</t>
  </si>
  <si>
    <t>Bulk Supply and Operations Business Tariff (BSS) at 33kV</t>
  </si>
  <si>
    <t>At 33kV</t>
  </si>
  <si>
    <t>New Chunnakam (Uthuru Janani)</t>
  </si>
  <si>
    <t>Capacity Charge at 33 kV</t>
  </si>
  <si>
    <t>Capacity Charge at 132/220 kV</t>
  </si>
  <si>
    <t>Cells added to calculate Transmissiom Tariff</t>
  </si>
  <si>
    <t>Green cells</t>
  </si>
  <si>
    <t>SLR/MVA</t>
  </si>
  <si>
    <t>BST (Transmission)
6-Month Average</t>
  </si>
  <si>
    <t>BST (Transmission)
6-Month  Average</t>
  </si>
  <si>
    <t>Generation Capacity cost at 33kV</t>
  </si>
  <si>
    <t>Gen Energy cost</t>
  </si>
  <si>
    <t>Gen cap cost</t>
  </si>
  <si>
    <t>Total Dispatch</t>
  </si>
  <si>
    <t>Cost per kWh (without Tx losses)</t>
  </si>
  <si>
    <t>Tx loss %</t>
  </si>
  <si>
    <t xml:space="preserve">Cost per kWh </t>
  </si>
  <si>
    <t>avg tx loss factor</t>
  </si>
  <si>
    <t>KPS GT 4 x 17 MW</t>
  </si>
  <si>
    <t xml:space="preserve">Actual price </t>
  </si>
  <si>
    <t>Number of Starts  -  Simple Cycle</t>
  </si>
  <si>
    <t xml:space="preserve">                          -Combine Cycle - (Warm)</t>
  </si>
  <si>
    <t>Number of Starts (Hot)</t>
  </si>
  <si>
    <t>Number of Starts (Warm)</t>
  </si>
  <si>
    <t>Note : Capacity Cost is allocated for 132kV level based on the sahre of asset base.</t>
  </si>
  <si>
    <t>Emergancy Power</t>
  </si>
  <si>
    <t>Emergency Power</t>
  </si>
  <si>
    <t xml:space="preserve"> # APC (GPC was taken)</t>
  </si>
  <si>
    <t>DISPATCH</t>
  </si>
  <si>
    <t xml:space="preserve"> # APC (GPC was taken), Fuel Price and Indexes(US PI, CCPI ) are based on the Most recently available figures</t>
  </si>
  <si>
    <t xml:space="preserve"> * Energy Sent out is based on Energy Dispatch Forcast March 2017 to March 2018  issued by System Control Branch.</t>
  </si>
  <si>
    <t xml:space="preserve"> * Energy Sent out is based on Energy Dispatch Forcast March 2017 to March 2018  by system control</t>
  </si>
  <si>
    <t>SLR Million</t>
  </si>
  <si>
    <t>Total Energy cost for six-months</t>
  </si>
  <si>
    <t>LKR Million</t>
  </si>
  <si>
    <t>Total energy dispatch for six-months</t>
  </si>
  <si>
    <t>Six-month average energy cost</t>
  </si>
  <si>
    <t>LKR/kWh</t>
  </si>
  <si>
    <t>Depreciation</t>
  </si>
  <si>
    <t>Personnel</t>
  </si>
  <si>
    <t xml:space="preserve">Accomadation </t>
  </si>
  <si>
    <t>Transport &amp; communication</t>
  </si>
  <si>
    <t>Finance cost</t>
  </si>
  <si>
    <t>Other cost</t>
  </si>
  <si>
    <t>Materials</t>
  </si>
  <si>
    <t>OPEX</t>
  </si>
  <si>
    <t>Gen HQ</t>
  </si>
  <si>
    <t>Thermal Complex</t>
  </si>
  <si>
    <t>Samanala Complex</t>
  </si>
  <si>
    <t>Total OPEX</t>
  </si>
  <si>
    <t>Capacity  VIC</t>
  </si>
  <si>
    <t>Capacity UK</t>
  </si>
  <si>
    <t>Capacity  KOT</t>
  </si>
  <si>
    <t>Capacity RND</t>
  </si>
  <si>
    <t>Capacity  NIL</t>
  </si>
  <si>
    <t>Capacity  BOW</t>
  </si>
  <si>
    <t>Capacity  U/KOT</t>
  </si>
  <si>
    <t>Capacity  LAX</t>
  </si>
  <si>
    <t>Capacity  POL</t>
  </si>
  <si>
    <t>Capacity WPS</t>
  </si>
  <si>
    <t>Capacity CAN</t>
  </si>
  <si>
    <t>Capacity  SWPS</t>
  </si>
  <si>
    <t>Capacity  KUK</t>
  </si>
  <si>
    <t>Capacity  ING</t>
  </si>
  <si>
    <t>Capacity  UWE</t>
  </si>
  <si>
    <t>Thermal complex</t>
  </si>
  <si>
    <t>Apportioment of HQ cost</t>
  </si>
  <si>
    <t>Apportioment of Corporate Costs CEB HQ</t>
  </si>
  <si>
    <t xml:space="preserve">Short term </t>
  </si>
  <si>
    <t xml:space="preserve">Long term </t>
  </si>
  <si>
    <t xml:space="preserve">No of Startups per Month                                          </t>
  </si>
  <si>
    <t>Gen Div</t>
  </si>
  <si>
    <t>Total Installed Capacity</t>
  </si>
  <si>
    <t>Per Month</t>
  </si>
  <si>
    <t>Notes</t>
  </si>
  <si>
    <t>Loss factor %</t>
  </si>
  <si>
    <t>loss adjusted six-month average energy cost</t>
  </si>
  <si>
    <t>Liters/kWh</t>
  </si>
  <si>
    <t>Sojitz Kelanitissa- 165 MW</t>
  </si>
  <si>
    <t>SUP</t>
  </si>
  <si>
    <t>Self generation</t>
  </si>
  <si>
    <t>Source</t>
  </si>
  <si>
    <t>Biomass</t>
  </si>
  <si>
    <t>Solar Large</t>
  </si>
  <si>
    <t>Wind</t>
  </si>
  <si>
    <t>Mini Hydro</t>
  </si>
  <si>
    <t>2.Loss target 3%</t>
  </si>
  <si>
    <t>Sojitz Kelanitissa</t>
  </si>
  <si>
    <t>Agreko Internationals Projects Limited Terminated</t>
  </si>
  <si>
    <t>Sojitz</t>
  </si>
  <si>
    <t>Energy Cost including Start Stop Cost</t>
  </si>
  <si>
    <t>Energy Cost</t>
  </si>
  <si>
    <t xml:space="preserve">Capacity Cost </t>
  </si>
  <si>
    <t>Energy Cost - Naptha</t>
  </si>
  <si>
    <t>Energy Cost - Diesel</t>
  </si>
  <si>
    <t>Mathugama 20MW</t>
  </si>
  <si>
    <t>Auto Diesel (50MW Kolonnawa)</t>
  </si>
  <si>
    <t>Auto Diesel (50MW Mathugama)</t>
  </si>
  <si>
    <t>Other capital cost</t>
  </si>
  <si>
    <t>project (CEB Funding)</t>
  </si>
  <si>
    <t>Other Capital cost</t>
  </si>
  <si>
    <t>Project (CEB funding)</t>
  </si>
  <si>
    <t xml:space="preserve">Fuel Consumption rate </t>
  </si>
  <si>
    <t>50MW Thulhiriya</t>
  </si>
  <si>
    <t>50MW Kolonnawa</t>
  </si>
  <si>
    <t>50MW Mathugama</t>
  </si>
  <si>
    <t>Energy Cost*</t>
  </si>
  <si>
    <t>Energy Cost including Start Stop Cost*</t>
  </si>
  <si>
    <t>*Includes cost of both diesel and naphtha</t>
  </si>
  <si>
    <t>VPower-Horana</t>
  </si>
  <si>
    <t>VPower - Hambantota</t>
  </si>
  <si>
    <t>Altaaqa - Mahiyanganaya</t>
  </si>
  <si>
    <t>Altaaqa Mahiyanganaya</t>
  </si>
  <si>
    <t>Altaaqa Polonnaruwa</t>
  </si>
  <si>
    <t>Asia Power</t>
  </si>
  <si>
    <t>Vpower Hambantota</t>
  </si>
  <si>
    <t>Vpower - Horana</t>
  </si>
  <si>
    <t>Vpower Horana</t>
  </si>
  <si>
    <t>unit price</t>
  </si>
  <si>
    <t>LKR</t>
  </si>
  <si>
    <t>Fuel Oil Price</t>
  </si>
  <si>
    <t xml:space="preserve">No of Startups per Month                                  Immediate Start                   </t>
  </si>
  <si>
    <t>50MW Diesel Generators Mathugama</t>
  </si>
  <si>
    <t>deficit</t>
  </si>
  <si>
    <t>EB total</t>
  </si>
  <si>
    <t>1.Term Loan is based on the Loan shedule for 2020</t>
  </si>
  <si>
    <t>Solar Rooftop Generation</t>
  </si>
  <si>
    <t>Kerawalapitiya  - IPP (Westcoast)</t>
  </si>
  <si>
    <t>Vpower - Galle</t>
  </si>
  <si>
    <t>Vpower -  Pallekele</t>
  </si>
  <si>
    <t>Altaaqa - Polonnaruwa</t>
  </si>
  <si>
    <t>New Chunnakam (Uthurujananee)</t>
  </si>
  <si>
    <t>KPS GT 1 x 115 MW (GT7)</t>
  </si>
  <si>
    <t>KPS GT 4 x 17 MW (small GT)</t>
  </si>
  <si>
    <t>Bulk Supply Tariff July-Dec 2020</t>
  </si>
  <si>
    <t>Vpower - Pallekale</t>
  </si>
  <si>
    <t xml:space="preserve">Total Energy </t>
  </si>
  <si>
    <t xml:space="preserve">Total Cost </t>
  </si>
  <si>
    <t>Corporate Costs Gen HQ</t>
  </si>
  <si>
    <t>Values are linked with other sheets (DO NOT EDIT)</t>
  </si>
  <si>
    <t>Values according to the PPA</t>
  </si>
  <si>
    <t>Values to be changed by EP branch.</t>
  </si>
  <si>
    <t xml:space="preserve"># Lube Oil Price, Fuel Price and Indexes(US PI, SLR PI and Yen PI) are based on the Most recently available figures </t>
  </si>
  <si>
    <t>Forecast of the no. of startups are to be obtained from System Control Branch.</t>
  </si>
  <si>
    <t>Settlements = Estimated value of Tax Reimbursibles and Delay Interests</t>
  </si>
  <si>
    <t>FER at fuel price (FER m)</t>
  </si>
  <si>
    <t>Reference Value for Fuel Energy Rate (FER r)</t>
  </si>
  <si>
    <t>ALTQ-M</t>
  </si>
  <si>
    <t>formulas not updated</t>
  </si>
  <si>
    <t>Vpoer Galle</t>
  </si>
  <si>
    <t>Vpower Pallekale</t>
  </si>
  <si>
    <t>Vpower Galle</t>
  </si>
  <si>
    <t>130MW Sup.Gen.</t>
  </si>
  <si>
    <t>Generation capacity input to 220kV</t>
  </si>
  <si>
    <t>220kV loss</t>
  </si>
  <si>
    <t>Peak demand at 220kV</t>
  </si>
  <si>
    <t>Peak demand of 220kV customers</t>
  </si>
  <si>
    <t xml:space="preserve">peak demand input from 220kV to 132kV </t>
  </si>
  <si>
    <t>generation capacity input at 132kV</t>
  </si>
  <si>
    <t>132kV  loss</t>
  </si>
  <si>
    <t>Peak demand at 132kV</t>
  </si>
  <si>
    <t>not dispatched hence no mw contribution</t>
  </si>
  <si>
    <t>cost portion from 220kV</t>
  </si>
  <si>
    <t>Total 132kV cost</t>
  </si>
  <si>
    <t>Peak demand of 132kV customers</t>
  </si>
  <si>
    <t xml:space="preserve">peak demand input from 132kV to 33kV </t>
  </si>
  <si>
    <t>generation capacity input at 33kV</t>
  </si>
  <si>
    <t>33kV loss</t>
  </si>
  <si>
    <t>Peak demand at 33kV</t>
  </si>
  <si>
    <t>cost portion from 132kV</t>
  </si>
  <si>
    <t>Total 33kV cost</t>
  </si>
  <si>
    <t xml:space="preserve">220kV energy </t>
  </si>
  <si>
    <t>energy at 220kV</t>
  </si>
  <si>
    <t>220kV energy cost</t>
  </si>
  <si>
    <t>Mn slr</t>
  </si>
  <si>
    <t>consumer consumption</t>
  </si>
  <si>
    <t>wind kWh actual</t>
  </si>
  <si>
    <t>LKR actual</t>
  </si>
  <si>
    <t>loss from 220kV to 132kV</t>
  </si>
  <si>
    <t>220kv customers</t>
  </si>
  <si>
    <t xml:space="preserve">energy input from 220kV to 132kV </t>
  </si>
  <si>
    <t>generation energy input at 132kV</t>
  </si>
  <si>
    <t>total energy at 132kV</t>
  </si>
  <si>
    <t>collected from 220kv customers</t>
  </si>
  <si>
    <t>132kV energy cost</t>
  </si>
  <si>
    <t>total cost at 132kV</t>
  </si>
  <si>
    <t>as 220kV wind also connected to outgoing 33kV feeders all ncre considered 33kV</t>
  </si>
  <si>
    <t xml:space="preserve">132kV energy </t>
  </si>
  <si>
    <t>loss from 132kV to 33kV</t>
  </si>
  <si>
    <t>132kv customers</t>
  </si>
  <si>
    <t>energy input from 132kV to 33kV</t>
  </si>
  <si>
    <t>generation energy input at 33kV</t>
  </si>
  <si>
    <t>33kV  loss</t>
  </si>
  <si>
    <t>total energy at 33kV</t>
  </si>
  <si>
    <t>collected from 132kv customers</t>
  </si>
  <si>
    <t>33kV energy cost</t>
  </si>
  <si>
    <t>total cost at 33kV</t>
  </si>
  <si>
    <t>132kV line length</t>
  </si>
  <si>
    <t>km</t>
  </si>
  <si>
    <t>220kV line length</t>
  </si>
  <si>
    <t>Total line length</t>
  </si>
  <si>
    <t>day</t>
  </si>
  <si>
    <t>peak</t>
  </si>
  <si>
    <t>Consumption at 220kV (MW)</t>
  </si>
  <si>
    <t>Consumption at 132(MW)</t>
  </si>
  <si>
    <t xml:space="preserve">PF at 220kV </t>
  </si>
  <si>
    <t xml:space="preserve">PF at 132kV </t>
  </si>
  <si>
    <t>Consumption at 220kV (GWh)</t>
  </si>
  <si>
    <t>Consumption at 132(GWh)</t>
  </si>
  <si>
    <t>West Coast (kWh)</t>
  </si>
  <si>
    <t>Ace Embilipitiya(kWh)</t>
  </si>
  <si>
    <t>ASIA Power(kWh)</t>
  </si>
  <si>
    <t>Ceylon Steel Coorp(kWh)</t>
  </si>
  <si>
    <t>off peak</t>
  </si>
  <si>
    <t>TOU tariff 132</t>
  </si>
  <si>
    <t>TOU tariff 220</t>
  </si>
  <si>
    <t>33 without ncre</t>
  </si>
  <si>
    <t>vic</t>
  </si>
  <si>
    <t>uku</t>
  </si>
  <si>
    <t>nil</t>
  </si>
  <si>
    <t>kot</t>
  </si>
  <si>
    <t>bowa</t>
  </si>
  <si>
    <t>rand</t>
  </si>
  <si>
    <t>rant</t>
  </si>
  <si>
    <t>upkot</t>
  </si>
  <si>
    <t>kukule</t>
  </si>
  <si>
    <t>udawalawe</t>
  </si>
  <si>
    <t>Voltage wise Hydro GWh seperation</t>
  </si>
  <si>
    <t>Voltage wise Hydro capacity cost seperation</t>
  </si>
  <si>
    <t>samanalawewa</t>
  </si>
  <si>
    <t>iginiyagala</t>
  </si>
  <si>
    <t>All power plants</t>
  </si>
  <si>
    <t>Voltage wise MW seperation</t>
  </si>
  <si>
    <t>no of days of the month</t>
  </si>
  <si>
    <t>coincident peak MW</t>
  </si>
  <si>
    <t>MW loss % of 220kV network</t>
  </si>
  <si>
    <t>MW loss % of 132kV network</t>
  </si>
  <si>
    <t>Internal consumption kWh ( Source Monthly TN)</t>
  </si>
  <si>
    <t>TOU factors</t>
  </si>
  <si>
    <t>132kV</t>
  </si>
  <si>
    <t>220kV</t>
  </si>
  <si>
    <t>132kV kWh</t>
  </si>
  <si>
    <t>220kV kWh</t>
  </si>
  <si>
    <t>132kV TOU</t>
  </si>
  <si>
    <t>220kV TOU</t>
  </si>
  <si>
    <t>Revenue collected from customers</t>
  </si>
  <si>
    <t>132kV LKR</t>
  </si>
  <si>
    <t>220kV LKR</t>
  </si>
  <si>
    <t>Hydro</t>
  </si>
  <si>
    <t xml:space="preserve">220kV Mn  LKR </t>
  </si>
  <si>
    <t xml:space="preserve">132kV Mn  LKR </t>
  </si>
  <si>
    <t xml:space="preserve">33kV Mn  LKR </t>
  </si>
  <si>
    <t xml:space="preserve">Capacity Transmission tariff (TR) </t>
  </si>
  <si>
    <t>total cost at 220kV</t>
  </si>
  <si>
    <t>Mn SLR</t>
  </si>
  <si>
    <t xml:space="preserve">Bulk Supply and Operations Business Tariff (BSS) </t>
  </si>
  <si>
    <t>revenue collected from 220kV customers</t>
  </si>
  <si>
    <t>cost transferred from 220kV</t>
  </si>
  <si>
    <t>revenue collected from 132kV customers</t>
  </si>
  <si>
    <t>cost transferred from 132kV</t>
  </si>
  <si>
    <t>220kV Tr Cap Tariff</t>
  </si>
  <si>
    <t>220kV TOU Transmission Loss Factor</t>
  </si>
  <si>
    <t xml:space="preserve">220kV Transmission loss factor  </t>
  </si>
  <si>
    <t>132kV TOU Transmission Loss Factor</t>
  </si>
  <si>
    <t>132kV Tr Cap Tariff</t>
  </si>
  <si>
    <t xml:space="preserve">132kV Transmission loss factor  </t>
  </si>
  <si>
    <t>33kV Tr Cap Tariff</t>
  </si>
  <si>
    <t>33kV TOU Transmission Loss Factor</t>
  </si>
  <si>
    <t xml:space="preserve">33kV Transmission loss factor  </t>
  </si>
  <si>
    <t>Tr loss at 33kV</t>
  </si>
  <si>
    <t>Capacity Charge at 33kV</t>
  </si>
  <si>
    <t>BST 
6-Month  Weighted Average</t>
  </si>
  <si>
    <t>Capacity Charge at 132 kV</t>
  </si>
  <si>
    <t>Capacity Charge 220kV</t>
  </si>
  <si>
    <t xml:space="preserve">Energy Charge </t>
  </si>
  <si>
    <t>METHOD 1 - adjusted based on loss factor</t>
  </si>
  <si>
    <t>Energy Charge at 33kV</t>
  </si>
  <si>
    <t>Energy Charge at 132kV</t>
  </si>
  <si>
    <t>Energy Charge at 220 kV</t>
  </si>
  <si>
    <t>METHOD 2 - Energy Cost kV basis</t>
  </si>
  <si>
    <t>Energy Charge at 220kV</t>
  </si>
  <si>
    <t>(For Tr customer)</t>
  </si>
  <si>
    <t xml:space="preserve">Energy </t>
  </si>
  <si>
    <t>473,260</t>
  </si>
  <si>
    <t>388,032</t>
  </si>
  <si>
    <t>294,291</t>
  </si>
  <si>
    <t>313,838</t>
  </si>
  <si>
    <t>413,756</t>
  </si>
  <si>
    <t>55,399</t>
  </si>
  <si>
    <t>125,424</t>
  </si>
  <si>
    <t>76,921</t>
  </si>
  <si>
    <t>109,402</t>
  </si>
  <si>
    <t>94,499</t>
  </si>
  <si>
    <t>125,694</t>
  </si>
  <si>
    <t>15,328</t>
  </si>
  <si>
    <t>430,083</t>
  </si>
  <si>
    <t>298,851</t>
  </si>
  <si>
    <t>262,685</t>
  </si>
  <si>
    <t>300,928</t>
  </si>
  <si>
    <t>259,231</t>
  </si>
  <si>
    <t>47,242</t>
  </si>
  <si>
    <t>Sojitz Kelanithissa(kVA)</t>
  </si>
  <si>
    <t>Energy price and Energy generated in each plant - 220kV</t>
  </si>
  <si>
    <t>Energy price and Energy generated in each plant - 132kV</t>
  </si>
  <si>
    <t xml:space="preserve">energy from plants connected to 220kV </t>
  </si>
  <si>
    <t xml:space="preserve">energy from plants connected to 132kV </t>
  </si>
  <si>
    <t xml:space="preserve">total energy from plants connected to 220&amp;132kV </t>
  </si>
  <si>
    <t>energy input to 220kV from plants connected to 220kV &amp; 132kV</t>
  </si>
  <si>
    <t>energy input to 132kV from plants connected to 220kV &amp; 132kV</t>
  </si>
  <si>
    <t>TOTAL energy cost</t>
  </si>
  <si>
    <t xml:space="preserve">cost of energy from plants connected to 220kV </t>
  </si>
  <si>
    <t xml:space="preserve">cost of energy from plants connected to 132kV </t>
  </si>
  <si>
    <t xml:space="preserve">total cost of energy from plants connected to 220&amp;132kV </t>
  </si>
  <si>
    <t>cost of energy input to 220kV from plants connected to 220kV &amp; 132kV</t>
  </si>
  <si>
    <t>cost of energy input to 132kV from plants connected to 220kV &amp; 132kV</t>
  </si>
  <si>
    <t>33kV Hydro generation</t>
  </si>
  <si>
    <t>132&amp;220kV hydro generration</t>
  </si>
  <si>
    <t>Energy Charge at 132 kV</t>
  </si>
  <si>
    <t>loss % from 132kV to 33kV</t>
  </si>
  <si>
    <t>loss % from 220kV to 33kV</t>
  </si>
  <si>
    <t>TOU loss %</t>
  </si>
  <si>
    <t>offpeak</t>
  </si>
  <si>
    <t>Transmission loss factor</t>
  </si>
  <si>
    <t>Transmission Losses Factor from 132 to 33kV</t>
  </si>
  <si>
    <t xml:space="preserve">TOU loss </t>
  </si>
  <si>
    <t>factor</t>
  </si>
  <si>
    <t>Capacity Charge Uma Oya</t>
  </si>
  <si>
    <t>1x50MW</t>
  </si>
  <si>
    <t>Forecast of the no. of startups determined based on the  average of 5 years historical data of the respective month.</t>
  </si>
  <si>
    <t>130MW Supplementary Power</t>
  </si>
  <si>
    <t>Capacity  UMO</t>
  </si>
  <si>
    <t>Source : Tr &amp; gen planning branch</t>
  </si>
  <si>
    <t>Loss</t>
  </si>
  <si>
    <t>source : National Demand Forecast 2020-2044 - CEB System Overall Losses(Figure 5,page 12)</t>
  </si>
  <si>
    <t>TOU Factors</t>
  </si>
  <si>
    <t xml:space="preserve">Fixed Charge </t>
  </si>
  <si>
    <t>Fixed Charge at 132kV &amp; 220kV</t>
  </si>
  <si>
    <t>Fixed Charge</t>
  </si>
  <si>
    <t>SLR/Month</t>
  </si>
  <si>
    <t>Island Gen</t>
  </si>
  <si>
    <t>Samanala</t>
  </si>
  <si>
    <t>SLR/kW</t>
  </si>
  <si>
    <t>Other Capital Cost</t>
  </si>
  <si>
    <t>Capacity  OMO</t>
  </si>
  <si>
    <t>Corporate cost of CEB HQ(2021)</t>
  </si>
  <si>
    <t>TOU enregy ratio is chaged as follows. These ratios were calculated using actual sales to DLs from May 2018 to April 2019 considering a consistent period of 12 months.</t>
  </si>
  <si>
    <t>Transmission Customer Tariff</t>
  </si>
  <si>
    <t>Generation Capacity Cost 132kV</t>
  </si>
  <si>
    <t>Generation Capacity Cost 33kV</t>
  </si>
  <si>
    <t>Generation Capacity Cost 220kV</t>
  </si>
  <si>
    <t>Vpower Valachchenei</t>
  </si>
  <si>
    <t>VPVal</t>
  </si>
  <si>
    <t>Renewable Energy Total with rooftop solar &amp; Mannar Wind</t>
  </si>
  <si>
    <t>Mannar Wind</t>
  </si>
  <si>
    <t>Capacity Charge Thambapavani</t>
  </si>
  <si>
    <t>Thambapavani</t>
  </si>
  <si>
    <t>TOTAL CAPACITY CHARGE THAMBAPAVANI</t>
  </si>
  <si>
    <t>Capacity Cost Thambapavani</t>
  </si>
  <si>
    <t>Energy Sent out</t>
  </si>
  <si>
    <t xml:space="preserve"> # USCPI, CCPI, FER are based on the Most recently available figures </t>
  </si>
  <si>
    <t>* Energy Sent out is based on Energy Dispatch Forcast July 2021 to December 2021  issued by System Control Branch</t>
  </si>
  <si>
    <t>Exchange Rate as at  2021-06-08 was considered.</t>
  </si>
  <si>
    <t>Exchange Rate as at 2021-06-08 was considered.</t>
  </si>
  <si>
    <t xml:space="preserve">2020 July Dec actual hydro </t>
  </si>
  <si>
    <t>2021 July Dec GWh hydro forecast</t>
  </si>
  <si>
    <t>Removed as informed by EE-EP. License expired &amp; no payments being made currently. 05/07/21</t>
  </si>
  <si>
    <t xml:space="preserve">                          -Combine Cycle - (Cold)</t>
  </si>
  <si>
    <t>Shut Down Cost</t>
  </si>
  <si>
    <t>Number of Starts (Cold)</t>
  </si>
  <si>
    <t>Number of Shutdowns</t>
  </si>
  <si>
    <t>Jan June 2022</t>
  </si>
  <si>
    <t xml:space="preserve">Bulk Supply Tariff </t>
  </si>
  <si>
    <t>CEB Emergency 50MW</t>
  </si>
  <si>
    <t xml:space="preserve">Estimated  Energy from NCRE Projects </t>
  </si>
  <si>
    <t>Start Stop Charge Rate (Cold)</t>
  </si>
  <si>
    <t>Start Stop Charge Rate (Warm)</t>
  </si>
  <si>
    <t>Start Stop Charge Rate (Hot)</t>
  </si>
  <si>
    <t>Generation HQ cost - 2022</t>
  </si>
  <si>
    <t>Capacity Cost UMO</t>
  </si>
  <si>
    <t>ROE</t>
  </si>
  <si>
    <t>LKR/kVA/Month</t>
  </si>
  <si>
    <t>6-Month  Average Capacity tariff</t>
  </si>
  <si>
    <t>Tr.customer average PF</t>
  </si>
  <si>
    <t>Total cost per MW for tr customer (LKR/MW)</t>
  </si>
  <si>
    <t>Total Capacity charge</t>
  </si>
  <si>
    <t>BSOB cost per MW for DL (LKR/MW)</t>
  </si>
  <si>
    <t>Share of BSOB cost assigned to supply distribution level (LKR)</t>
  </si>
  <si>
    <t>Capacity (MW)</t>
  </si>
  <si>
    <t>BSOB cost per MW for tr customer (LKR/MW)</t>
  </si>
  <si>
    <t>At distribution level</t>
  </si>
  <si>
    <t>MW loss from the point of connection of tr.customer up to distribution volatge (MW)</t>
  </si>
  <si>
    <t>Consumption of tr customer (MW)</t>
  </si>
  <si>
    <t>At the point of connection of tr.customer</t>
  </si>
  <si>
    <t>MW loss from generation volatage up to the point of connection of tr.customer (MW)</t>
  </si>
  <si>
    <t>Generation capacity (MW)</t>
  </si>
  <si>
    <t>Share of BSOB cost assigned to supply tr. Customer (LKR)</t>
  </si>
  <si>
    <t>BSOB cost (LKR)</t>
  </si>
  <si>
    <t>BSOB capacity charge</t>
  </si>
  <si>
    <t>Transmission cost per MW for DL (LKR/MW)</t>
  </si>
  <si>
    <t>Share of Transmission cost assigned to supply distribution level (LKR)</t>
  </si>
  <si>
    <t>Transmission cost per MW for tr customer (LKR/MW)</t>
  </si>
  <si>
    <t>Share of Transmission cost assigned to supply tr. Customer (LKR)</t>
  </si>
  <si>
    <t>Transmission cost (LKR)</t>
  </si>
  <si>
    <t>Transmission capacity charge</t>
  </si>
  <si>
    <t>Generation cost per MW for DL (LKR/MW)</t>
  </si>
  <si>
    <t>Generation cost per MW for tr customer (LKR/MW)</t>
  </si>
  <si>
    <t>Generation cost (LKR)</t>
  </si>
  <si>
    <t>Generation capacity charge</t>
  </si>
  <si>
    <t>Capacity Tariff</t>
  </si>
  <si>
    <t>Tr customer tariff (LKR/kWh)</t>
  </si>
  <si>
    <t>loss %</t>
  </si>
  <si>
    <t>BST (LKR/kWh)</t>
  </si>
  <si>
    <t>Energy Tariff</t>
  </si>
  <si>
    <t>share of fixed assets assigned to supply the tr.customer</t>
  </si>
  <si>
    <t>fixed asssets %</t>
  </si>
  <si>
    <t>Share of transmission fixed assets</t>
  </si>
  <si>
    <t>from the point of connection of tr.customer up to distribution volatge</t>
  </si>
  <si>
    <t>from generation volatage up to the point of connection of tr.customer</t>
  </si>
  <si>
    <t>MW loss %</t>
  </si>
  <si>
    <t xml:space="preserve">MW losses </t>
  </si>
  <si>
    <t>loss % (from the point of connection of tr.customer up to distribution volatge)</t>
  </si>
  <si>
    <t xml:space="preserve">Energy losses </t>
  </si>
  <si>
    <t>Total consumption - tr customers (MW)</t>
  </si>
  <si>
    <t xml:space="preserve">Ace Embilipitiya 1(kVA) </t>
  </si>
  <si>
    <t>Ace Embilipitiya 2(kVA)</t>
  </si>
  <si>
    <t>avg</t>
  </si>
  <si>
    <t>Avg PF - tr customers (MW)</t>
  </si>
  <si>
    <t>Selling Exchange Rate as at 2021-10-15 was considered.</t>
  </si>
  <si>
    <t>* Energy Sent out is based on Energy Dispatch Forcast Jan 2022 to june 2022  issued by System Control Branch</t>
  </si>
  <si>
    <t>Capacity Charge BLD</t>
  </si>
  <si>
    <t>TOTAL CAPACITY CHARGE BLD</t>
  </si>
  <si>
    <t>Capacity Cost BLD</t>
  </si>
  <si>
    <t>Capacity BLD</t>
  </si>
  <si>
    <t xml:space="preserve">Transmission Customer Tariff </t>
  </si>
  <si>
    <t>Thambapawani</t>
  </si>
  <si>
    <t>50MW Diesel Generators  Thulhiriya</t>
  </si>
  <si>
    <t>source : Monthly Review Report June 2021 - System Control</t>
  </si>
  <si>
    <t xml:space="preserve">Tr energy loss  </t>
  </si>
  <si>
    <t>Tr energy loss  132kV</t>
  </si>
  <si>
    <t>Tr energy loss 220kV</t>
  </si>
  <si>
    <t>Line lengths &amp; Tr energy loss</t>
  </si>
  <si>
    <t xml:space="preserve"> -</t>
  </si>
  <si>
    <t>* edited by EE(EP1)</t>
  </si>
  <si>
    <t>Number of Starts (N)  -Combine Cycle - (Hot)</t>
  </si>
  <si>
    <t>Number of Starts (D)  -Combine Cycle - (Hot)</t>
  </si>
  <si>
    <t>EnergyGenerated</t>
  </si>
  <si>
    <t>Generation HQ cost - 2023</t>
  </si>
  <si>
    <t>Rooftop Solar Generation</t>
  </si>
  <si>
    <t>Total cost of solar RT generation</t>
  </si>
  <si>
    <t>Total Energy</t>
  </si>
  <si>
    <t>Unit Price</t>
  </si>
  <si>
    <t xml:space="preserve">      Projects (CEB Funding)</t>
  </si>
  <si>
    <t>Apportioment of Gen HQ cost</t>
  </si>
  <si>
    <t>Capacity  WND(Umaoya)</t>
  </si>
  <si>
    <t>Other Income</t>
  </si>
  <si>
    <t>Capital cost</t>
  </si>
  <si>
    <t>Capacity  Umaoya</t>
  </si>
  <si>
    <t>SGPS 01 Fuel oil  (Rs/Kg)</t>
  </si>
  <si>
    <t>SGPS 01 LUBE  (Rs/Kg)</t>
  </si>
  <si>
    <t>Remarks</t>
  </si>
  <si>
    <t>Total Auxiliary Consumption</t>
  </si>
  <si>
    <t>Kelanitissa Combined Cycle 02</t>
  </si>
  <si>
    <t>CCKP 02</t>
  </si>
  <si>
    <t>Heavy Fuel (DNCHU)</t>
  </si>
  <si>
    <t>Heavy Fuel (DSP)</t>
  </si>
  <si>
    <t>Naphtha(CCKP)</t>
  </si>
  <si>
    <t>Average Actual Synchronised hours paid per GWh ** (GT 01 and GT 02)</t>
  </si>
  <si>
    <t>20MW Mathugama</t>
  </si>
  <si>
    <t>Hambantota 30MW</t>
  </si>
  <si>
    <t>30MW Hambantota</t>
  </si>
  <si>
    <t>Number of Starts         - Simple Cycle</t>
  </si>
  <si>
    <t>Number of Starts (D)  - Combine Cycle - (Hot)</t>
  </si>
  <si>
    <t xml:space="preserve">                            -Combine Cycle - (Warm)</t>
  </si>
  <si>
    <t>CCKP 02 - 163 MW</t>
  </si>
  <si>
    <t>50MW Diesel Generators:  Hambantota</t>
  </si>
  <si>
    <t>Auto Diesel (CCKP 02)</t>
  </si>
  <si>
    <t>Auto Diesel (GTSM, GT7 &amp; CCKP)</t>
  </si>
  <si>
    <t xml:space="preserve">Escalabale Component based on MGEA </t>
  </si>
  <si>
    <t xml:space="preserve">       Charge each year SLR / kWh</t>
  </si>
  <si>
    <t xml:space="preserve">Non - Escalabale Component based on MGEA </t>
  </si>
  <si>
    <t xml:space="preserve">     Charge each year SLR / kWh</t>
  </si>
  <si>
    <t xml:space="preserve">80  stops free </t>
  </si>
  <si>
    <t xml:space="preserve">Startup O &amp; M Rate   </t>
  </si>
  <si>
    <t xml:space="preserve">SLR/Machine </t>
  </si>
  <si>
    <t xml:space="preserve">Start up fuel quantity </t>
  </si>
  <si>
    <t xml:space="preserve">Litre/ Machine </t>
  </si>
  <si>
    <t xml:space="preserve">SLR/Litre </t>
  </si>
  <si>
    <t xml:space="preserve">Start up allowance </t>
  </si>
  <si>
    <t xml:space="preserve">start up O&amp;M Rate </t>
  </si>
  <si>
    <t xml:space="preserve">SLR/ Machine </t>
  </si>
  <si>
    <t xml:space="preserve">start up fuel quantity </t>
  </si>
  <si>
    <t>SLR/Litre</t>
  </si>
  <si>
    <t>No of start ups per month</t>
  </si>
  <si>
    <t xml:space="preserve">Total Stop charge </t>
  </si>
  <si>
    <t xml:space="preserve">SLR Mn </t>
  </si>
  <si>
    <t>Escalabale Component based on MGEA</t>
  </si>
  <si>
    <t>As at 22 08 2023 EP</t>
  </si>
  <si>
    <t>x k (k =1.76 average value of past data depending on the operating of the 2 GTs)</t>
  </si>
  <si>
    <t>Selling Exchange Rate as at 2023-08-22 was considered.</t>
  </si>
  <si>
    <t>SGPS 01        HFO  (Rs/liter)</t>
  </si>
  <si>
    <t>SGPS 02        HFO  (Rs/liter)</t>
  </si>
  <si>
    <t>CCKW            HFO (Rs/Litre)</t>
  </si>
  <si>
    <t>SGPS 02 Fuel oil  (Rs/Kg)</t>
  </si>
  <si>
    <t>Auto Diesel (GTSM, GT7,CCKP &amp; CCKP 02)</t>
  </si>
  <si>
    <t>for Minimum Guaranteed Energy of 189 gWh p.a, US$/kWh</t>
  </si>
  <si>
    <t>SGPS 02</t>
  </si>
  <si>
    <t>SGPS 01</t>
  </si>
  <si>
    <t>Hambantota 30MW (Dakunu Jananee)</t>
  </si>
  <si>
    <t>KCCP 02</t>
  </si>
  <si>
    <t xml:space="preserve">Long / Short Term Interest Account </t>
  </si>
  <si>
    <t>Overdraft  Interest Account</t>
  </si>
  <si>
    <t>SGPS 03</t>
  </si>
  <si>
    <t>for Minimum Guaranteed Energy of 248 gWh p.a, US$/kWh</t>
  </si>
  <si>
    <t>Sobadhanavi PP</t>
  </si>
  <si>
    <t>Asumming using liquid Fuel</t>
  </si>
  <si>
    <t>DCCR ( usd/kW/year )</t>
  </si>
  <si>
    <t xml:space="preserve">     USCPIb for base ( Nov 2016)</t>
  </si>
  <si>
    <t xml:space="preserve">     USCPIm for current month</t>
  </si>
  <si>
    <t xml:space="preserve">DFOMm( usd/kW/year ) </t>
  </si>
  <si>
    <t xml:space="preserve">       Charge each year usd / kWh</t>
  </si>
  <si>
    <t>USD/kWh</t>
  </si>
  <si>
    <t>RCCR ( SLR/kW/year )</t>
  </si>
  <si>
    <t xml:space="preserve">      SLNCPIb for base ( Nov 2016)</t>
  </si>
  <si>
    <t>* CCPI base change in January 2023</t>
  </si>
  <si>
    <t xml:space="preserve">     SLNCPIm for current month</t>
  </si>
  <si>
    <t xml:space="preserve">DVOMm( USD/kWh ) </t>
  </si>
  <si>
    <t>Energy charge ( USD/ kWh )</t>
  </si>
  <si>
    <t>Reference Value for Fuel Energy Rate (FER bl)</t>
  </si>
  <si>
    <t xml:space="preserve">No of Startups per Month                                    </t>
  </si>
  <si>
    <t xml:space="preserve">Startup Alowance per Month                                                  </t>
  </si>
  <si>
    <t>Sobadhanavi</t>
  </si>
  <si>
    <t xml:space="preserve">Sobadhanavi </t>
  </si>
  <si>
    <t>SGPS 03Fuel oil  (Rs/Kg)</t>
  </si>
  <si>
    <t>SGPS 03       HFO  (Rs/liter)</t>
  </si>
  <si>
    <t>Sobadhanavi Diesel (Rs/Litre)</t>
  </si>
  <si>
    <t>for Minimum Guaranteed Energy of 692 gWh p.a, US$/kWh</t>
  </si>
  <si>
    <t>RCCR ( Rs/kW/year )</t>
  </si>
  <si>
    <t>* Energy Sent out is based on Energy Dispatch Forcast 2024-Scenario P issued by System Control Branch</t>
  </si>
  <si>
    <t>Selling Exchange Rate as at 2023-10-10 was considered.</t>
  </si>
  <si>
    <t xml:space="preserve">Debenture Interest Account                                  </t>
  </si>
  <si>
    <t>Lease interest Account</t>
  </si>
  <si>
    <t>Transmission system allowed revenue *</t>
  </si>
  <si>
    <t>BSOB allowed revenue *</t>
  </si>
  <si>
    <t>BSOBWK allowance (additional finance cost required to cover the potential gap as per clause 2.4.3 in Tariff Methodology)</t>
  </si>
  <si>
    <t>ACE -Matara  -  23.75 MW</t>
  </si>
  <si>
    <t>ACE Embilipitya -  93 MW</t>
  </si>
  <si>
    <t>Remarks :Added Sobadhanavi</t>
  </si>
  <si>
    <t>ACE Matara</t>
  </si>
  <si>
    <t>ACE Embilipitiya</t>
  </si>
  <si>
    <t>As at 07 12 2023 EP</t>
  </si>
  <si>
    <t>For Sobadhanavi</t>
  </si>
  <si>
    <t>Average Weighted Prime Lending Rate</t>
  </si>
  <si>
    <r>
      <t>AWPR</t>
    </r>
    <r>
      <rPr>
        <vertAlign val="subscript"/>
        <sz val="10"/>
        <rFont val="Verdana"/>
        <family val="2"/>
      </rPr>
      <t>m</t>
    </r>
  </si>
  <si>
    <t>WCL</t>
  </si>
  <si>
    <t>SWCL (%)</t>
  </si>
  <si>
    <t>FERb</t>
  </si>
  <si>
    <t>Generation Capacity</t>
  </si>
  <si>
    <t>Tr Allowed Revenue</t>
  </si>
  <si>
    <t>BSOB Allowed Revenue</t>
  </si>
  <si>
    <t>Total Energy Cost</t>
  </si>
  <si>
    <t>Total Energy Generated at TL Boundary (GWh)</t>
  </si>
  <si>
    <t>CEB Thermal</t>
  </si>
  <si>
    <t>RENEW</t>
  </si>
  <si>
    <t>Roof Top Solar</t>
  </si>
  <si>
    <t>Without Coal</t>
  </si>
  <si>
    <t>GWh/kWh</t>
  </si>
  <si>
    <t>MC</t>
  </si>
  <si>
    <t>Mannar</t>
  </si>
  <si>
    <t>Start Stop Charge -After Blackout</t>
  </si>
  <si>
    <t>Fixed Tariff</t>
  </si>
  <si>
    <t xml:space="preserve">Percentage of Energy Purchased under different Tariff categories </t>
  </si>
  <si>
    <t>Percentage</t>
  </si>
  <si>
    <t>Reference</t>
  </si>
  <si>
    <t>Existing</t>
  </si>
  <si>
    <t>x&gt;500</t>
  </si>
  <si>
    <t>Variable tariff</t>
  </si>
  <si>
    <t>Aggregation scheme</t>
  </si>
  <si>
    <t>Availability</t>
  </si>
  <si>
    <t>Plant Capacity (GPC)</t>
  </si>
  <si>
    <t>Capacity Charge Rate (CCR)</t>
  </si>
  <si>
    <t>LKR/MW/Day</t>
  </si>
  <si>
    <t>No of Hours of the Month</t>
  </si>
  <si>
    <t xml:space="preserve">     Charge each month LKR / kWh</t>
  </si>
  <si>
    <t>Exchange rate from SLR into USD</t>
  </si>
  <si>
    <t>Loss Calculation Prepared by CS as at April 27, 2024</t>
  </si>
  <si>
    <t>Solar RT Generation (New Customers*)</t>
  </si>
  <si>
    <t>Up to 500kW</t>
  </si>
  <si>
    <t>Above 500kW</t>
  </si>
  <si>
    <t xml:space="preserve"> </t>
  </si>
  <si>
    <t>% Energy from above 500kW SRT</t>
  </si>
  <si>
    <t xml:space="preserve">% Energy from below 500kW SRT </t>
  </si>
  <si>
    <t>Delayed Interest on IPP Payments</t>
  </si>
  <si>
    <t>Delayed Interest on NCRE Payments</t>
  </si>
  <si>
    <t>MLKR</t>
  </si>
  <si>
    <t>Settlement of SSCL Liabilty and Penalty</t>
  </si>
  <si>
    <t>TL Additional OPEX Requirement</t>
  </si>
  <si>
    <t>TL Additional CAPEX Requirement</t>
  </si>
  <si>
    <t>BSOB OPEX requirement*</t>
  </si>
  <si>
    <t>TL OPEX Requirement*</t>
  </si>
  <si>
    <t>Amount (LKR)</t>
  </si>
  <si>
    <t>Total Overhead I for TL                    b</t>
  </si>
  <si>
    <t xml:space="preserve">Assets Management </t>
  </si>
  <si>
    <t>Headquarters</t>
  </si>
  <si>
    <t>Projects Division</t>
  </si>
  <si>
    <t>Total TL OPEX                    (a+b+c)</t>
  </si>
  <si>
    <t>BSOB OPEX</t>
  </si>
  <si>
    <t>Supplentary Power 100MW</t>
  </si>
  <si>
    <t>SGPS (100MW)</t>
  </si>
  <si>
    <t>SGPS 100MW</t>
  </si>
  <si>
    <t>Capital Repayments of IPP &amp; NCRE Payments</t>
  </si>
  <si>
    <t>July - Dec</t>
  </si>
  <si>
    <t>Tax reimbursements</t>
  </si>
  <si>
    <t>Previous Submission</t>
  </si>
  <si>
    <t>% Increase</t>
  </si>
  <si>
    <t>Increase/Decrease Cost</t>
  </si>
  <si>
    <t>DFOMb( usd/kW/year )</t>
  </si>
  <si>
    <t>RFOMb( SLR/kW/year )</t>
  </si>
  <si>
    <t>SRDF</t>
  </si>
  <si>
    <r>
      <t>AWPR</t>
    </r>
    <r>
      <rPr>
        <vertAlign val="subscript"/>
        <sz val="11"/>
        <color theme="1"/>
        <rFont val="Calibri"/>
        <family val="2"/>
        <scheme val="minor"/>
      </rPr>
      <t>M</t>
    </r>
  </si>
  <si>
    <r>
      <t>RRP</t>
    </r>
    <r>
      <rPr>
        <vertAlign val="subscript"/>
        <sz val="11"/>
        <color theme="1"/>
        <rFont val="Calibri"/>
        <family val="2"/>
        <scheme val="minor"/>
      </rPr>
      <t>YD</t>
    </r>
  </si>
  <si>
    <r>
      <t>RTI</t>
    </r>
    <r>
      <rPr>
        <vertAlign val="subscript"/>
        <sz val="11"/>
        <color theme="1"/>
        <rFont val="Calibri"/>
        <family val="2"/>
        <scheme val="minor"/>
      </rPr>
      <t>MD</t>
    </r>
  </si>
  <si>
    <r>
      <t>ROB</t>
    </r>
    <r>
      <rPr>
        <vertAlign val="subscript"/>
        <sz val="11"/>
        <color theme="1"/>
        <rFont val="Calibri"/>
        <family val="2"/>
        <scheme val="minor"/>
      </rPr>
      <t>YD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</si>
  <si>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YD</t>
    </r>
  </si>
  <si>
    <t>DVOMb( USD/kWh )</t>
  </si>
  <si>
    <t>RVOMb( Rs/kWh )</t>
  </si>
  <si>
    <t>Mannar wind</t>
  </si>
  <si>
    <t>Depreciation related to Major CAPEX 2025***</t>
  </si>
  <si>
    <t xml:space="preserve">                                 -  </t>
  </si>
  <si>
    <t>Forecasted Tariff
Rs/kWh</t>
  </si>
  <si>
    <t xml:space="preserve">Circular No:
2024/GM/ 46 /DCC of 09.08.2024
DCC Circular:
2024/DCC/COM-12 
Revision of Tariff for Rooftop Solar PV systems
</t>
  </si>
  <si>
    <t>Other</t>
  </si>
  <si>
    <t>0&lt;x&lt;20</t>
  </si>
  <si>
    <t>Circular No:
2024/GM/ 59 /DCC of 01.11.2024
DCC Circular:
2024/DCC/COM-14
Revision of Tariff for Rooftop Solar PV systems-Variable Tariff Scheme</t>
  </si>
  <si>
    <t>20&lt;x&lt;100</t>
  </si>
  <si>
    <t>100&lt;x&lt;500</t>
  </si>
  <si>
    <t>Total Energy Purchased under Fixed Tariff Category (kWh)</t>
  </si>
  <si>
    <t>Total Energy Purchased under Variable Tariff Category (kWh)</t>
  </si>
  <si>
    <t xml:space="preserve">Note: </t>
  </si>
  <si>
    <t xml:space="preserve">Forecasted Tariff for both Fixed and Variable Tariff categories was calculated using the weighted average method </t>
  </si>
  <si>
    <t>Forecasted Tariff used for Variable Tariff Category is the tariff applicable for the period Oct-Dec 2024</t>
  </si>
  <si>
    <t>Fixed Tariff Category</t>
  </si>
  <si>
    <t>Rooftop Solar Generation (Existing Customers)</t>
  </si>
  <si>
    <t>Estimated Rooftop Solar Energy to be purchased under Fixed Tariff Category</t>
  </si>
  <si>
    <t>Variable Tariff Category</t>
  </si>
  <si>
    <t>Estimated Rooftop Solar Energy to be purchased under Variable Tariff Category</t>
  </si>
  <si>
    <t>Estimate of Energy for Solar RT*</t>
  </si>
  <si>
    <t>CEB</t>
  </si>
  <si>
    <t>LECO</t>
  </si>
  <si>
    <t>Total Installed Capacity  (kW) - CEB Info</t>
  </si>
  <si>
    <t>Total Installed Capacity  Above 500kW - CEB Info</t>
  </si>
  <si>
    <t>Settlements = Estimated value of Delay Interests</t>
  </si>
  <si>
    <t>Per Start</t>
  </si>
  <si>
    <t>Start Stop Charge Rate Hot</t>
  </si>
  <si>
    <t>Start Stop Charge Rate Warm</t>
  </si>
  <si>
    <t>Start Stop Charge Rate Cold</t>
  </si>
  <si>
    <t>Number of Starts Cold</t>
  </si>
  <si>
    <t>Number of Starts warm</t>
  </si>
  <si>
    <t>Number of Starts Hot</t>
  </si>
  <si>
    <t xml:space="preserve">Horana Padukka 132KV Transmission Line </t>
  </si>
  <si>
    <t xml:space="preserve">Mullikulam Wind Power Transmission Project </t>
  </si>
  <si>
    <t>CEB GL's Hydropower Net Generation</t>
  </si>
  <si>
    <t>CEB GL's Hydropower Gross Generation</t>
  </si>
  <si>
    <r>
      <t xml:space="preserve">CEB GL's Windpower Net Generation </t>
    </r>
    <r>
      <rPr>
        <sz val="6"/>
        <rFont val="Verdana"/>
        <family val="2"/>
      </rPr>
      <t>(Mannar)</t>
    </r>
  </si>
  <si>
    <r>
      <t xml:space="preserve">CEB GL's Windpower Gross Generation </t>
    </r>
    <r>
      <rPr>
        <sz val="6"/>
        <rFont val="Verdana"/>
        <family val="2"/>
      </rPr>
      <t>(Mannar)</t>
    </r>
  </si>
  <si>
    <t>Total Purchases by TL from CEB GL</t>
  </si>
  <si>
    <t>Cost of Project Management Unit to develop infrastructure to supply LNG for Power Plants</t>
  </si>
  <si>
    <t>Tax Reimbursements</t>
  </si>
  <si>
    <t xml:space="preserve">Data in Lab reports of DFO deilivery to Sobadhanavi in July 2025 were taken to calculate FER in Sobadhanavi Power Station </t>
  </si>
  <si>
    <t xml:space="preserve">Tariff applicable for the forecasted period is as per the circular no. 2025/GM/ 15 /DCC of 20.06.2025.  
However, as the category-wise data is not available, the maximum tariff amounts of the categories "Up to 500kW" and "Above 500kW" are used. </t>
  </si>
  <si>
    <t>% Energy from existing SRT Up to 01.08.2025 (Estimate)</t>
  </si>
  <si>
    <t>% Energy from new SRT upto March 2026 (Estimate)</t>
  </si>
  <si>
    <t>*As per the information available at CEB Assist</t>
  </si>
  <si>
    <t xml:space="preserve">*Transmission Loss is taken as 3.31% according to Loss Calculation Prepared by CS as at April 27, 2024
</t>
  </si>
  <si>
    <t>Capital repayments of Working Capital loans</t>
  </si>
  <si>
    <t>  634375000.00</t>
  </si>
  <si>
    <t>       631250000.00</t>
  </si>
  <si>
    <t>       628125000.00</t>
  </si>
  <si>
    <r>
      <t xml:space="preserve">1.1 </t>
    </r>
    <r>
      <rPr>
        <sz val="10"/>
        <rFont val="Verdana"/>
        <family val="2"/>
      </rPr>
      <t>Tr. Allowed revenue as approved in BST decision June - December dated July 09, 2025 (Total of MLKR 639 for Insurance Reserve Fund ,MLKR 321.03, Settlement of SSCL Liabilty and Penalty , MLKR 309.69 and  Cost of Project Management Unit to develop infrastructure to supply LNG for Power Plants was approved in Tr. Allowed revenue was adjusted accordingly ,MLKR 7.3 )</t>
    </r>
    <r>
      <rPr>
        <b/>
        <sz val="10"/>
        <rFont val="Verdana"/>
        <family val="2"/>
      </rPr>
      <t xml:space="preserve">
1.2 </t>
    </r>
    <r>
      <rPr>
        <sz val="10"/>
        <rFont val="Verdana"/>
        <family val="2"/>
      </rPr>
      <t>BSOB Allowed Revenue as approved in BST decision June - December dated July 09, 2025 &amp; BST Decision Oct - Dec 2025 dated Oct 29, 2025</t>
    </r>
    <r>
      <rPr>
        <b/>
        <sz val="10"/>
        <rFont val="Verdana"/>
        <family val="2"/>
      </rPr>
      <t xml:space="preserve">
1.3 </t>
    </r>
    <r>
      <rPr>
        <sz val="10"/>
        <rFont val="Verdana"/>
        <family val="2"/>
      </rPr>
      <t xml:space="preserve">Tr. Allowed revenue adjusted in accordance with clause  2.3.2.8 in TM 2021 - </t>
    </r>
    <r>
      <rPr>
        <b/>
        <sz val="10"/>
        <rFont val="Verdana"/>
        <family val="2"/>
      </rPr>
      <t xml:space="preserve">MLKR  20,558
1.4 </t>
    </r>
    <r>
      <rPr>
        <sz val="10"/>
        <rFont val="Verdana"/>
        <family val="2"/>
      </rPr>
      <t xml:space="preserve">BSOB Allowed revenue adjusted in accordance with clause  2.3.2.8 in TM 2021 - </t>
    </r>
    <r>
      <rPr>
        <b/>
        <sz val="10"/>
        <rFont val="Verdana"/>
        <family val="2"/>
      </rPr>
      <t>MLKR  2,115</t>
    </r>
  </si>
  <si>
    <t>Date</t>
  </si>
  <si>
    <t>Principal Repayment</t>
  </si>
  <si>
    <t>Interest Payment (6%)</t>
  </si>
  <si>
    <t>Total Payment</t>
  </si>
  <si>
    <t>30.12.2025</t>
  </si>
  <si>
    <t>                                  -  </t>
  </si>
  <si>
    <t>              12,500,000.00</t>
  </si>
  <si>
    <t>30.01.2026</t>
  </si>
  <si>
    <t>         12,500,000.00</t>
  </si>
  <si>
    <t>28.02.2026</t>
  </si>
  <si>
    <t>        625,000,000.00</t>
  </si>
  <si>
    <t>       637,500,000.00</t>
  </si>
  <si>
    <t>30.03.2026</t>
  </si>
  <si>
    <t>                 9,375,000.00</t>
  </si>
  <si>
    <t>       634,375,000.00</t>
  </si>
  <si>
    <t>30.04.2026</t>
  </si>
  <si>
    <t>                 6,250,000.00</t>
  </si>
  <si>
    <t>       631,250,000.00</t>
  </si>
  <si>
    <t>30.05.2026</t>
  </si>
  <si>
    <t>                 3,125,000.00</t>
  </si>
  <si>
    <t>       628,125,000.00</t>
  </si>
  <si>
    <t>Direct O&amp;M Expenses - TL                a</t>
  </si>
  <si>
    <t xml:space="preserve">Total Overhead II for TL                   c </t>
  </si>
  <si>
    <r>
      <rPr>
        <b/>
        <sz val="10"/>
        <rFont val="Verdana"/>
        <family val="2"/>
      </rPr>
      <t>3</t>
    </r>
    <r>
      <rPr>
        <sz val="10"/>
        <rFont val="Verdana"/>
        <family val="2"/>
      </rPr>
      <t>. A loan has been obtained from DD 01 at an interest rate of 6% for the purpose of making the arbitration settlement payment to Sojitz Kelanitissa (Pvt) Ltd, which is to be settled by 30/05/2026. The repayment schedule, as confirmed by AFM (Tr.), is detailed below.</t>
    </r>
  </si>
  <si>
    <t>        12,500,000.00</t>
  </si>
  <si>
    <t>Note :1.3</t>
  </si>
  <si>
    <t>Note:1.4</t>
  </si>
  <si>
    <t>Note:2</t>
  </si>
  <si>
    <t>Note:3</t>
  </si>
  <si>
    <t>Note:4</t>
  </si>
  <si>
    <t>Estimated Total Installed Capacity Expected to be added upto Mar-2026 (MW/month)
[System Control Information]</t>
  </si>
  <si>
    <t>Estimated Total Installed Capacity Expected to be added upto June 2026 (MW)</t>
  </si>
  <si>
    <t>Total Installed Capacity as of  14.11.2025 (MW)</t>
  </si>
  <si>
    <t>July - Dec 2025</t>
  </si>
  <si>
    <t>Jan - March
 2025
(Actual BST)</t>
  </si>
  <si>
    <t>Jan - March
 2024
(Actual BST)</t>
  </si>
  <si>
    <t>Oct - Dec 
2025
(Approved BST)</t>
  </si>
  <si>
    <t>Jan - March
 2026
(Forecast BST)</t>
  </si>
  <si>
    <t>RTS</t>
  </si>
  <si>
    <t>NCRE</t>
  </si>
  <si>
    <t>CEB Wind</t>
  </si>
  <si>
    <t>As per the actual energy purchases in the period January to June 2025</t>
  </si>
  <si>
    <t>(Source: CEB Info)</t>
  </si>
  <si>
    <t>Estimate of Energy for Solar RT based on Capacity - (Above 500kW)**</t>
  </si>
  <si>
    <t>**As per the CEB Info data of October, 2025</t>
  </si>
  <si>
    <r>
      <t xml:space="preserve">TL &amp; BSOB OPEX Requirement </t>
    </r>
    <r>
      <rPr>
        <vertAlign val="superscript"/>
        <sz val="10"/>
        <rFont val="Verdana"/>
        <family val="2"/>
      </rPr>
      <t>5</t>
    </r>
  </si>
  <si>
    <r>
      <t>Loan Repayment of TL - Settlement of Sojitz (Capital &amp; Interest)</t>
    </r>
    <r>
      <rPr>
        <vertAlign val="superscript"/>
        <sz val="10"/>
        <rFont val="Verdana"/>
        <family val="2"/>
      </rPr>
      <t>3</t>
    </r>
  </si>
  <si>
    <t>Note:5</t>
  </si>
  <si>
    <t>Insurance Investment Fund⁵</t>
  </si>
  <si>
    <t>Construction of Headquarters Building for CEB at Narahenpita (Vidulakpaya project)</t>
  </si>
  <si>
    <r>
      <rPr>
        <b/>
        <sz val="10"/>
        <rFont val="Verdana"/>
        <family val="2"/>
      </rPr>
      <t>5</t>
    </r>
    <r>
      <rPr>
        <sz val="10"/>
        <rFont val="Verdana"/>
        <family val="2"/>
      </rPr>
      <t>. IIF as confirmed by respective divisions  : Additional operational expenses pertaining to the Insurance Invetment Fund (Escrow Fund with relevant to Gross assets as at 2025.12.31*0.001) which were not  included in TF 2024-2026 is added and detailed breakdown is as follows. Detailed breakdown for the period Jan - June 2026 is as below.</t>
    </r>
  </si>
  <si>
    <t xml:space="preserve">  </t>
  </si>
  <si>
    <t>as  at January 28,  2026</t>
  </si>
  <si>
    <t>Indexes for December  2025</t>
  </si>
  <si>
    <t>as  at January 2, 2026</t>
  </si>
  <si>
    <t>NDC-CC ( kW )</t>
  </si>
  <si>
    <t>NDC-OC ( kW )</t>
  </si>
  <si>
    <t>IHRCL - CC</t>
  </si>
  <si>
    <t>IHROL - OC</t>
  </si>
  <si>
    <t>Average Actual Synchronised hours paid per GWh ** - CC</t>
  </si>
  <si>
    <t>Average Actual Synchronised hours paid per GWh ** - OC</t>
  </si>
  <si>
    <t>Synchronised hrs ( hm ) ** (CC)</t>
  </si>
  <si>
    <t>Synchronised hrs ( hm ) ** (OC)</t>
  </si>
  <si>
    <t>NL(CC)</t>
  </si>
  <si>
    <t>NL(OC)</t>
  </si>
  <si>
    <t>Energy - CC - 100%</t>
  </si>
  <si>
    <t>Energy - CC - &lt;100%</t>
  </si>
  <si>
    <t>Energy - OC - 100%</t>
  </si>
  <si>
    <t>Energy - OC - &lt;100%</t>
  </si>
  <si>
    <t>April - June 2026 (Forecast BST)</t>
  </si>
  <si>
    <r>
      <rPr>
        <b/>
        <sz val="10"/>
        <rFont val="Verdana"/>
        <family val="2"/>
      </rPr>
      <t>2</t>
    </r>
    <r>
      <rPr>
        <sz val="10"/>
        <rFont val="Verdana"/>
        <family val="2"/>
      </rPr>
      <t>. Finance Cost as confirmed by DFM(Planning &amp; Information) : AWPLR was considered as 8.87 % for forecasting January 2026 to June 2026</t>
    </r>
  </si>
  <si>
    <t>Amount (MLKR)</t>
  </si>
  <si>
    <r>
      <rPr>
        <b/>
        <sz val="10"/>
        <rFont val="Verdana"/>
        <family val="2"/>
      </rPr>
      <t>6.</t>
    </r>
    <r>
      <rPr>
        <sz val="10"/>
        <rFont val="Verdana"/>
        <family val="2"/>
      </rPr>
      <t xml:space="preserve"> TL-related portion of the Vidulakapaya project cost received from the AM Division</t>
    </r>
  </si>
  <si>
    <t>Common Divisions</t>
  </si>
  <si>
    <t>Transmission Wired &amp; Non Wired Divisions</t>
  </si>
  <si>
    <r>
      <rPr>
        <b/>
        <sz val="10"/>
        <rFont val="Verdana"/>
        <family val="2"/>
      </rPr>
      <t>4</t>
    </r>
    <r>
      <rPr>
        <sz val="10"/>
        <rFont val="Verdana"/>
        <family val="2"/>
      </rPr>
      <t>.Additional OPEX requirements for settling gratuity obligations of Transmission (Wired and Non-Wired) employees, along with the TL portion of common division employees who have applied for VRS, and the corresponding salary savings resulting from their VRS applications, are as follows:
Ask ChatGPT</t>
    </r>
  </si>
  <si>
    <r>
      <t>Gratuity payments and salary savings arising from VRS applications</t>
    </r>
    <r>
      <rPr>
        <vertAlign val="superscript"/>
        <sz val="10"/>
        <rFont val="Verdana"/>
        <family val="2"/>
      </rPr>
      <t>4</t>
    </r>
  </si>
  <si>
    <t xml:space="preserve">April - June 2026 </t>
  </si>
  <si>
    <t xml:space="preserve">Base Startup Rates - OC                    </t>
  </si>
  <si>
    <t xml:space="preserve">Base Startup Rates - CC                    </t>
  </si>
  <si>
    <t>Updated as CEB EP data at 30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</si>
</sst>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€_-;\-* #,##0.00\ _€_-;_-* &quot;-&quot;??\ _€_-;_-@_-"/>
    <numFmt numFmtId="166" formatCode="_(* #,##0_);_(* \(#,##0\);_(* &quot;-&quot;??_);_(@_)"/>
    <numFmt numFmtId="167" formatCode="0.0000"/>
    <numFmt numFmtId="168" formatCode="0.000"/>
    <numFmt numFmtId="169" formatCode="0.0"/>
    <numFmt numFmtId="170" formatCode="#,##0.0"/>
    <numFmt numFmtId="171" formatCode="0.00000"/>
    <numFmt numFmtId="172" formatCode="0.0000000"/>
    <numFmt numFmtId="173" formatCode="_-* #,##0\ _€_-;\-* #,##0\ _€_-;_-* &quot;-&quot;??\ _€_-;_-@_-"/>
    <numFmt numFmtId="174" formatCode="_-* #,##0.0\ _€_-;\-* #,##0.0\ _€_-;_-* &quot;-&quot;??\ _€_-;_-@_-"/>
    <numFmt numFmtId="175" formatCode="_-* #,##0.000\ _€_-;\-* #,##0.000\ _€_-;_-* &quot;-&quot;??\ _€_-;_-@_-"/>
    <numFmt numFmtId="176" formatCode="0.00000000"/>
    <numFmt numFmtId="177" formatCode="#,##0.000000"/>
    <numFmt numFmtId="178" formatCode="_-* #,##0.000000\ _€_-;\-* #,##0.000000\ _€_-;_-* &quot;-&quot;??\ _€_-;_-@_-"/>
    <numFmt numFmtId="179" formatCode="#,##0.000"/>
    <numFmt numFmtId="180" formatCode="0.000%"/>
    <numFmt numFmtId="181" formatCode="0.0%"/>
    <numFmt numFmtId="182" formatCode="0.000000"/>
    <numFmt numFmtId="183" formatCode="#,##0.000000000"/>
    <numFmt numFmtId="184" formatCode="#,##0.0000"/>
    <numFmt numFmtId="185" formatCode="#,##0.00000"/>
    <numFmt numFmtId="186" formatCode="0.000000000"/>
    <numFmt numFmtId="187" formatCode="_(* #,##0.000_);_(* \(#,##0.000\);_(* &quot;-&quot;??_);_(@_)"/>
    <numFmt numFmtId="188" formatCode="_-* #,##0.0000\ _€_-;\-* #,##0.0000\ _€_-;_-* &quot;-&quot;??\ _€_-;_-@_-"/>
    <numFmt numFmtId="189" formatCode="_-* #,##0.0000000000000\ _€_-;\-* #,##0.0000000000000\ _€_-;_-* &quot;-&quot;??\ _€_-;_-@_-"/>
    <numFmt numFmtId="190" formatCode="#,##0.00000000000000"/>
    <numFmt numFmtId="191" formatCode="_(* #,##0.0_);_(* \(#,##0.0\);_(* &quot;-&quot;??_);_(@_)"/>
    <numFmt numFmtId="192" formatCode="mmm\-yyyy"/>
    <numFmt numFmtId="193" formatCode="#,##0.0000000000"/>
    <numFmt numFmtId="194" formatCode="_(* #,##0.0000000000000_);_(* \(#,##0.0000000000000\);_(* &quot;-&quot;?????????????_);_(@_)"/>
    <numFmt numFmtId="195" formatCode="_(* #,##0.0000_);_(* \(#,##0.0000\);_(* &quot;-&quot;????_);_(@_)"/>
    <numFmt numFmtId="196" formatCode="#,##0.0000000"/>
    <numFmt numFmtId="197" formatCode="#,##0.00000000"/>
    <numFmt numFmtId="198" formatCode="[$-809]dd\ mmmm\ yyyy;@"/>
    <numFmt numFmtId="199" formatCode="[$-809]\ mmmm\ yyyy;@"/>
    <numFmt numFmtId="200" formatCode="_-* #,##0.00000\ _€_-;\-* #,##0.00000\ _€_-;_-* &quot;-&quot;??\ _€_-;_-@_-"/>
    <numFmt numFmtId="201" formatCode="_(* #,##0.0000_);_(* \(#,##0.0000\);_(* &quot;-&quot;??_);_(@_)"/>
    <numFmt numFmtId="202" formatCode="[$-409]mmm\-yy;@"/>
    <numFmt numFmtId="203" formatCode="[h]:mm:ss;@"/>
    <numFmt numFmtId="204" formatCode="mmmm\ d\,\ yyyy"/>
    <numFmt numFmtId="205" formatCode="dd/mm/yyyy;@"/>
    <numFmt numFmtId="206" formatCode="0.0000%"/>
    <numFmt numFmtId="207" formatCode="0.00000%"/>
    <numFmt numFmtId="208" formatCode="0.000000%"/>
    <numFmt numFmtId="209" formatCode="0.0000000%"/>
    <numFmt numFmtId="210" formatCode="0.00000000%"/>
    <numFmt numFmtId="211" formatCode="#,##0.00_ ;\-#,##0.00\ "/>
    <numFmt numFmtId="212" formatCode="0.0000_);\(0.0000\)"/>
    <numFmt numFmtId="213" formatCode="_-* #,##0_-;\-* #,##0_-;_-* &quot;-&quot;??_-;_-@_-"/>
    <numFmt numFmtId="214" formatCode="_(* #,##0.000_);_(* \(#,##0.000\);_(* &quot;-&quot;???_);_(@_)"/>
    <numFmt numFmtId="215" formatCode="0.00000000000000"/>
    <numFmt numFmtId="216" formatCode="0.000000000000"/>
    <numFmt numFmtId="217" formatCode="#,##0_ ;\-#,##0\ "/>
  </numFmts>
  <fonts count="239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color indexed="9"/>
      <name val="Verdana"/>
      <family val="2"/>
    </font>
    <font>
      <sz val="12"/>
      <name val="Verdana"/>
      <family val="2"/>
    </font>
    <font>
      <sz val="10"/>
      <color indexed="18"/>
      <name val="Verdana"/>
      <family val="2"/>
    </font>
    <font>
      <b/>
      <sz val="24"/>
      <color indexed="18"/>
      <name val="Verdana"/>
      <family val="2"/>
    </font>
    <font>
      <sz val="11"/>
      <name val="Verdana"/>
      <family val="2"/>
      <charset val="162"/>
    </font>
    <font>
      <b/>
      <sz val="12"/>
      <color indexed="18"/>
      <name val="Verdana"/>
      <family val="2"/>
    </font>
    <font>
      <b/>
      <sz val="10"/>
      <color indexed="18"/>
      <name val="Verdana"/>
      <family val="2"/>
    </font>
    <font>
      <u/>
      <sz val="10"/>
      <name val="Verdana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Arial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2"/>
      <color indexed="10"/>
      <name val="Arial"/>
      <family val="2"/>
    </font>
    <font>
      <vertAlign val="subscript"/>
      <sz val="10"/>
      <name val="Verdana"/>
      <family val="2"/>
    </font>
    <font>
      <b/>
      <sz val="14"/>
      <name val="Verdana"/>
      <family val="2"/>
    </font>
    <font>
      <sz val="10"/>
      <color indexed="22"/>
      <name val="Verdana"/>
      <family val="2"/>
    </font>
    <font>
      <b/>
      <sz val="10"/>
      <color indexed="22"/>
      <name val="Verdana"/>
      <family val="2"/>
    </font>
    <font>
      <sz val="10"/>
      <color indexed="22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11"/>
      <name val="Verdana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sz val="10"/>
      <name val="Verdana"/>
      <family val="2"/>
    </font>
    <font>
      <i/>
      <sz val="8"/>
      <name val="Arial"/>
      <family val="2"/>
    </font>
    <font>
      <i/>
      <sz val="10"/>
      <name val="Verdana"/>
      <family val="2"/>
    </font>
    <font>
      <b/>
      <sz val="15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u/>
      <sz val="11"/>
      <color theme="1"/>
      <name val="Calibri"/>
      <family val="2"/>
      <scheme val="minor"/>
    </font>
    <font>
      <sz val="10"/>
      <color theme="9" tint="-0.249977111117893"/>
      <name val="Verdana"/>
      <family val="2"/>
    </font>
    <font>
      <sz val="16"/>
      <color rgb="FFFF0000"/>
      <name val="Verdana"/>
      <family val="2"/>
    </font>
    <font>
      <sz val="10"/>
      <color theme="9" tint="-0.249977111117893"/>
      <name val="Arial"/>
      <family val="2"/>
    </font>
    <font>
      <b/>
      <sz val="10"/>
      <color rgb="FFFF0000"/>
      <name val="Verdana"/>
      <family val="2"/>
    </font>
    <font>
      <b/>
      <sz val="20"/>
      <color rgb="FFFF0000"/>
      <name val="Verdana"/>
      <family val="2"/>
    </font>
    <font>
      <sz val="10"/>
      <color rgb="FF00B050"/>
      <name val="Verdana"/>
      <family val="2"/>
    </font>
    <font>
      <b/>
      <sz val="10"/>
      <color rgb="FF00B050"/>
      <name val="Arial"/>
      <family val="2"/>
    </font>
    <font>
      <i/>
      <sz val="10"/>
      <color rgb="FFFF0000"/>
      <name val="Verdana"/>
      <family val="2"/>
    </font>
    <font>
      <sz val="11"/>
      <color rgb="FFFFC000"/>
      <name val="Calibri"/>
      <family val="2"/>
      <scheme val="minor"/>
    </font>
    <font>
      <sz val="10"/>
      <color rgb="FFFFC000"/>
      <name val="Verdana"/>
      <family val="2"/>
    </font>
    <font>
      <sz val="12"/>
      <color theme="0"/>
      <name val="Verdana"/>
      <family val="2"/>
    </font>
    <font>
      <b/>
      <sz val="15"/>
      <color rgb="FFFF0000"/>
      <name val="Verdana"/>
      <family val="2"/>
    </font>
    <font>
      <b/>
      <i/>
      <sz val="10"/>
      <color rgb="FFFF0000"/>
      <name val="Verdana"/>
      <family val="2"/>
    </font>
    <font>
      <sz val="10"/>
      <color theme="0" tint="-0.499984740745262"/>
      <name val="Verdana"/>
      <family val="2"/>
    </font>
    <font>
      <b/>
      <sz val="14"/>
      <color rgb="FFFF0000"/>
      <name val="Arial"/>
      <family val="2"/>
    </font>
    <font>
      <sz val="11"/>
      <name val="Calibri"/>
      <family val="2"/>
      <scheme val="minor"/>
    </font>
    <font>
      <sz val="10"/>
      <color theme="1"/>
      <name val="Verdana"/>
      <family val="2"/>
    </font>
    <font>
      <sz val="18"/>
      <color rgb="FFFF0000"/>
      <name val="Verdana"/>
      <family val="2"/>
    </font>
    <font>
      <sz val="20"/>
      <color rgb="FFFF0000"/>
      <name val="Verdana"/>
      <family val="2"/>
    </font>
    <font>
      <b/>
      <sz val="22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theme="1"/>
      <name val="Arial"/>
      <family val="2"/>
    </font>
    <font>
      <sz val="11"/>
      <color theme="1"/>
      <name val="Verdana"/>
      <family val="2"/>
    </font>
    <font>
      <sz val="12"/>
      <color rgb="FFFF0000"/>
      <name val="Verdana"/>
      <family val="2"/>
    </font>
    <font>
      <sz val="10"/>
      <color rgb="FF92D050"/>
      <name val="Verdana"/>
      <family val="2"/>
    </font>
    <font>
      <b/>
      <sz val="11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rgb="FF000099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b/>
      <i/>
      <sz val="10"/>
      <name val="Verdana"/>
      <family val="2"/>
    </font>
    <font>
      <b/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0"/>
      <name val="Trebuchet MS"/>
      <family val="2"/>
    </font>
    <font>
      <b/>
      <i/>
      <sz val="10"/>
      <name val="Trebuchet MS"/>
      <family val="2"/>
    </font>
    <font>
      <b/>
      <sz val="9"/>
      <color rgb="FFFF0000"/>
      <name val="Verdana"/>
      <family val="2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u/>
      <sz val="22"/>
      <color theme="1"/>
      <name val="Calibri"/>
      <family val="2"/>
      <scheme val="minor"/>
    </font>
    <font>
      <sz val="14"/>
      <color rgb="FFFF0000"/>
      <name val="Verdana"/>
      <family val="2"/>
    </font>
    <font>
      <sz val="9"/>
      <name val="Calibri"/>
      <family val="2"/>
    </font>
    <font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Verdana"/>
      <family val="2"/>
    </font>
    <font>
      <b/>
      <sz val="18"/>
      <color rgb="FFFF0000"/>
      <name val="Arial"/>
      <family val="2"/>
    </font>
    <font>
      <sz val="11"/>
      <color rgb="FFFF0000"/>
      <name val="Verdana"/>
      <family val="2"/>
    </font>
    <font>
      <sz val="11"/>
      <color rgb="FF000000"/>
      <name val="Calibri"/>
      <family val="2"/>
    </font>
    <font>
      <sz val="14"/>
      <name val="Arial"/>
      <family val="2"/>
    </font>
    <font>
      <sz val="10"/>
      <color rgb="FFC00000"/>
      <name val="Verdana"/>
      <family val="2"/>
    </font>
    <font>
      <b/>
      <sz val="10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u/>
      <sz val="10"/>
      <name val="Verdana"/>
      <family val="2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0"/>
      <name val="Verdana"/>
      <family val="2"/>
    </font>
    <font>
      <b/>
      <i/>
      <u/>
      <sz val="11"/>
      <color theme="1"/>
      <name val="Calibri"/>
      <family val="2"/>
      <scheme val="minor"/>
    </font>
    <font>
      <b/>
      <i/>
      <u/>
      <sz val="12"/>
      <name val="Verdana"/>
      <family val="2"/>
    </font>
    <font>
      <b/>
      <u/>
      <sz val="14"/>
      <name val="Verdana"/>
      <family val="2"/>
    </font>
    <font>
      <b/>
      <u/>
      <sz val="12"/>
      <name val="Verdana"/>
      <family val="2"/>
    </font>
    <font>
      <b/>
      <u/>
      <sz val="16"/>
      <name val="Verdana"/>
      <family val="2"/>
    </font>
    <font>
      <sz val="6"/>
      <name val="Verdana"/>
      <family val="2"/>
    </font>
    <font>
      <b/>
      <sz val="12"/>
      <color rgb="FFFF0000"/>
      <name val="Verdana"/>
      <family val="2"/>
    </font>
    <font>
      <u/>
      <sz val="16"/>
      <name val="Verdana"/>
      <family val="2"/>
    </font>
    <font>
      <b/>
      <u/>
      <sz val="11"/>
      <name val="Verdana"/>
      <family val="2"/>
    </font>
    <font>
      <sz val="14"/>
      <color rgb="FFFF0000"/>
      <name val="Calibri"/>
      <family val="2"/>
      <scheme val="minor"/>
    </font>
    <font>
      <b/>
      <sz val="7"/>
      <name val="Verdana"/>
      <family val="2"/>
    </font>
    <font>
      <sz val="7"/>
      <name val="Verdana"/>
      <family val="2"/>
    </font>
    <font>
      <sz val="7"/>
      <color theme="0" tint="-0.499984740745262"/>
      <name val="Verdana"/>
      <family val="2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99FFCC"/>
      <name val="Verdana"/>
      <family val="2"/>
    </font>
    <font>
      <sz val="16"/>
      <name val="Verdana"/>
      <family val="2"/>
    </font>
    <font>
      <sz val="11"/>
      <name val="Arial"/>
      <family val="2"/>
    </font>
    <font>
      <b/>
      <i/>
      <sz val="8"/>
      <name val="Verdana"/>
      <family val="2"/>
    </font>
    <font>
      <b/>
      <sz val="9"/>
      <color theme="0"/>
      <name val="Verdana"/>
      <family val="2"/>
    </font>
    <font>
      <vertAlign val="subscript"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1"/>
      <color rgb="FF000000"/>
      <name val="Cambria"/>
      <family val="1"/>
    </font>
    <font>
      <sz val="11"/>
      <color rgb="FF000000"/>
      <name val="Cambria"/>
      <family val="1"/>
    </font>
    <font>
      <vertAlign val="superscript"/>
      <sz val="10"/>
      <name val="Verdan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13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5088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8" tint="0.399822992645039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612">
    <xf numFmtId="0" fontId="0" fillId="0" borderId="0"/>
    <xf numFmtId="165" fontId="53" fillId="0" borderId="0" applyFont="0" applyFill="0" applyBorder="0" applyAlignment="0" applyProtection="0"/>
    <xf numFmtId="165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2" fillId="0" borderId="0"/>
    <xf numFmtId="9" fontId="53" fillId="0" borderId="0" applyFont="0" applyFill="0" applyBorder="0" applyAlignment="0" applyProtection="0"/>
    <xf numFmtId="9" fontId="86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0" fontId="53" fillId="0" borderId="0"/>
    <xf numFmtId="0" fontId="53" fillId="0" borderId="0"/>
    <xf numFmtId="198" fontId="41" fillId="0" borderId="0"/>
    <xf numFmtId="43" fontId="41" fillId="0" borderId="0" applyFont="0" applyFill="0" applyBorder="0" applyAlignment="0" applyProtection="0"/>
    <xf numFmtId="197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69" fillId="0" borderId="0"/>
    <xf numFmtId="198" fontId="69" fillId="0" borderId="0"/>
    <xf numFmtId="198" fontId="41" fillId="0" borderId="0"/>
    <xf numFmtId="198" fontId="69" fillId="0" borderId="0"/>
    <xf numFmtId="199" fontId="41" fillId="0" borderId="0"/>
    <xf numFmtId="0" fontId="41" fillId="0" borderId="0"/>
    <xf numFmtId="0" fontId="69" fillId="0" borderId="0"/>
    <xf numFmtId="0" fontId="69" fillId="0" borderId="0"/>
    <xf numFmtId="0" fontId="69" fillId="0" borderId="0"/>
    <xf numFmtId="198" fontId="41" fillId="0" borderId="0"/>
    <xf numFmtId="198" fontId="69" fillId="0" borderId="0"/>
    <xf numFmtId="198" fontId="69" fillId="0" borderId="0"/>
    <xf numFmtId="198" fontId="41" fillId="0" borderId="0"/>
    <xf numFmtId="198" fontId="41" fillId="0" borderId="0"/>
    <xf numFmtId="43" fontId="69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9" fontId="69" fillId="0" borderId="0" applyFont="0" applyFill="0" applyBorder="0" applyAlignment="0" applyProtection="0"/>
    <xf numFmtId="19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8" fontId="41" fillId="0" borderId="0"/>
    <xf numFmtId="199" fontId="41" fillId="0" borderId="0"/>
    <xf numFmtId="165" fontId="53" fillId="0" borderId="0" applyFont="0" applyFill="0" applyBorder="0" applyAlignment="0" applyProtection="0"/>
    <xf numFmtId="0" fontId="6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53" fillId="0" borderId="0" applyFont="0" applyFill="0" applyBorder="0" applyAlignment="0" applyProtection="0"/>
    <xf numFmtId="198" fontId="37" fillId="0" borderId="0"/>
    <xf numFmtId="43" fontId="37" fillId="0" borderId="0" applyFont="0" applyFill="0" applyBorder="0" applyAlignment="0" applyProtection="0"/>
    <xf numFmtId="198" fontId="37" fillId="0" borderId="0"/>
    <xf numFmtId="199" fontId="37" fillId="0" borderId="0"/>
    <xf numFmtId="0" fontId="37" fillId="0" borderId="0"/>
    <xf numFmtId="198" fontId="37" fillId="0" borderId="0"/>
    <xf numFmtId="198" fontId="37" fillId="0" borderId="0"/>
    <xf numFmtId="198" fontId="37" fillId="0" borderId="0"/>
    <xf numFmtId="43" fontId="37" fillId="0" borderId="0" applyFont="0" applyFill="0" applyBorder="0" applyAlignment="0" applyProtection="0"/>
    <xf numFmtId="0" fontId="37" fillId="0" borderId="0"/>
    <xf numFmtId="198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8" fontId="37" fillId="0" borderId="0"/>
    <xf numFmtId="199" fontId="37" fillId="0" borderId="0"/>
    <xf numFmtId="202" fontId="153" fillId="42" borderId="0" applyNumberFormat="0" applyBorder="0" applyAlignment="0" applyProtection="0"/>
    <xf numFmtId="202" fontId="153" fillId="42" borderId="0" applyNumberFormat="0" applyBorder="0" applyAlignment="0" applyProtection="0"/>
    <xf numFmtId="202" fontId="153" fillId="43" borderId="0" applyNumberFormat="0" applyBorder="0" applyAlignment="0" applyProtection="0"/>
    <xf numFmtId="202" fontId="153" fillId="43" borderId="0" applyNumberFormat="0" applyBorder="0" applyAlignment="0" applyProtection="0"/>
    <xf numFmtId="202" fontId="153" fillId="44" borderId="0" applyNumberFormat="0" applyBorder="0" applyAlignment="0" applyProtection="0"/>
    <xf numFmtId="202" fontId="153" fillId="44" borderId="0" applyNumberFormat="0" applyBorder="0" applyAlignment="0" applyProtection="0"/>
    <xf numFmtId="202" fontId="153" fillId="45" borderId="0" applyNumberFormat="0" applyBorder="0" applyAlignment="0" applyProtection="0"/>
    <xf numFmtId="202" fontId="153" fillId="45" borderId="0" applyNumberFormat="0" applyBorder="0" applyAlignment="0" applyProtection="0"/>
    <xf numFmtId="202" fontId="153" fillId="46" borderId="0" applyNumberFormat="0" applyBorder="0" applyAlignment="0" applyProtection="0"/>
    <xf numFmtId="202" fontId="153" fillId="46" borderId="0" applyNumberFormat="0" applyBorder="0" applyAlignment="0" applyProtection="0"/>
    <xf numFmtId="202" fontId="153" fillId="47" borderId="0" applyNumberFormat="0" applyBorder="0" applyAlignment="0" applyProtection="0"/>
    <xf numFmtId="202" fontId="153" fillId="47" borderId="0" applyNumberFormat="0" applyBorder="0" applyAlignment="0" applyProtection="0"/>
    <xf numFmtId="202" fontId="153" fillId="48" borderId="0" applyNumberFormat="0" applyBorder="0" applyAlignment="0" applyProtection="0"/>
    <xf numFmtId="202" fontId="153" fillId="48" borderId="0" applyNumberFormat="0" applyBorder="0" applyAlignment="0" applyProtection="0"/>
    <xf numFmtId="202" fontId="153" fillId="49" borderId="0" applyNumberFormat="0" applyBorder="0" applyAlignment="0" applyProtection="0"/>
    <xf numFmtId="202" fontId="153" fillId="49" borderId="0" applyNumberFormat="0" applyBorder="0" applyAlignment="0" applyProtection="0"/>
    <xf numFmtId="202" fontId="153" fillId="50" borderId="0" applyNumberFormat="0" applyBorder="0" applyAlignment="0" applyProtection="0"/>
    <xf numFmtId="202" fontId="153" fillId="50" borderId="0" applyNumberFormat="0" applyBorder="0" applyAlignment="0" applyProtection="0"/>
    <xf numFmtId="202" fontId="153" fillId="45" borderId="0" applyNumberFormat="0" applyBorder="0" applyAlignment="0" applyProtection="0"/>
    <xf numFmtId="202" fontId="153" fillId="45" borderId="0" applyNumberFormat="0" applyBorder="0" applyAlignment="0" applyProtection="0"/>
    <xf numFmtId="202" fontId="153" fillId="48" borderId="0" applyNumberFormat="0" applyBorder="0" applyAlignment="0" applyProtection="0"/>
    <xf numFmtId="202" fontId="153" fillId="48" borderId="0" applyNumberFormat="0" applyBorder="0" applyAlignment="0" applyProtection="0"/>
    <xf numFmtId="202" fontId="153" fillId="51" borderId="0" applyNumberFormat="0" applyBorder="0" applyAlignment="0" applyProtection="0"/>
    <xf numFmtId="202" fontId="153" fillId="51" borderId="0" applyNumberFormat="0" applyBorder="0" applyAlignment="0" applyProtection="0"/>
    <xf numFmtId="202" fontId="154" fillId="52" borderId="0" applyNumberFormat="0" applyBorder="0" applyAlignment="0" applyProtection="0"/>
    <xf numFmtId="202" fontId="154" fillId="52" borderId="0" applyNumberFormat="0" applyBorder="0" applyAlignment="0" applyProtection="0"/>
    <xf numFmtId="202" fontId="154" fillId="49" borderId="0" applyNumberFormat="0" applyBorder="0" applyAlignment="0" applyProtection="0"/>
    <xf numFmtId="202" fontId="154" fillId="49" borderId="0" applyNumberFormat="0" applyBorder="0" applyAlignment="0" applyProtection="0"/>
    <xf numFmtId="202" fontId="154" fillId="50" borderId="0" applyNumberFormat="0" applyBorder="0" applyAlignment="0" applyProtection="0"/>
    <xf numFmtId="202" fontId="154" fillId="50" borderId="0" applyNumberFormat="0" applyBorder="0" applyAlignment="0" applyProtection="0"/>
    <xf numFmtId="202" fontId="154" fillId="53" borderId="0" applyNumberFormat="0" applyBorder="0" applyAlignment="0" applyProtection="0"/>
    <xf numFmtId="202" fontId="154" fillId="53" borderId="0" applyNumberFormat="0" applyBorder="0" applyAlignment="0" applyProtection="0"/>
    <xf numFmtId="202" fontId="154" fillId="54" borderId="0" applyNumberFormat="0" applyBorder="0" applyAlignment="0" applyProtection="0"/>
    <xf numFmtId="202" fontId="154" fillId="54" borderId="0" applyNumberFormat="0" applyBorder="0" applyAlignment="0" applyProtection="0"/>
    <xf numFmtId="202" fontId="154" fillId="55" borderId="0" applyNumberFormat="0" applyBorder="0" applyAlignment="0" applyProtection="0"/>
    <xf numFmtId="202" fontId="154" fillId="55" borderId="0" applyNumberFormat="0" applyBorder="0" applyAlignment="0" applyProtection="0"/>
    <xf numFmtId="202" fontId="154" fillId="56" borderId="0" applyNumberFormat="0" applyBorder="0" applyAlignment="0" applyProtection="0"/>
    <xf numFmtId="202" fontId="154" fillId="56" borderId="0" applyNumberFormat="0" applyBorder="0" applyAlignment="0" applyProtection="0"/>
    <xf numFmtId="202" fontId="154" fillId="57" borderId="0" applyNumberFormat="0" applyBorder="0" applyAlignment="0" applyProtection="0"/>
    <xf numFmtId="202" fontId="154" fillId="57" borderId="0" applyNumberFormat="0" applyBorder="0" applyAlignment="0" applyProtection="0"/>
    <xf numFmtId="202" fontId="154" fillId="58" borderId="0" applyNumberFormat="0" applyBorder="0" applyAlignment="0" applyProtection="0"/>
    <xf numFmtId="202" fontId="154" fillId="58" borderId="0" applyNumberFormat="0" applyBorder="0" applyAlignment="0" applyProtection="0"/>
    <xf numFmtId="202" fontId="154" fillId="53" borderId="0" applyNumberFormat="0" applyBorder="0" applyAlignment="0" applyProtection="0"/>
    <xf numFmtId="202" fontId="154" fillId="53" borderId="0" applyNumberFormat="0" applyBorder="0" applyAlignment="0" applyProtection="0"/>
    <xf numFmtId="202" fontId="154" fillId="54" borderId="0" applyNumberFormat="0" applyBorder="0" applyAlignment="0" applyProtection="0"/>
    <xf numFmtId="202" fontId="154" fillId="54" borderId="0" applyNumberFormat="0" applyBorder="0" applyAlignment="0" applyProtection="0"/>
    <xf numFmtId="202" fontId="154" fillId="59" borderId="0" applyNumberFormat="0" applyBorder="0" applyAlignment="0" applyProtection="0"/>
    <xf numFmtId="202" fontId="154" fillId="59" borderId="0" applyNumberFormat="0" applyBorder="0" applyAlignment="0" applyProtection="0"/>
    <xf numFmtId="202" fontId="155" fillId="43" borderId="0" applyNumberFormat="0" applyBorder="0" applyAlignment="0" applyProtection="0"/>
    <xf numFmtId="202" fontId="155" fillId="43" borderId="0" applyNumberFormat="0" applyBorder="0" applyAlignment="0" applyProtection="0"/>
    <xf numFmtId="202" fontId="156" fillId="60" borderId="87" applyNumberFormat="0" applyAlignment="0" applyProtection="0"/>
    <xf numFmtId="202" fontId="156" fillId="60" borderId="87" applyNumberFormat="0" applyAlignment="0" applyProtection="0"/>
    <xf numFmtId="202" fontId="157" fillId="61" borderId="88" applyNumberFormat="0" applyAlignment="0" applyProtection="0"/>
    <xf numFmtId="202" fontId="157" fillId="61" borderId="88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0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85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202" fontId="158" fillId="0" borderId="0" applyNumberFormat="0" applyFill="0" applyBorder="0" applyAlignment="0" applyProtection="0"/>
    <xf numFmtId="202" fontId="158" fillId="0" borderId="0" applyNumberFormat="0" applyFill="0" applyBorder="0" applyAlignment="0" applyProtection="0"/>
    <xf numFmtId="202" fontId="159" fillId="44" borderId="0" applyNumberFormat="0" applyBorder="0" applyAlignment="0" applyProtection="0"/>
    <xf numFmtId="202" fontId="159" fillId="44" borderId="0" applyNumberFormat="0" applyBorder="0" applyAlignment="0" applyProtection="0"/>
    <xf numFmtId="202" fontId="160" fillId="0" borderId="89" applyNumberFormat="0" applyFill="0" applyAlignment="0" applyProtection="0"/>
    <xf numFmtId="202" fontId="160" fillId="0" borderId="89" applyNumberFormat="0" applyFill="0" applyAlignment="0" applyProtection="0"/>
    <xf numFmtId="202" fontId="161" fillId="0" borderId="90" applyNumberFormat="0" applyFill="0" applyAlignment="0" applyProtection="0"/>
    <xf numFmtId="202" fontId="161" fillId="0" borderId="90" applyNumberFormat="0" applyFill="0" applyAlignment="0" applyProtection="0"/>
    <xf numFmtId="202" fontId="162" fillId="0" borderId="91" applyNumberFormat="0" applyFill="0" applyAlignment="0" applyProtection="0"/>
    <xf numFmtId="202" fontId="162" fillId="0" borderId="91" applyNumberFormat="0" applyFill="0" applyAlignment="0" applyProtection="0"/>
    <xf numFmtId="202" fontId="162" fillId="0" borderId="0" applyNumberFormat="0" applyFill="0" applyBorder="0" applyAlignment="0" applyProtection="0"/>
    <xf numFmtId="202" fontId="162" fillId="0" borderId="0" applyNumberFormat="0" applyFill="0" applyBorder="0" applyAlignment="0" applyProtection="0"/>
    <xf numFmtId="202" fontId="163" fillId="47" borderId="87" applyNumberFormat="0" applyAlignment="0" applyProtection="0"/>
    <xf numFmtId="202" fontId="163" fillId="47" borderId="87" applyNumberFormat="0" applyAlignment="0" applyProtection="0"/>
    <xf numFmtId="202" fontId="164" fillId="0" borderId="92" applyNumberFormat="0" applyFill="0" applyAlignment="0" applyProtection="0"/>
    <xf numFmtId="202" fontId="164" fillId="0" borderId="92" applyNumberFormat="0" applyFill="0" applyAlignment="0" applyProtection="0"/>
    <xf numFmtId="202" fontId="165" fillId="62" borderId="0" applyNumberFormat="0" applyBorder="0" applyAlignment="0" applyProtection="0"/>
    <xf numFmtId="202" fontId="165" fillId="62" borderId="0" applyNumberFormat="0" applyBorder="0" applyAlignment="0" applyProtection="0"/>
    <xf numFmtId="0" fontId="36" fillId="0" borderId="0"/>
    <xf numFmtId="198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3" fillId="0" borderId="0"/>
    <xf numFmtId="0" fontId="36" fillId="0" borderId="0"/>
    <xf numFmtId="0" fontId="36" fillId="0" borderId="0"/>
    <xf numFmtId="202" fontId="36" fillId="0" borderId="0"/>
    <xf numFmtId="0" fontId="36" fillId="0" borderId="0"/>
    <xf numFmtId="0" fontId="36" fillId="0" borderId="0"/>
    <xf numFmtId="0" fontId="36" fillId="0" borderId="0"/>
    <xf numFmtId="198" fontId="36" fillId="0" borderId="0"/>
    <xf numFmtId="202" fontId="69" fillId="0" borderId="0"/>
    <xf numFmtId="0" fontId="69" fillId="0" borderId="0"/>
    <xf numFmtId="171" fontId="69" fillId="0" borderId="0"/>
    <xf numFmtId="198" fontId="36" fillId="0" borderId="0"/>
    <xf numFmtId="0" fontId="36" fillId="0" borderId="0"/>
    <xf numFmtId="198" fontId="36" fillId="0" borderId="0"/>
    <xf numFmtId="198" fontId="36" fillId="0" borderId="0"/>
    <xf numFmtId="0" fontId="36" fillId="0" borderId="0"/>
    <xf numFmtId="202" fontId="69" fillId="0" borderId="0"/>
    <xf numFmtId="202" fontId="69" fillId="0" borderId="0"/>
    <xf numFmtId="205" fontId="36" fillId="0" borderId="0"/>
    <xf numFmtId="198" fontId="36" fillId="0" borderId="0"/>
    <xf numFmtId="0" fontId="166" fillId="0" borderId="0"/>
    <xf numFmtId="199" fontId="36" fillId="0" borderId="0"/>
    <xf numFmtId="199" fontId="36" fillId="0" borderId="0"/>
    <xf numFmtId="0" fontId="69" fillId="0" borderId="0"/>
    <xf numFmtId="0" fontId="36" fillId="0" borderId="0"/>
    <xf numFmtId="199" fontId="36" fillId="0" borderId="0"/>
    <xf numFmtId="0" fontId="69" fillId="0" borderId="0"/>
    <xf numFmtId="0" fontId="36" fillId="0" borderId="0"/>
    <xf numFmtId="0" fontId="69" fillId="0" borderId="0"/>
    <xf numFmtId="0" fontId="36" fillId="0" borderId="0"/>
    <xf numFmtId="0" fontId="36" fillId="0" borderId="0"/>
    <xf numFmtId="0" fontId="69" fillId="0" borderId="0"/>
    <xf numFmtId="198" fontId="36" fillId="0" borderId="0"/>
    <xf numFmtId="202" fontId="36" fillId="0" borderId="0"/>
    <xf numFmtId="198" fontId="36" fillId="0" borderId="0"/>
    <xf numFmtId="0" fontId="36" fillId="0" borderId="0"/>
    <xf numFmtId="0" fontId="36" fillId="0" borderId="0"/>
    <xf numFmtId="198" fontId="36" fillId="0" borderId="0"/>
    <xf numFmtId="202" fontId="69" fillId="63" borderId="93" applyNumberFormat="0" applyFont="0" applyAlignment="0" applyProtection="0"/>
    <xf numFmtId="202" fontId="69" fillId="63" borderId="93" applyNumberFormat="0" applyFont="0" applyAlignment="0" applyProtection="0"/>
    <xf numFmtId="202" fontId="167" fillId="60" borderId="94" applyNumberFormat="0" applyAlignment="0" applyProtection="0"/>
    <xf numFmtId="202" fontId="167" fillId="60" borderId="94" applyNumberFormat="0" applyAlignment="0" applyProtection="0"/>
    <xf numFmtId="9" fontId="5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202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169" fillId="0" borderId="95" applyNumberFormat="0" applyFill="0" applyAlignment="0" applyProtection="0"/>
    <xf numFmtId="202" fontId="169" fillId="0" borderId="95" applyNumberFormat="0" applyFill="0" applyAlignment="0" applyProtection="0"/>
    <xf numFmtId="202" fontId="170" fillId="0" borderId="0" applyNumberFormat="0" applyFill="0" applyBorder="0" applyAlignment="0" applyProtection="0"/>
    <xf numFmtId="202" fontId="170" fillId="0" borderId="0" applyNumberFormat="0" applyFill="0" applyBorder="0" applyAlignment="0" applyProtection="0"/>
    <xf numFmtId="0" fontId="35" fillId="0" borderId="0"/>
    <xf numFmtId="0" fontId="35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43" fontId="30" fillId="0" borderId="0" applyFont="0" applyFill="0" applyBorder="0" applyAlignment="0" applyProtection="0"/>
    <xf numFmtId="198" fontId="30" fillId="0" borderId="0"/>
    <xf numFmtId="199" fontId="30" fillId="0" borderId="0"/>
    <xf numFmtId="0" fontId="30" fillId="0" borderId="0"/>
    <xf numFmtId="198" fontId="30" fillId="0" borderId="0"/>
    <xf numFmtId="198" fontId="30" fillId="0" borderId="0"/>
    <xf numFmtId="198" fontId="30" fillId="0" borderId="0"/>
    <xf numFmtId="43" fontId="30" fillId="0" borderId="0" applyFont="0" applyFill="0" applyBorder="0" applyAlignment="0" applyProtection="0"/>
    <xf numFmtId="0" fontId="30" fillId="0" borderId="0"/>
    <xf numFmtId="19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1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43" fontId="30" fillId="0" borderId="0" applyFont="0" applyFill="0" applyBorder="0" applyAlignment="0" applyProtection="0"/>
    <xf numFmtId="198" fontId="30" fillId="0" borderId="0"/>
    <xf numFmtId="199" fontId="30" fillId="0" borderId="0"/>
    <xf numFmtId="0" fontId="30" fillId="0" borderId="0"/>
    <xf numFmtId="198" fontId="30" fillId="0" borderId="0"/>
    <xf numFmtId="198" fontId="30" fillId="0" borderId="0"/>
    <xf numFmtId="198" fontId="30" fillId="0" borderId="0"/>
    <xf numFmtId="43" fontId="30" fillId="0" borderId="0" applyFont="0" applyFill="0" applyBorder="0" applyAlignment="0" applyProtection="0"/>
    <xf numFmtId="0" fontId="30" fillId="0" borderId="0"/>
    <xf numFmtId="19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199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19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02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205" fontId="30" fillId="0" borderId="0"/>
    <xf numFmtId="198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202" fontId="30" fillId="0" borderId="0"/>
    <xf numFmtId="198" fontId="30" fillId="0" borderId="0"/>
    <xf numFmtId="0" fontId="30" fillId="0" borderId="0"/>
    <xf numFmtId="0" fontId="30" fillId="0" borderId="0"/>
    <xf numFmtId="198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43" fontId="153" fillId="0" borderId="0" applyFont="0" applyFill="0" applyBorder="0" applyAlignment="0" applyProtection="0"/>
    <xf numFmtId="0" fontId="69" fillId="0" borderId="0"/>
    <xf numFmtId="0" fontId="29" fillId="0" borderId="0"/>
    <xf numFmtId="43" fontId="2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9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2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205" fontId="25" fillId="0" borderId="0"/>
    <xf numFmtId="198" fontId="25" fillId="0" borderId="0"/>
    <xf numFmtId="199" fontId="25" fillId="0" borderId="0"/>
    <xf numFmtId="199" fontId="25" fillId="0" borderId="0"/>
    <xf numFmtId="0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202" fontId="25" fillId="0" borderId="0"/>
    <xf numFmtId="198" fontId="25" fillId="0" borderId="0"/>
    <xf numFmtId="0" fontId="25" fillId="0" borderId="0"/>
    <xf numFmtId="0" fontId="25" fillId="0" borderId="0"/>
    <xf numFmtId="198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2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205" fontId="25" fillId="0" borderId="0"/>
    <xf numFmtId="198" fontId="25" fillId="0" borderId="0"/>
    <xf numFmtId="199" fontId="25" fillId="0" borderId="0"/>
    <xf numFmtId="199" fontId="25" fillId="0" borderId="0"/>
    <xf numFmtId="0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202" fontId="25" fillId="0" borderId="0"/>
    <xf numFmtId="198" fontId="25" fillId="0" borderId="0"/>
    <xf numFmtId="0" fontId="25" fillId="0" borderId="0"/>
    <xf numFmtId="0" fontId="25" fillId="0" borderId="0"/>
    <xf numFmtId="198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53" fillId="0" borderId="0" applyFont="0" applyFill="0" applyBorder="0" applyAlignment="0" applyProtection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6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53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9" fillId="0" borderId="0" applyBorder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97" fillId="0" borderId="0"/>
    <xf numFmtId="165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202" fontId="202" fillId="78" borderId="0" applyNumberFormat="0" applyBorder="0" applyAlignment="0" applyProtection="0"/>
    <xf numFmtId="202" fontId="202" fillId="78" borderId="0" applyNumberFormat="0" applyBorder="0" applyAlignment="0" applyProtection="0"/>
    <xf numFmtId="202" fontId="202" fillId="79" borderId="0" applyNumberFormat="0" applyBorder="0" applyAlignment="0" applyProtection="0"/>
    <xf numFmtId="202" fontId="202" fillId="79" borderId="0" applyNumberFormat="0" applyBorder="0" applyAlignment="0" applyProtection="0"/>
    <xf numFmtId="202" fontId="202" fillId="80" borderId="0" applyNumberFormat="0" applyBorder="0" applyAlignment="0" applyProtection="0"/>
    <xf numFmtId="202" fontId="202" fillId="80" borderId="0" applyNumberFormat="0" applyBorder="0" applyAlignment="0" applyProtection="0"/>
    <xf numFmtId="202" fontId="202" fillId="81" borderId="0" applyNumberFormat="0" applyBorder="0" applyAlignment="0" applyProtection="0"/>
    <xf numFmtId="202" fontId="202" fillId="81" borderId="0" applyNumberFormat="0" applyBorder="0" applyAlignment="0" applyProtection="0"/>
    <xf numFmtId="202" fontId="202" fillId="82" borderId="0" applyNumberFormat="0" applyBorder="0" applyAlignment="0" applyProtection="0"/>
    <xf numFmtId="202" fontId="202" fillId="82" borderId="0" applyNumberFormat="0" applyBorder="0" applyAlignment="0" applyProtection="0"/>
    <xf numFmtId="202" fontId="202" fillId="6" borderId="0" applyNumberFormat="0" applyBorder="0" applyAlignment="0" applyProtection="0"/>
    <xf numFmtId="202" fontId="202" fillId="6" borderId="0" applyNumberFormat="0" applyBorder="0" applyAlignment="0" applyProtection="0"/>
    <xf numFmtId="202" fontId="202" fillId="2" borderId="0" applyNumberFormat="0" applyBorder="0" applyAlignment="0" applyProtection="0"/>
    <xf numFmtId="202" fontId="202" fillId="2" borderId="0" applyNumberFormat="0" applyBorder="0" applyAlignment="0" applyProtection="0"/>
    <xf numFmtId="202" fontId="202" fillId="83" borderId="0" applyNumberFormat="0" applyBorder="0" applyAlignment="0" applyProtection="0"/>
    <xf numFmtId="202" fontId="202" fillId="83" borderId="0" applyNumberFormat="0" applyBorder="0" applyAlignment="0" applyProtection="0"/>
    <xf numFmtId="202" fontId="202" fillId="84" borderId="0" applyNumberFormat="0" applyBorder="0" applyAlignment="0" applyProtection="0"/>
    <xf numFmtId="202" fontId="202" fillId="84" borderId="0" applyNumberFormat="0" applyBorder="0" applyAlignment="0" applyProtection="0"/>
    <xf numFmtId="202" fontId="202" fillId="81" borderId="0" applyNumberFormat="0" applyBorder="0" applyAlignment="0" applyProtection="0"/>
    <xf numFmtId="202" fontId="202" fillId="81" borderId="0" applyNumberFormat="0" applyBorder="0" applyAlignment="0" applyProtection="0"/>
    <xf numFmtId="202" fontId="202" fillId="2" borderId="0" applyNumberFormat="0" applyBorder="0" applyAlignment="0" applyProtection="0"/>
    <xf numFmtId="202" fontId="202" fillId="2" borderId="0" applyNumberFormat="0" applyBorder="0" applyAlignment="0" applyProtection="0"/>
    <xf numFmtId="202" fontId="202" fillId="85" borderId="0" applyNumberFormat="0" applyBorder="0" applyAlignment="0" applyProtection="0"/>
    <xf numFmtId="202" fontId="202" fillId="85" borderId="0" applyNumberFormat="0" applyBorder="0" applyAlignment="0" applyProtection="0"/>
    <xf numFmtId="202" fontId="204" fillId="86" borderId="0" applyNumberFormat="0" applyBorder="0" applyAlignment="0" applyProtection="0"/>
    <xf numFmtId="202" fontId="204" fillId="86" borderId="0" applyNumberFormat="0" applyBorder="0" applyAlignment="0" applyProtection="0"/>
    <xf numFmtId="202" fontId="204" fillId="83" borderId="0" applyNumberFormat="0" applyBorder="0" applyAlignment="0" applyProtection="0"/>
    <xf numFmtId="202" fontId="204" fillId="83" borderId="0" applyNumberFormat="0" applyBorder="0" applyAlignment="0" applyProtection="0"/>
    <xf numFmtId="202" fontId="204" fillId="84" borderId="0" applyNumberFormat="0" applyBorder="0" applyAlignment="0" applyProtection="0"/>
    <xf numFmtId="202" fontId="204" fillId="84" borderId="0" applyNumberFormat="0" applyBorder="0" applyAlignment="0" applyProtection="0"/>
    <xf numFmtId="202" fontId="204" fillId="87" borderId="0" applyNumberFormat="0" applyBorder="0" applyAlignment="0" applyProtection="0"/>
    <xf numFmtId="202" fontId="204" fillId="87" borderId="0" applyNumberFormat="0" applyBorder="0" applyAlignment="0" applyProtection="0"/>
    <xf numFmtId="202" fontId="204" fillId="8" borderId="0" applyNumberFormat="0" applyBorder="0" applyAlignment="0" applyProtection="0"/>
    <xf numFmtId="202" fontId="204" fillId="8" borderId="0" applyNumberFormat="0" applyBorder="0" applyAlignment="0" applyProtection="0"/>
    <xf numFmtId="202" fontId="204" fillId="88" borderId="0" applyNumberFormat="0" applyBorder="0" applyAlignment="0" applyProtection="0"/>
    <xf numFmtId="202" fontId="204" fillId="88" borderId="0" applyNumberFormat="0" applyBorder="0" applyAlignment="0" applyProtection="0"/>
    <xf numFmtId="202" fontId="204" fillId="89" borderId="0" applyNumberFormat="0" applyBorder="0" applyAlignment="0" applyProtection="0"/>
    <xf numFmtId="202" fontId="204" fillId="89" borderId="0" applyNumberFormat="0" applyBorder="0" applyAlignment="0" applyProtection="0"/>
    <xf numFmtId="202" fontId="204" fillId="90" borderId="0" applyNumberFormat="0" applyBorder="0" applyAlignment="0" applyProtection="0"/>
    <xf numFmtId="202" fontId="204" fillId="90" borderId="0" applyNumberFormat="0" applyBorder="0" applyAlignment="0" applyProtection="0"/>
    <xf numFmtId="202" fontId="204" fillId="91" borderId="0" applyNumberFormat="0" applyBorder="0" applyAlignment="0" applyProtection="0"/>
    <xf numFmtId="202" fontId="204" fillId="91" borderId="0" applyNumberFormat="0" applyBorder="0" applyAlignment="0" applyProtection="0"/>
    <xf numFmtId="202" fontId="204" fillId="87" borderId="0" applyNumberFormat="0" applyBorder="0" applyAlignment="0" applyProtection="0"/>
    <xf numFmtId="202" fontId="204" fillId="87" borderId="0" applyNumberFormat="0" applyBorder="0" applyAlignment="0" applyProtection="0"/>
    <xf numFmtId="202" fontId="204" fillId="8" borderId="0" applyNumberFormat="0" applyBorder="0" applyAlignment="0" applyProtection="0"/>
    <xf numFmtId="202" fontId="204" fillId="8" borderId="0" applyNumberFormat="0" applyBorder="0" applyAlignment="0" applyProtection="0"/>
    <xf numFmtId="202" fontId="204" fillId="92" borderId="0" applyNumberFormat="0" applyBorder="0" applyAlignment="0" applyProtection="0"/>
    <xf numFmtId="202" fontId="204" fillId="92" borderId="0" applyNumberFormat="0" applyBorder="0" applyAlignment="0" applyProtection="0"/>
    <xf numFmtId="202" fontId="205" fillId="79" borderId="0" applyNumberFormat="0" applyBorder="0" applyAlignment="0" applyProtection="0"/>
    <xf numFmtId="202" fontId="205" fillId="79" borderId="0" applyNumberFormat="0" applyBorder="0" applyAlignment="0" applyProtection="0"/>
    <xf numFmtId="202" fontId="206" fillId="93" borderId="87" applyNumberFormat="0" applyAlignment="0" applyProtection="0"/>
    <xf numFmtId="202" fontId="206" fillId="93" borderId="87" applyNumberFormat="0" applyAlignment="0" applyProtection="0"/>
    <xf numFmtId="202" fontId="207" fillId="94" borderId="88" applyNumberFormat="0" applyAlignment="0" applyProtection="0"/>
    <xf numFmtId="202" fontId="207" fillId="94" borderId="88" applyNumberFormat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20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85" fontId="200" fillId="0" borderId="0" applyFont="0" applyFill="0" applyBorder="0" applyAlignment="0" applyProtection="0"/>
    <xf numFmtId="197" fontId="200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204" fontId="200" fillId="0" borderId="0" applyFont="0" applyFill="0" applyBorder="0" applyAlignment="0" applyProtection="0"/>
    <xf numFmtId="197" fontId="200" fillId="0" borderId="0" applyFont="0" applyFill="0" applyBorder="0" applyAlignment="0" applyProtection="0"/>
    <xf numFmtId="204" fontId="200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4" fontId="197" fillId="0" borderId="0" applyFont="0" applyFill="0" applyBorder="0" applyAlignment="0" applyProtection="0"/>
    <xf numFmtId="202" fontId="208" fillId="0" borderId="0" applyNumberFormat="0" applyFill="0" applyBorder="0" applyAlignment="0" applyProtection="0"/>
    <xf numFmtId="202" fontId="208" fillId="0" borderId="0" applyNumberFormat="0" applyFill="0" applyBorder="0" applyAlignment="0" applyProtection="0"/>
    <xf numFmtId="202" fontId="209" fillId="80" borderId="0" applyNumberFormat="0" applyBorder="0" applyAlignment="0" applyProtection="0"/>
    <xf numFmtId="202" fontId="209" fillId="80" borderId="0" applyNumberFormat="0" applyBorder="0" applyAlignment="0" applyProtection="0"/>
    <xf numFmtId="202" fontId="210" fillId="0" borderId="89" applyNumberFormat="0" applyFill="0" applyAlignment="0" applyProtection="0"/>
    <xf numFmtId="202" fontId="210" fillId="0" borderId="89" applyNumberFormat="0" applyFill="0" applyAlignment="0" applyProtection="0"/>
    <xf numFmtId="202" fontId="211" fillId="0" borderId="90" applyNumberFormat="0" applyFill="0" applyAlignment="0" applyProtection="0"/>
    <xf numFmtId="202" fontId="211" fillId="0" borderId="90" applyNumberFormat="0" applyFill="0" applyAlignment="0" applyProtection="0"/>
    <xf numFmtId="202" fontId="212" fillId="0" borderId="91" applyNumberFormat="0" applyFill="0" applyAlignment="0" applyProtection="0"/>
    <xf numFmtId="202" fontId="212" fillId="0" borderId="91" applyNumberFormat="0" applyFill="0" applyAlignment="0" applyProtection="0"/>
    <xf numFmtId="202" fontId="212" fillId="0" borderId="0" applyNumberFormat="0" applyFill="0" applyBorder="0" applyAlignment="0" applyProtection="0"/>
    <xf numFmtId="202" fontId="212" fillId="0" borderId="0" applyNumberFormat="0" applyFill="0" applyBorder="0" applyAlignment="0" applyProtection="0"/>
    <xf numFmtId="202" fontId="213" fillId="6" borderId="87" applyNumberFormat="0" applyAlignment="0" applyProtection="0"/>
    <xf numFmtId="202" fontId="213" fillId="6" borderId="87" applyNumberFormat="0" applyAlignment="0" applyProtection="0"/>
    <xf numFmtId="202" fontId="214" fillId="0" borderId="92" applyNumberFormat="0" applyFill="0" applyAlignment="0" applyProtection="0"/>
    <xf numFmtId="202" fontId="214" fillId="0" borderId="92" applyNumberFormat="0" applyFill="0" applyAlignment="0" applyProtection="0"/>
    <xf numFmtId="202" fontId="215" fillId="5" borderId="0" applyNumberFormat="0" applyBorder="0" applyAlignment="0" applyProtection="0"/>
    <xf numFmtId="202" fontId="215" fillId="5" borderId="0" applyNumberFormat="0" applyBorder="0" applyAlignment="0" applyProtection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7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7" fillId="0" borderId="0"/>
    <xf numFmtId="0" fontId="197" fillId="0" borderId="0"/>
    <xf numFmtId="0" fontId="200" fillId="0" borderId="0"/>
    <xf numFmtId="0" fontId="200" fillId="0" borderId="0"/>
    <xf numFmtId="198" fontId="200" fillId="0" borderId="0"/>
    <xf numFmtId="202" fontId="200" fillId="0" borderId="0"/>
    <xf numFmtId="0" fontId="200" fillId="0" borderId="0"/>
    <xf numFmtId="198" fontId="200" fillId="0" borderId="0"/>
    <xf numFmtId="171" fontId="200" fillId="0" borderId="0"/>
    <xf numFmtId="0" fontId="200" fillId="0" borderId="0"/>
    <xf numFmtId="198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1" fillId="0" borderId="0" applyBorder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7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202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200" fillId="0" borderId="0"/>
    <xf numFmtId="202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7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3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7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200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200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00" fillId="0" borderId="0"/>
    <xf numFmtId="0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0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202" fontId="200" fillId="95" borderId="93" applyNumberFormat="0" applyFont="0" applyAlignment="0" applyProtection="0"/>
    <xf numFmtId="202" fontId="200" fillId="95" borderId="93" applyNumberFormat="0" applyFont="0" applyAlignment="0" applyProtection="0"/>
    <xf numFmtId="202" fontId="216" fillId="93" borderId="94" applyNumberFormat="0" applyAlignment="0" applyProtection="0"/>
    <xf numFmtId="202" fontId="216" fillId="93" borderId="94" applyNumberFormat="0" applyAlignment="0" applyProtection="0"/>
    <xf numFmtId="9" fontId="199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202" fontId="217" fillId="0" borderId="0" applyNumberFormat="0" applyFill="0" applyBorder="0" applyAlignment="0" applyProtection="0"/>
    <xf numFmtId="202" fontId="217" fillId="0" borderId="0" applyNumberFormat="0" applyFill="0" applyBorder="0" applyAlignment="0" applyProtection="0"/>
    <xf numFmtId="202" fontId="218" fillId="0" borderId="95" applyNumberFormat="0" applyFill="0" applyAlignment="0" applyProtection="0"/>
    <xf numFmtId="202" fontId="218" fillId="0" borderId="95" applyNumberFormat="0" applyFill="0" applyAlignment="0" applyProtection="0"/>
    <xf numFmtId="202" fontId="219" fillId="0" borderId="0" applyNumberFormat="0" applyFill="0" applyBorder="0" applyAlignment="0" applyProtection="0"/>
    <xf numFmtId="202" fontId="219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25" fillId="0" borderId="117" applyNumberFormat="0" applyFill="0" applyAlignment="0" applyProtection="0"/>
    <xf numFmtId="0" fontId="226" fillId="0" borderId="118" applyNumberFormat="0" applyFill="0" applyAlignment="0" applyProtection="0"/>
    <xf numFmtId="0" fontId="227" fillId="0" borderId="119" applyNumberFormat="0" applyFill="0" applyAlignment="0" applyProtection="0"/>
    <xf numFmtId="0" fontId="227" fillId="0" borderId="0" applyNumberFormat="0" applyFill="0" applyBorder="0" applyAlignment="0" applyProtection="0"/>
    <xf numFmtId="0" fontId="228" fillId="99" borderId="0" applyNumberFormat="0" applyBorder="0" applyAlignment="0" applyProtection="0"/>
    <xf numFmtId="0" fontId="229" fillId="100" borderId="0" applyNumberFormat="0" applyBorder="0" applyAlignment="0" applyProtection="0"/>
    <xf numFmtId="0" fontId="231" fillId="102" borderId="120" applyNumberFormat="0" applyAlignment="0" applyProtection="0"/>
    <xf numFmtId="0" fontId="232" fillId="103" borderId="121" applyNumberFormat="0" applyAlignment="0" applyProtection="0"/>
    <xf numFmtId="0" fontId="233" fillId="103" borderId="120" applyNumberFormat="0" applyAlignment="0" applyProtection="0"/>
    <xf numFmtId="0" fontId="234" fillId="0" borderId="122" applyNumberFormat="0" applyFill="0" applyAlignment="0" applyProtection="0"/>
    <xf numFmtId="0" fontId="120" fillId="104" borderId="123" applyNumberFormat="0" applyAlignment="0" applyProtection="0"/>
    <xf numFmtId="0" fontId="92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91" fillId="0" borderId="125" applyNumberFormat="0" applyFill="0" applyAlignment="0" applyProtection="0"/>
    <xf numFmtId="0" fontId="236" fillId="106" borderId="0" applyNumberFormat="0" applyBorder="0" applyAlignment="0" applyProtection="0"/>
    <xf numFmtId="0" fontId="3" fillId="107" borderId="0" applyNumberFormat="0" applyBorder="0" applyAlignment="0" applyProtection="0"/>
    <xf numFmtId="0" fontId="3" fillId="108" borderId="0" applyNumberFormat="0" applyBorder="0" applyAlignment="0" applyProtection="0"/>
    <xf numFmtId="0" fontId="236" fillId="110" borderId="0" applyNumberFormat="0" applyBorder="0" applyAlignment="0" applyProtection="0"/>
    <xf numFmtId="0" fontId="3" fillId="111" borderId="0" applyNumberFormat="0" applyBorder="0" applyAlignment="0" applyProtection="0"/>
    <xf numFmtId="0" fontId="3" fillId="112" borderId="0" applyNumberFormat="0" applyBorder="0" applyAlignment="0" applyProtection="0"/>
    <xf numFmtId="0" fontId="236" fillId="114" borderId="0" applyNumberFormat="0" applyBorder="0" applyAlignment="0" applyProtection="0"/>
    <xf numFmtId="0" fontId="3" fillId="115" borderId="0" applyNumberFormat="0" applyBorder="0" applyAlignment="0" applyProtection="0"/>
    <xf numFmtId="0" fontId="3" fillId="116" borderId="0" applyNumberFormat="0" applyBorder="0" applyAlignment="0" applyProtection="0"/>
    <xf numFmtId="0" fontId="236" fillId="118" borderId="0" applyNumberFormat="0" applyBorder="0" applyAlignment="0" applyProtection="0"/>
    <xf numFmtId="0" fontId="3" fillId="119" borderId="0" applyNumberFormat="0" applyBorder="0" applyAlignment="0" applyProtection="0"/>
    <xf numFmtId="0" fontId="3" fillId="120" borderId="0" applyNumberFormat="0" applyBorder="0" applyAlignment="0" applyProtection="0"/>
    <xf numFmtId="0" fontId="236" fillId="122" borderId="0" applyNumberFormat="0" applyBorder="0" applyAlignment="0" applyProtection="0"/>
    <xf numFmtId="0" fontId="3" fillId="123" borderId="0" applyNumberFormat="0" applyBorder="0" applyAlignment="0" applyProtection="0"/>
    <xf numFmtId="0" fontId="3" fillId="124" borderId="0" applyNumberFormat="0" applyBorder="0" applyAlignment="0" applyProtection="0"/>
    <xf numFmtId="0" fontId="236" fillId="126" borderId="0" applyNumberFormat="0" applyBorder="0" applyAlignment="0" applyProtection="0"/>
    <xf numFmtId="0" fontId="3" fillId="127" borderId="0" applyNumberFormat="0" applyBorder="0" applyAlignment="0" applyProtection="0"/>
    <xf numFmtId="0" fontId="3" fillId="128" borderId="0" applyNumberFormat="0" applyBorder="0" applyAlignment="0" applyProtection="0"/>
    <xf numFmtId="0" fontId="3" fillId="0" borderId="0"/>
    <xf numFmtId="0" fontId="236" fillId="109" borderId="0" applyNumberFormat="0" applyBorder="0" applyAlignment="0" applyProtection="0"/>
    <xf numFmtId="0" fontId="3" fillId="109" borderId="0" applyNumberFormat="0" applyBorder="0" applyAlignment="0" applyProtection="0"/>
    <xf numFmtId="0" fontId="236" fillId="113" borderId="0" applyNumberFormat="0" applyBorder="0" applyAlignment="0" applyProtection="0"/>
    <xf numFmtId="0" fontId="3" fillId="113" borderId="0" applyNumberFormat="0" applyBorder="0" applyAlignment="0" applyProtection="0"/>
    <xf numFmtId="0" fontId="236" fillId="117" borderId="0" applyNumberFormat="0" applyBorder="0" applyAlignment="0" applyProtection="0"/>
    <xf numFmtId="0" fontId="3" fillId="117" borderId="0" applyNumberFormat="0" applyBorder="0" applyAlignment="0" applyProtection="0"/>
    <xf numFmtId="0" fontId="236" fillId="121" borderId="0" applyNumberFormat="0" applyBorder="0" applyAlignment="0" applyProtection="0"/>
    <xf numFmtId="0" fontId="3" fillId="121" borderId="0" applyNumberFormat="0" applyBorder="0" applyAlignment="0" applyProtection="0"/>
    <xf numFmtId="0" fontId="236" fillId="125" borderId="0" applyNumberFormat="0" applyBorder="0" applyAlignment="0" applyProtection="0"/>
    <xf numFmtId="0" fontId="3" fillId="125" borderId="0" applyNumberFormat="0" applyBorder="0" applyAlignment="0" applyProtection="0"/>
    <xf numFmtId="0" fontId="236" fillId="129" borderId="0" applyNumberFormat="0" applyBorder="0" applyAlignment="0" applyProtection="0"/>
    <xf numFmtId="0" fontId="3" fillId="129" borderId="0" applyNumberFormat="0" applyBorder="0" applyAlignment="0" applyProtection="0"/>
    <xf numFmtId="43" fontId="3" fillId="0" borderId="0" applyFont="0" applyFill="0" applyBorder="0" applyAlignment="0" applyProtection="0"/>
    <xf numFmtId="0" fontId="237" fillId="101" borderId="0" applyNumberFormat="0" applyBorder="0" applyAlignment="0" applyProtection="0"/>
    <xf numFmtId="0" fontId="230" fillId="101" borderId="0" applyNumberFormat="0" applyBorder="0" applyAlignment="0" applyProtection="0"/>
    <xf numFmtId="0" fontId="3" fillId="0" borderId="0"/>
    <xf numFmtId="0" fontId="3" fillId="105" borderId="124" applyNumberFormat="0" applyFont="0" applyAlignment="0" applyProtection="0"/>
    <xf numFmtId="0" fontId="238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162" fillId="0" borderId="126" applyNumberFormat="0" applyFill="0" applyAlignment="0" applyProtection="0"/>
    <xf numFmtId="202" fontId="162" fillId="0" borderId="126" applyNumberFormat="0" applyFill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53" fillId="0" borderId="0"/>
    <xf numFmtId="165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202" fontId="153" fillId="78" borderId="0" applyNumberFormat="0" applyBorder="0" applyAlignment="0" applyProtection="0"/>
    <xf numFmtId="202" fontId="153" fillId="78" borderId="0" applyNumberFormat="0" applyBorder="0" applyAlignment="0" applyProtection="0"/>
    <xf numFmtId="202" fontId="153" fillId="79" borderId="0" applyNumberFormat="0" applyBorder="0" applyAlignment="0" applyProtection="0"/>
    <xf numFmtId="202" fontId="153" fillId="79" borderId="0" applyNumberFormat="0" applyBorder="0" applyAlignment="0" applyProtection="0"/>
    <xf numFmtId="202" fontId="153" fillId="80" borderId="0" applyNumberFormat="0" applyBorder="0" applyAlignment="0" applyProtection="0"/>
    <xf numFmtId="202" fontId="153" fillId="80" borderId="0" applyNumberFormat="0" applyBorder="0" applyAlignment="0" applyProtection="0"/>
    <xf numFmtId="202" fontId="153" fillId="81" borderId="0" applyNumberFormat="0" applyBorder="0" applyAlignment="0" applyProtection="0"/>
    <xf numFmtId="202" fontId="153" fillId="81" borderId="0" applyNumberFormat="0" applyBorder="0" applyAlignment="0" applyProtection="0"/>
    <xf numFmtId="202" fontId="153" fillId="82" borderId="0" applyNumberFormat="0" applyBorder="0" applyAlignment="0" applyProtection="0"/>
    <xf numFmtId="202" fontId="153" fillId="82" borderId="0" applyNumberFormat="0" applyBorder="0" applyAlignment="0" applyProtection="0"/>
    <xf numFmtId="202" fontId="153" fillId="6" borderId="0" applyNumberFormat="0" applyBorder="0" applyAlignment="0" applyProtection="0"/>
    <xf numFmtId="202" fontId="153" fillId="6" borderId="0" applyNumberFormat="0" applyBorder="0" applyAlignment="0" applyProtection="0"/>
    <xf numFmtId="202" fontId="153" fillId="2" borderId="0" applyNumberFormat="0" applyBorder="0" applyAlignment="0" applyProtection="0"/>
    <xf numFmtId="202" fontId="153" fillId="2" borderId="0" applyNumberFormat="0" applyBorder="0" applyAlignment="0" applyProtection="0"/>
    <xf numFmtId="202" fontId="153" fillId="83" borderId="0" applyNumberFormat="0" applyBorder="0" applyAlignment="0" applyProtection="0"/>
    <xf numFmtId="202" fontId="153" fillId="83" borderId="0" applyNumberFormat="0" applyBorder="0" applyAlignment="0" applyProtection="0"/>
    <xf numFmtId="202" fontId="153" fillId="84" borderId="0" applyNumberFormat="0" applyBorder="0" applyAlignment="0" applyProtection="0"/>
    <xf numFmtId="202" fontId="153" fillId="84" borderId="0" applyNumberFormat="0" applyBorder="0" applyAlignment="0" applyProtection="0"/>
    <xf numFmtId="202" fontId="153" fillId="81" borderId="0" applyNumberFormat="0" applyBorder="0" applyAlignment="0" applyProtection="0"/>
    <xf numFmtId="202" fontId="153" fillId="81" borderId="0" applyNumberFormat="0" applyBorder="0" applyAlignment="0" applyProtection="0"/>
    <xf numFmtId="202" fontId="153" fillId="2" borderId="0" applyNumberFormat="0" applyBorder="0" applyAlignment="0" applyProtection="0"/>
    <xf numFmtId="202" fontId="153" fillId="2" borderId="0" applyNumberFormat="0" applyBorder="0" applyAlignment="0" applyProtection="0"/>
    <xf numFmtId="202" fontId="153" fillId="85" borderId="0" applyNumberFormat="0" applyBorder="0" applyAlignment="0" applyProtection="0"/>
    <xf numFmtId="202" fontId="153" fillId="85" borderId="0" applyNumberFormat="0" applyBorder="0" applyAlignment="0" applyProtection="0"/>
    <xf numFmtId="202" fontId="154" fillId="86" borderId="0" applyNumberFormat="0" applyBorder="0" applyAlignment="0" applyProtection="0"/>
    <xf numFmtId="202" fontId="154" fillId="86" borderId="0" applyNumberFormat="0" applyBorder="0" applyAlignment="0" applyProtection="0"/>
    <xf numFmtId="202" fontId="154" fillId="83" borderId="0" applyNumberFormat="0" applyBorder="0" applyAlignment="0" applyProtection="0"/>
    <xf numFmtId="202" fontId="154" fillId="83" borderId="0" applyNumberFormat="0" applyBorder="0" applyAlignment="0" applyProtection="0"/>
    <xf numFmtId="202" fontId="154" fillId="84" borderId="0" applyNumberFormat="0" applyBorder="0" applyAlignment="0" applyProtection="0"/>
    <xf numFmtId="202" fontId="154" fillId="84" borderId="0" applyNumberFormat="0" applyBorder="0" applyAlignment="0" applyProtection="0"/>
    <xf numFmtId="202" fontId="154" fillId="87" borderId="0" applyNumberFormat="0" applyBorder="0" applyAlignment="0" applyProtection="0"/>
    <xf numFmtId="202" fontId="154" fillId="87" borderId="0" applyNumberFormat="0" applyBorder="0" applyAlignment="0" applyProtection="0"/>
    <xf numFmtId="202" fontId="154" fillId="8" borderId="0" applyNumberFormat="0" applyBorder="0" applyAlignment="0" applyProtection="0"/>
    <xf numFmtId="202" fontId="154" fillId="8" borderId="0" applyNumberFormat="0" applyBorder="0" applyAlignment="0" applyProtection="0"/>
    <xf numFmtId="202" fontId="154" fillId="88" borderId="0" applyNumberFormat="0" applyBorder="0" applyAlignment="0" applyProtection="0"/>
    <xf numFmtId="202" fontId="154" fillId="88" borderId="0" applyNumberFormat="0" applyBorder="0" applyAlignment="0" applyProtection="0"/>
    <xf numFmtId="202" fontId="154" fillId="89" borderId="0" applyNumberFormat="0" applyBorder="0" applyAlignment="0" applyProtection="0"/>
    <xf numFmtId="202" fontId="154" fillId="89" borderId="0" applyNumberFormat="0" applyBorder="0" applyAlignment="0" applyProtection="0"/>
    <xf numFmtId="202" fontId="154" fillId="90" borderId="0" applyNumberFormat="0" applyBorder="0" applyAlignment="0" applyProtection="0"/>
    <xf numFmtId="202" fontId="154" fillId="90" borderId="0" applyNumberFormat="0" applyBorder="0" applyAlignment="0" applyProtection="0"/>
    <xf numFmtId="202" fontId="154" fillId="91" borderId="0" applyNumberFormat="0" applyBorder="0" applyAlignment="0" applyProtection="0"/>
    <xf numFmtId="202" fontId="154" fillId="91" borderId="0" applyNumberFormat="0" applyBorder="0" applyAlignment="0" applyProtection="0"/>
    <xf numFmtId="202" fontId="154" fillId="87" borderId="0" applyNumberFormat="0" applyBorder="0" applyAlignment="0" applyProtection="0"/>
    <xf numFmtId="202" fontId="154" fillId="87" borderId="0" applyNumberFormat="0" applyBorder="0" applyAlignment="0" applyProtection="0"/>
    <xf numFmtId="202" fontId="154" fillId="8" borderId="0" applyNumberFormat="0" applyBorder="0" applyAlignment="0" applyProtection="0"/>
    <xf numFmtId="202" fontId="154" fillId="8" borderId="0" applyNumberFormat="0" applyBorder="0" applyAlignment="0" applyProtection="0"/>
    <xf numFmtId="202" fontId="154" fillId="92" borderId="0" applyNumberFormat="0" applyBorder="0" applyAlignment="0" applyProtection="0"/>
    <xf numFmtId="202" fontId="154" fillId="92" borderId="0" applyNumberFormat="0" applyBorder="0" applyAlignment="0" applyProtection="0"/>
    <xf numFmtId="202" fontId="155" fillId="79" borderId="0" applyNumberFormat="0" applyBorder="0" applyAlignment="0" applyProtection="0"/>
    <xf numFmtId="202" fontId="155" fillId="79" borderId="0" applyNumberFormat="0" applyBorder="0" applyAlignment="0" applyProtection="0"/>
    <xf numFmtId="202" fontId="156" fillId="93" borderId="87" applyNumberFormat="0" applyAlignment="0" applyProtection="0"/>
    <xf numFmtId="202" fontId="156" fillId="93" borderId="87" applyNumberFormat="0" applyAlignment="0" applyProtection="0"/>
    <xf numFmtId="202" fontId="157" fillId="94" borderId="88" applyNumberFormat="0" applyAlignment="0" applyProtection="0"/>
    <xf numFmtId="202" fontId="157" fillId="94" borderId="8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85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204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202" fontId="158" fillId="0" borderId="0" applyNumberFormat="0" applyFill="0" applyBorder="0" applyAlignment="0" applyProtection="0"/>
    <xf numFmtId="202" fontId="158" fillId="0" borderId="0" applyNumberFormat="0" applyFill="0" applyBorder="0" applyAlignment="0" applyProtection="0"/>
    <xf numFmtId="202" fontId="159" fillId="80" borderId="0" applyNumberFormat="0" applyBorder="0" applyAlignment="0" applyProtection="0"/>
    <xf numFmtId="202" fontId="159" fillId="80" borderId="0" applyNumberFormat="0" applyBorder="0" applyAlignment="0" applyProtection="0"/>
    <xf numFmtId="202" fontId="160" fillId="0" borderId="89" applyNumberFormat="0" applyFill="0" applyAlignment="0" applyProtection="0"/>
    <xf numFmtId="202" fontId="160" fillId="0" borderId="89" applyNumberFormat="0" applyFill="0" applyAlignment="0" applyProtection="0"/>
    <xf numFmtId="202" fontId="161" fillId="0" borderId="90" applyNumberFormat="0" applyFill="0" applyAlignment="0" applyProtection="0"/>
    <xf numFmtId="202" fontId="161" fillId="0" borderId="90" applyNumberFormat="0" applyFill="0" applyAlignment="0" applyProtection="0"/>
    <xf numFmtId="202" fontId="162" fillId="0" borderId="126" applyNumberFormat="0" applyFill="0" applyAlignment="0" applyProtection="0"/>
    <xf numFmtId="202" fontId="162" fillId="0" borderId="126" applyNumberFormat="0" applyFill="0" applyAlignment="0" applyProtection="0"/>
    <xf numFmtId="202" fontId="162" fillId="0" borderId="0" applyNumberFormat="0" applyFill="0" applyBorder="0" applyAlignment="0" applyProtection="0"/>
    <xf numFmtId="202" fontId="162" fillId="0" borderId="0" applyNumberFormat="0" applyFill="0" applyBorder="0" applyAlignment="0" applyProtection="0"/>
    <xf numFmtId="202" fontId="163" fillId="6" borderId="87" applyNumberFormat="0" applyAlignment="0" applyProtection="0"/>
    <xf numFmtId="202" fontId="163" fillId="6" borderId="87" applyNumberFormat="0" applyAlignment="0" applyProtection="0"/>
    <xf numFmtId="202" fontId="164" fillId="0" borderId="92" applyNumberFormat="0" applyFill="0" applyAlignment="0" applyProtection="0"/>
    <xf numFmtId="202" fontId="164" fillId="0" borderId="92" applyNumberFormat="0" applyFill="0" applyAlignment="0" applyProtection="0"/>
    <xf numFmtId="202" fontId="165" fillId="5" borderId="0" applyNumberFormat="0" applyBorder="0" applyAlignment="0" applyProtection="0"/>
    <xf numFmtId="202" fontId="165" fillId="5" borderId="0" applyNumberFormat="0" applyBorder="0" applyAlignment="0" applyProtection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53" fillId="0" borderId="0"/>
    <xf numFmtId="0" fontId="53" fillId="0" borderId="0"/>
    <xf numFmtId="0" fontId="69" fillId="0" borderId="0"/>
    <xf numFmtId="0" fontId="69" fillId="0" borderId="0"/>
    <xf numFmtId="198" fontId="69" fillId="0" borderId="0"/>
    <xf numFmtId="202" fontId="69" fillId="0" borderId="0"/>
    <xf numFmtId="0" fontId="69" fillId="0" borderId="0"/>
    <xf numFmtId="198" fontId="69" fillId="0" borderId="0"/>
    <xf numFmtId="171" fontId="69" fillId="0" borderId="0"/>
    <xf numFmtId="0" fontId="69" fillId="0" borderId="0"/>
    <xf numFmtId="198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14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69" fillId="0" borderId="0"/>
    <xf numFmtId="202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166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53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69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69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202" fontId="69" fillId="95" borderId="93" applyNumberFormat="0" applyFont="0" applyAlignment="0" applyProtection="0"/>
    <xf numFmtId="202" fontId="69" fillId="95" borderId="93" applyNumberFormat="0" applyFont="0" applyAlignment="0" applyProtection="0"/>
    <xf numFmtId="202" fontId="167" fillId="93" borderId="94" applyNumberFormat="0" applyAlignment="0" applyProtection="0"/>
    <xf numFmtId="202" fontId="167" fillId="93" borderId="94" applyNumberFormat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2" fontId="169" fillId="0" borderId="95" applyNumberFormat="0" applyFill="0" applyAlignment="0" applyProtection="0"/>
    <xf numFmtId="202" fontId="169" fillId="0" borderId="95" applyNumberFormat="0" applyFill="0" applyAlignment="0" applyProtection="0"/>
    <xf numFmtId="202" fontId="170" fillId="0" borderId="0" applyNumberFormat="0" applyFill="0" applyBorder="0" applyAlignment="0" applyProtection="0"/>
    <xf numFmtId="202" fontId="170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7" borderId="0" applyNumberFormat="0" applyBorder="0" applyAlignment="0" applyProtection="0"/>
    <xf numFmtId="0" fontId="2" fillId="108" borderId="0" applyNumberFormat="0" applyBorder="0" applyAlignment="0" applyProtection="0"/>
    <xf numFmtId="0" fontId="2" fillId="111" borderId="0" applyNumberFormat="0" applyBorder="0" applyAlignment="0" applyProtection="0"/>
    <xf numFmtId="0" fontId="2" fillId="112" borderId="0" applyNumberFormat="0" applyBorder="0" applyAlignment="0" applyProtection="0"/>
    <xf numFmtId="0" fontId="2" fillId="115" borderId="0" applyNumberFormat="0" applyBorder="0" applyAlignment="0" applyProtection="0"/>
    <xf numFmtId="0" fontId="2" fillId="116" borderId="0" applyNumberFormat="0" applyBorder="0" applyAlignment="0" applyProtection="0"/>
    <xf numFmtId="0" fontId="2" fillId="119" borderId="0" applyNumberFormat="0" applyBorder="0" applyAlignment="0" applyProtection="0"/>
    <xf numFmtId="0" fontId="2" fillId="120" borderId="0" applyNumberFormat="0" applyBorder="0" applyAlignment="0" applyProtection="0"/>
    <xf numFmtId="0" fontId="2" fillId="123" borderId="0" applyNumberFormat="0" applyBorder="0" applyAlignment="0" applyProtection="0"/>
    <xf numFmtId="0" fontId="2" fillId="124" borderId="0" applyNumberFormat="0" applyBorder="0" applyAlignment="0" applyProtection="0"/>
    <xf numFmtId="0" fontId="2" fillId="127" borderId="0" applyNumberFormat="0" applyBorder="0" applyAlignment="0" applyProtection="0"/>
    <xf numFmtId="0" fontId="2" fillId="128" borderId="0" applyNumberFormat="0" applyBorder="0" applyAlignment="0" applyProtection="0"/>
    <xf numFmtId="0" fontId="2" fillId="0" borderId="0"/>
    <xf numFmtId="0" fontId="2" fillId="109" borderId="0" applyNumberFormat="0" applyBorder="0" applyAlignment="0" applyProtection="0"/>
    <xf numFmtId="0" fontId="2" fillId="113" borderId="0" applyNumberFormat="0" applyBorder="0" applyAlignment="0" applyProtection="0"/>
    <xf numFmtId="0" fontId="2" fillId="117" borderId="0" applyNumberFormat="0" applyBorder="0" applyAlignment="0" applyProtection="0"/>
    <xf numFmtId="0" fontId="2" fillId="121" borderId="0" applyNumberFormat="0" applyBorder="0" applyAlignment="0" applyProtection="0"/>
    <xf numFmtId="0" fontId="2" fillId="125" borderId="0" applyNumberFormat="0" applyBorder="0" applyAlignment="0" applyProtection="0"/>
    <xf numFmtId="0" fontId="2" fillId="129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05" borderId="124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100">
    <xf numFmtId="0" fontId="0" fillId="0" borderId="0" xfId="0"/>
    <xf numFmtId="0" fontId="55" fillId="0" borderId="0" xfId="0" applyFont="1"/>
    <xf numFmtId="0" fontId="0" fillId="0" borderId="0" xfId="0" applyAlignment="1">
      <alignment horizontal="center"/>
    </xf>
    <xf numFmtId="0" fontId="56" fillId="0" borderId="0" xfId="0" applyFont="1"/>
    <xf numFmtId="0" fontId="55" fillId="0" borderId="0" xfId="0" applyFont="1" applyAlignment="1">
      <alignment horizontal="center"/>
    </xf>
    <xf numFmtId="20" fontId="55" fillId="0" borderId="0" xfId="0" applyNumberFormat="1" applyFont="1" applyAlignment="1">
      <alignment horizontal="center"/>
    </xf>
    <xf numFmtId="0" fontId="0" fillId="0" borderId="1" xfId="0" applyBorder="1"/>
    <xf numFmtId="0" fontId="57" fillId="0" borderId="1" xfId="0" applyFont="1" applyBorder="1"/>
    <xf numFmtId="0" fontId="0" fillId="0" borderId="2" xfId="0" applyBorder="1"/>
    <xf numFmtId="0" fontId="0" fillId="0" borderId="3" xfId="0" applyBorder="1"/>
    <xf numFmtId="0" fontId="55" fillId="0" borderId="4" xfId="0" applyFont="1" applyBorder="1"/>
    <xf numFmtId="0" fontId="55" fillId="0" borderId="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55" fillId="0" borderId="1" xfId="0" applyFont="1" applyBorder="1"/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right"/>
    </xf>
    <xf numFmtId="0" fontId="55" fillId="0" borderId="1" xfId="0" applyFont="1" applyBorder="1" applyAlignment="1">
      <alignment horizontal="left"/>
    </xf>
    <xf numFmtId="10" fontId="0" fillId="0" borderId="2" xfId="0" applyNumberForma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2" xfId="0" applyFill="1" applyBorder="1"/>
    <xf numFmtId="0" fontId="58" fillId="3" borderId="10" xfId="0" applyFont="1" applyFill="1" applyBorder="1"/>
    <xf numFmtId="0" fontId="58" fillId="3" borderId="11" xfId="0" applyFont="1" applyFill="1" applyBorder="1" applyAlignment="1">
      <alignment horizontal="center"/>
    </xf>
    <xf numFmtId="0" fontId="58" fillId="3" borderId="10" xfId="0" applyFont="1" applyFill="1" applyBorder="1" applyAlignment="1">
      <alignment horizontal="center"/>
    </xf>
    <xf numFmtId="0" fontId="58" fillId="3" borderId="12" xfId="0" applyFont="1" applyFill="1" applyBorder="1" applyAlignment="1">
      <alignment horizontal="center"/>
    </xf>
    <xf numFmtId="0" fontId="58" fillId="3" borderId="10" xfId="0" applyFont="1" applyFill="1" applyBorder="1" applyAlignment="1">
      <alignment horizontal="left"/>
    </xf>
    <xf numFmtId="0" fontId="59" fillId="0" borderId="0" xfId="0" applyFont="1"/>
    <xf numFmtId="10" fontId="55" fillId="4" borderId="6" xfId="0" applyNumberFormat="1" applyFont="1" applyFill="1" applyBorder="1" applyAlignment="1">
      <alignment horizontal="center"/>
    </xf>
    <xf numFmtId="10" fontId="55" fillId="4" borderId="13" xfId="0" applyNumberFormat="1" applyFont="1" applyFill="1" applyBorder="1" applyAlignment="1">
      <alignment horizontal="center"/>
    </xf>
    <xf numFmtId="0" fontId="0" fillId="0" borderId="7" xfId="0" applyBorder="1"/>
    <xf numFmtId="0" fontId="55" fillId="0" borderId="2" xfId="0" applyFont="1" applyBorder="1" applyAlignment="1">
      <alignment horizontal="center"/>
    </xf>
    <xf numFmtId="0" fontId="55" fillId="0" borderId="6" xfId="0" applyFont="1" applyBorder="1" applyAlignment="1">
      <alignment horizontal="center"/>
    </xf>
    <xf numFmtId="0" fontId="60" fillId="0" borderId="0" xfId="0" applyFont="1"/>
    <xf numFmtId="0" fontId="64" fillId="0" borderId="0" xfId="0" applyFont="1" applyAlignment="1">
      <alignment horizontal="center" wrapText="1"/>
    </xf>
    <xf numFmtId="0" fontId="63" fillId="0" borderId="0" xfId="0" applyFont="1" applyAlignment="1">
      <alignment horizontal="center" vertical="center" wrapText="1"/>
    </xf>
    <xf numFmtId="0" fontId="57" fillId="0" borderId="0" xfId="0" applyFont="1"/>
    <xf numFmtId="0" fontId="64" fillId="0" borderId="0" xfId="0" applyFont="1"/>
    <xf numFmtId="0" fontId="58" fillId="3" borderId="14" xfId="0" applyFont="1" applyFill="1" applyBorder="1" applyAlignment="1">
      <alignment horizontal="center"/>
    </xf>
    <xf numFmtId="0" fontId="58" fillId="3" borderId="15" xfId="0" applyFont="1" applyFill="1" applyBorder="1" applyAlignment="1">
      <alignment horizontal="center"/>
    </xf>
    <xf numFmtId="0" fontId="57" fillId="0" borderId="2" xfId="0" applyFont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0" fontId="58" fillId="3" borderId="0" xfId="0" applyFont="1" applyFill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0" fillId="0" borderId="16" xfId="0" applyBorder="1"/>
    <xf numFmtId="0" fontId="58" fillId="3" borderId="16" xfId="0" applyFont="1" applyFill="1" applyBorder="1"/>
    <xf numFmtId="0" fontId="0" fillId="0" borderId="17" xfId="0" applyBorder="1"/>
    <xf numFmtId="0" fontId="0" fillId="0" borderId="18" xfId="0" applyBorder="1"/>
    <xf numFmtId="0" fontId="0" fillId="2" borderId="2" xfId="0" applyFill="1" applyBorder="1" applyAlignment="1">
      <alignment horizontal="center"/>
    </xf>
    <xf numFmtId="0" fontId="65" fillId="0" borderId="1" xfId="0" applyFont="1" applyBorder="1"/>
    <xf numFmtId="0" fontId="57" fillId="5" borderId="0" xfId="0" applyFont="1" applyFill="1" applyAlignment="1">
      <alignment horizontal="center"/>
    </xf>
    <xf numFmtId="0" fontId="0" fillId="0" borderId="19" xfId="0" applyBorder="1" applyAlignment="1">
      <alignment horizontal="center"/>
    </xf>
    <xf numFmtId="0" fontId="66" fillId="0" borderId="0" xfId="0" applyFont="1"/>
    <xf numFmtId="2" fontId="0" fillId="2" borderId="2" xfId="0" applyNumberFormat="1" applyFill="1" applyBorder="1" applyAlignment="1">
      <alignment horizontal="center"/>
    </xf>
    <xf numFmtId="0" fontId="67" fillId="0" borderId="20" xfId="0" applyFont="1" applyBorder="1"/>
    <xf numFmtId="0" fontId="68" fillId="0" borderId="1" xfId="0" applyFont="1" applyBorder="1"/>
    <xf numFmtId="0" fontId="69" fillId="0" borderId="1" xfId="0" applyFont="1" applyBorder="1"/>
    <xf numFmtId="0" fontId="67" fillId="0" borderId="1" xfId="0" applyFont="1" applyBorder="1"/>
    <xf numFmtId="0" fontId="66" fillId="0" borderId="1" xfId="0" applyFont="1" applyBorder="1"/>
    <xf numFmtId="0" fontId="67" fillId="0" borderId="4" xfId="0" applyFont="1" applyBorder="1"/>
    <xf numFmtId="0" fontId="67" fillId="0" borderId="21" xfId="0" applyFont="1" applyBorder="1"/>
    <xf numFmtId="0" fontId="68" fillId="0" borderId="7" xfId="0" applyFont="1" applyBorder="1"/>
    <xf numFmtId="0" fontId="69" fillId="0" borderId="7" xfId="0" applyFont="1" applyBorder="1"/>
    <xf numFmtId="0" fontId="67" fillId="0" borderId="7" xfId="0" applyFont="1" applyBorder="1"/>
    <xf numFmtId="0" fontId="66" fillId="0" borderId="7" xfId="0" applyFont="1" applyBorder="1"/>
    <xf numFmtId="0" fontId="58" fillId="3" borderId="22" xfId="0" applyFont="1" applyFill="1" applyBorder="1" applyAlignment="1">
      <alignment horizontal="center"/>
    </xf>
    <xf numFmtId="171" fontId="0" fillId="0" borderId="2" xfId="0" applyNumberForma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3" fontId="0" fillId="0" borderId="0" xfId="0" applyNumberFormat="1"/>
    <xf numFmtId="171" fontId="0" fillId="0" borderId="3" xfId="0" applyNumberFormat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3" fontId="0" fillId="0" borderId="2" xfId="0" quotePrefix="1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3" xfId="0" applyBorder="1"/>
    <xf numFmtId="0" fontId="67" fillId="0" borderId="5" xfId="0" applyFont="1" applyBorder="1" applyAlignment="1">
      <alignment horizontal="center"/>
    </xf>
    <xf numFmtId="2" fontId="67" fillId="0" borderId="6" xfId="0" applyNumberFormat="1" applyFont="1" applyBorder="1" applyAlignment="1">
      <alignment horizontal="center"/>
    </xf>
    <xf numFmtId="0" fontId="0" fillId="2" borderId="1" xfId="0" applyFill="1" applyBorder="1"/>
    <xf numFmtId="0" fontId="0" fillId="2" borderId="7" xfId="0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24" xfId="0" applyBorder="1" applyAlignment="1">
      <alignment horizontal="center"/>
    </xf>
    <xf numFmtId="0" fontId="55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0" fontId="58" fillId="3" borderId="14" xfId="0" applyFont="1" applyFill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/>
    </xf>
    <xf numFmtId="0" fontId="55" fillId="0" borderId="4" xfId="0" applyFont="1" applyBorder="1" applyAlignment="1">
      <alignment horizontal="left" vertical="center" wrapText="1"/>
    </xf>
    <xf numFmtId="0" fontId="0" fillId="2" borderId="17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2" xfId="0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58" fillId="3" borderId="10" xfId="0" applyFont="1" applyFill="1" applyBorder="1" applyAlignment="1">
      <alignment vertical="center"/>
    </xf>
    <xf numFmtId="0" fontId="58" fillId="3" borderId="11" xfId="0" applyFont="1" applyFill="1" applyBorder="1" applyAlignment="1">
      <alignment horizontal="center" vertical="center"/>
    </xf>
    <xf numFmtId="0" fontId="55" fillId="4" borderId="28" xfId="0" applyFont="1" applyFill="1" applyBorder="1" applyAlignment="1">
      <alignment vertical="center" wrapText="1"/>
    </xf>
    <xf numFmtId="0" fontId="55" fillId="4" borderId="29" xfId="0" applyFont="1" applyFill="1" applyBorder="1" applyAlignment="1">
      <alignment horizontal="center" vertical="center"/>
    </xf>
    <xf numFmtId="0" fontId="58" fillId="3" borderId="30" xfId="0" applyFont="1" applyFill="1" applyBorder="1" applyAlignment="1">
      <alignment horizontal="center" vertical="center" wrapText="1"/>
    </xf>
    <xf numFmtId="0" fontId="55" fillId="0" borderId="33" xfId="0" applyFont="1" applyBorder="1" applyAlignment="1">
      <alignment horizontal="left" vertical="center" wrapText="1"/>
    </xf>
    <xf numFmtId="0" fontId="0" fillId="0" borderId="34" xfId="0" applyBorder="1"/>
    <xf numFmtId="0" fontId="0" fillId="0" borderId="37" xfId="0" applyBorder="1"/>
    <xf numFmtId="0" fontId="0" fillId="0" borderId="39" xfId="0" applyBorder="1"/>
    <xf numFmtId="0" fontId="58" fillId="0" borderId="0" xfId="0" applyFont="1" applyAlignment="1">
      <alignment horizontal="left"/>
    </xf>
    <xf numFmtId="16" fontId="58" fillId="0" borderId="0" xfId="0" applyNumberFormat="1" applyFont="1" applyAlignment="1">
      <alignment horizontal="center"/>
    </xf>
    <xf numFmtId="0" fontId="55" fillId="0" borderId="19" xfId="0" applyFont="1" applyBorder="1" applyAlignment="1">
      <alignment horizontal="left"/>
    </xf>
    <xf numFmtId="0" fontId="0" fillId="0" borderId="19" xfId="0" applyBorder="1"/>
    <xf numFmtId="4" fontId="55" fillId="0" borderId="25" xfId="0" applyNumberFormat="1" applyFont="1" applyBorder="1" applyAlignment="1">
      <alignment horizontal="center"/>
    </xf>
    <xf numFmtId="0" fontId="55" fillId="0" borderId="40" xfId="0" applyFont="1" applyBorder="1"/>
    <xf numFmtId="0" fontId="55" fillId="0" borderId="40" xfId="0" applyFont="1" applyBorder="1" applyAlignment="1">
      <alignment horizontal="center"/>
    </xf>
    <xf numFmtId="4" fontId="55" fillId="0" borderId="40" xfId="0" applyNumberFormat="1" applyFont="1" applyBorder="1" applyAlignment="1">
      <alignment horizontal="center"/>
    </xf>
    <xf numFmtId="0" fontId="57" fillId="0" borderId="7" xfId="0" applyFont="1" applyBorder="1"/>
    <xf numFmtId="0" fontId="0" fillId="0" borderId="1" xfId="0" applyBorder="1" applyAlignment="1">
      <alignment horizontal="left" indent="2"/>
    </xf>
    <xf numFmtId="9" fontId="0" fillId="0" borderId="2" xfId="0" applyNumberFormat="1" applyBorder="1" applyAlignment="1">
      <alignment horizontal="center"/>
    </xf>
    <xf numFmtId="9" fontId="0" fillId="0" borderId="3" xfId="0" applyNumberFormat="1" applyBorder="1"/>
    <xf numFmtId="0" fontId="73" fillId="2" borderId="2" xfId="0" applyFont="1" applyFill="1" applyBorder="1" applyAlignment="1">
      <alignment horizontal="center"/>
    </xf>
    <xf numFmtId="0" fontId="69" fillId="0" borderId="1" xfId="0" applyFont="1" applyBorder="1" applyAlignment="1">
      <alignment horizontal="left" indent="2"/>
    </xf>
    <xf numFmtId="0" fontId="57" fillId="0" borderId="1" xfId="0" applyFont="1" applyBorder="1" applyAlignment="1">
      <alignment horizontal="left" indent="2"/>
    </xf>
    <xf numFmtId="0" fontId="69" fillId="0" borderId="2" xfId="0" applyFont="1" applyBorder="1"/>
    <xf numFmtId="0" fontId="57" fillId="0" borderId="2" xfId="0" applyFont="1" applyBorder="1"/>
    <xf numFmtId="0" fontId="57" fillId="0" borderId="3" xfId="0" applyFont="1" applyBorder="1"/>
    <xf numFmtId="0" fontId="57" fillId="0" borderId="23" xfId="0" applyFont="1" applyBorder="1"/>
    <xf numFmtId="0" fontId="74" fillId="0" borderId="0" xfId="0" applyFont="1"/>
    <xf numFmtId="17" fontId="0" fillId="0" borderId="0" xfId="0" applyNumberFormat="1"/>
    <xf numFmtId="0" fontId="0" fillId="0" borderId="41" xfId="0" applyBorder="1"/>
    <xf numFmtId="167" fontId="0" fillId="2" borderId="2" xfId="0" applyNumberFormat="1" applyFill="1" applyBorder="1" applyAlignment="1">
      <alignment horizontal="center"/>
    </xf>
    <xf numFmtId="0" fontId="57" fillId="0" borderId="17" xfId="0" applyFont="1" applyBorder="1"/>
    <xf numFmtId="0" fontId="69" fillId="0" borderId="42" xfId="0" applyFont="1" applyBorder="1"/>
    <xf numFmtId="0" fontId="69" fillId="0" borderId="23" xfId="0" applyFont="1" applyBorder="1"/>
    <xf numFmtId="0" fontId="57" fillId="0" borderId="23" xfId="0" applyFont="1" applyBorder="1" applyAlignment="1">
      <alignment horizontal="left" indent="2"/>
    </xf>
    <xf numFmtId="0" fontId="69" fillId="0" borderId="23" xfId="0" applyFont="1" applyBorder="1" applyAlignment="1">
      <alignment horizontal="left" indent="2"/>
    </xf>
    <xf numFmtId="0" fontId="66" fillId="0" borderId="0" xfId="0" applyFont="1" applyAlignment="1">
      <alignment horizontal="center"/>
    </xf>
    <xf numFmtId="0" fontId="67" fillId="6" borderId="17" xfId="0" applyFont="1" applyFill="1" applyBorder="1"/>
    <xf numFmtId="0" fontId="67" fillId="6" borderId="21" xfId="0" applyFont="1" applyFill="1" applyBorder="1" applyAlignment="1">
      <alignment horizontal="center"/>
    </xf>
    <xf numFmtId="173" fontId="0" fillId="0" borderId="0" xfId="1" applyNumberFormat="1" applyFont="1" applyFill="1" applyBorder="1" applyAlignment="1">
      <alignment horizontal="center"/>
    </xf>
    <xf numFmtId="173" fontId="0" fillId="0" borderId="0" xfId="1" applyNumberFormat="1" applyFont="1" applyFill="1" applyBorder="1"/>
    <xf numFmtId="0" fontId="69" fillId="7" borderId="1" xfId="0" applyFont="1" applyFill="1" applyBorder="1"/>
    <xf numFmtId="0" fontId="68" fillId="0" borderId="7" xfId="0" applyFont="1" applyBorder="1" applyAlignment="1">
      <alignment horizontal="center"/>
    </xf>
    <xf numFmtId="174" fontId="0" fillId="0" borderId="0" xfId="1" applyNumberFormat="1" applyFont="1" applyFill="1" applyBorder="1" applyAlignment="1">
      <alignment horizontal="center"/>
    </xf>
    <xf numFmtId="0" fontId="67" fillId="0" borderId="7" xfId="0" applyFont="1" applyBorder="1" applyAlignment="1">
      <alignment horizontal="center"/>
    </xf>
    <xf numFmtId="0" fontId="67" fillId="0" borderId="17" xfId="0" applyFont="1" applyBorder="1"/>
    <xf numFmtId="0" fontId="67" fillId="0" borderId="21" xfId="0" applyFont="1" applyBorder="1" applyAlignment="1">
      <alignment horizontal="center"/>
    </xf>
    <xf numFmtId="165" fontId="0" fillId="0" borderId="21" xfId="1" applyFont="1" applyFill="1" applyBorder="1" applyAlignment="1">
      <alignment horizontal="center"/>
    </xf>
    <xf numFmtId="165" fontId="0" fillId="0" borderId="17" xfId="1" applyFont="1" applyFill="1" applyBorder="1" applyAlignment="1">
      <alignment horizontal="center"/>
    </xf>
    <xf numFmtId="165" fontId="0" fillId="0" borderId="21" xfId="1" applyFont="1" applyFill="1" applyBorder="1"/>
    <xf numFmtId="165" fontId="0" fillId="0" borderId="17" xfId="1" applyFont="1" applyFill="1" applyBorder="1"/>
    <xf numFmtId="164" fontId="55" fillId="0" borderId="0" xfId="0" applyNumberFormat="1" applyFont="1"/>
    <xf numFmtId="0" fontId="67" fillId="6" borderId="20" xfId="0" applyFont="1" applyFill="1" applyBorder="1"/>
    <xf numFmtId="0" fontId="67" fillId="6" borderId="20" xfId="0" applyFont="1" applyFill="1" applyBorder="1" applyAlignment="1">
      <alignment horizontal="center"/>
    </xf>
    <xf numFmtId="0" fontId="0" fillId="0" borderId="28" xfId="0" applyBorder="1"/>
    <xf numFmtId="173" fontId="0" fillId="0" borderId="0" xfId="0" applyNumberFormat="1"/>
    <xf numFmtId="0" fontId="67" fillId="0" borderId="17" xfId="0" applyFont="1" applyBorder="1" applyAlignment="1">
      <alignment horizontal="center"/>
    </xf>
    <xf numFmtId="0" fontId="67" fillId="0" borderId="45" xfId="0" applyFont="1" applyBorder="1"/>
    <xf numFmtId="0" fontId="67" fillId="0" borderId="47" xfId="0" applyFont="1" applyBorder="1"/>
    <xf numFmtId="0" fontId="76" fillId="0" borderId="0" xfId="0" applyFont="1"/>
    <xf numFmtId="165" fontId="0" fillId="0" borderId="0" xfId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7" fillId="0" borderId="0" xfId="0" applyFont="1"/>
    <xf numFmtId="164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41" xfId="0" applyBorder="1" applyAlignment="1">
      <alignment horizontal="center"/>
    </xf>
    <xf numFmtId="174" fontId="77" fillId="0" borderId="0" xfId="1" applyNumberFormat="1" applyFont="1" applyFill="1" applyBorder="1" applyAlignment="1">
      <alignment horizontal="center"/>
    </xf>
    <xf numFmtId="0" fontId="78" fillId="0" borderId="0" xfId="0" applyFont="1"/>
    <xf numFmtId="0" fontId="0" fillId="10" borderId="0" xfId="0" applyFill="1" applyAlignment="1">
      <alignment horizontal="center"/>
    </xf>
    <xf numFmtId="0" fontId="57" fillId="0" borderId="0" xfId="0" applyFont="1" applyAlignment="1">
      <alignment horizontal="right"/>
    </xf>
    <xf numFmtId="2" fontId="0" fillId="0" borderId="0" xfId="0" applyNumberFormat="1"/>
    <xf numFmtId="165" fontId="57" fillId="0" borderId="17" xfId="1" applyFont="1" applyFill="1" applyBorder="1"/>
    <xf numFmtId="0" fontId="79" fillId="0" borderId="0" xfId="0" applyFont="1"/>
    <xf numFmtId="165" fontId="70" fillId="0" borderId="17" xfId="1" applyFont="1" applyFill="1" applyBorder="1"/>
    <xf numFmtId="0" fontId="0" fillId="11" borderId="2" xfId="0" applyFill="1" applyBorder="1" applyAlignment="1">
      <alignment horizontal="center"/>
    </xf>
    <xf numFmtId="0" fontId="73" fillId="0" borderId="2" xfId="0" applyFont="1" applyBorder="1" applyAlignment="1">
      <alignment horizontal="center"/>
    </xf>
    <xf numFmtId="0" fontId="0" fillId="0" borderId="27" xfId="0" applyBorder="1"/>
    <xf numFmtId="0" fontId="0" fillId="0" borderId="42" xfId="0" applyBorder="1"/>
    <xf numFmtId="0" fontId="58" fillId="3" borderId="51" xfId="0" applyFont="1" applyFill="1" applyBorder="1" applyAlignment="1">
      <alignment horizontal="center"/>
    </xf>
    <xf numFmtId="0" fontId="58" fillId="3" borderId="28" xfId="0" applyFont="1" applyFill="1" applyBorder="1" applyAlignment="1">
      <alignment horizontal="center"/>
    </xf>
    <xf numFmtId="0" fontId="58" fillId="3" borderId="29" xfId="0" applyFont="1" applyFill="1" applyBorder="1" applyAlignment="1">
      <alignment horizontal="center"/>
    </xf>
    <xf numFmtId="0" fontId="58" fillId="3" borderId="43" xfId="0" applyFont="1" applyFill="1" applyBorder="1" applyAlignment="1">
      <alignment horizontal="center"/>
    </xf>
    <xf numFmtId="0" fontId="90" fillId="0" borderId="0" xfId="14"/>
    <xf numFmtId="2" fontId="90" fillId="0" borderId="0" xfId="14" applyNumberFormat="1"/>
    <xf numFmtId="0" fontId="92" fillId="0" borderId="0" xfId="14" applyFont="1"/>
    <xf numFmtId="2" fontId="92" fillId="0" borderId="0" xfId="14" applyNumberFormat="1" applyFont="1"/>
    <xf numFmtId="0" fontId="91" fillId="0" borderId="0" xfId="14" applyFont="1"/>
    <xf numFmtId="168" fontId="0" fillId="0" borderId="17" xfId="0" applyNumberFormat="1" applyBorder="1"/>
    <xf numFmtId="0" fontId="93" fillId="0" borderId="0" xfId="0" applyFont="1"/>
    <xf numFmtId="4" fontId="0" fillId="0" borderId="0" xfId="0" applyNumberFormat="1"/>
    <xf numFmtId="0" fontId="0" fillId="12" borderId="0" xfId="0" applyFill="1"/>
    <xf numFmtId="43" fontId="67" fillId="0" borderId="6" xfId="0" applyNumberFormat="1" applyFont="1" applyBorder="1" applyAlignment="1">
      <alignment horizontal="center"/>
    </xf>
    <xf numFmtId="43" fontId="67" fillId="0" borderId="13" xfId="0" applyNumberFormat="1" applyFont="1" applyBorder="1" applyAlignment="1">
      <alignment horizontal="center"/>
    </xf>
    <xf numFmtId="171" fontId="73" fillId="2" borderId="2" xfId="0" applyNumberFormat="1" applyFont="1" applyFill="1" applyBorder="1" applyAlignment="1">
      <alignment horizontal="center"/>
    </xf>
    <xf numFmtId="0" fontId="57" fillId="12" borderId="0" xfId="0" applyFont="1" applyFill="1"/>
    <xf numFmtId="0" fontId="95" fillId="0" borderId="1" xfId="0" applyFont="1" applyBorder="1"/>
    <xf numFmtId="0" fontId="95" fillId="0" borderId="7" xfId="0" applyFont="1" applyBorder="1" applyAlignment="1">
      <alignment horizontal="center"/>
    </xf>
    <xf numFmtId="0" fontId="93" fillId="0" borderId="0" xfId="0" applyFont="1" applyAlignment="1">
      <alignment horizontal="left" indent="2"/>
    </xf>
    <xf numFmtId="171" fontId="73" fillId="0" borderId="2" xfId="0" applyNumberFormat="1" applyFont="1" applyBorder="1" applyAlignment="1">
      <alignment horizontal="center"/>
    </xf>
    <xf numFmtId="167" fontId="73" fillId="0" borderId="2" xfId="0" applyNumberFormat="1" applyFont="1" applyBorder="1" applyAlignment="1">
      <alignment horizontal="center"/>
    </xf>
    <xf numFmtId="2" fontId="73" fillId="2" borderId="2" xfId="0" applyNumberFormat="1" applyFont="1" applyFill="1" applyBorder="1" applyAlignment="1">
      <alignment horizontal="center"/>
    </xf>
    <xf numFmtId="0" fontId="69" fillId="12" borderId="1" xfId="0" applyFont="1" applyFill="1" applyBorder="1"/>
    <xf numFmtId="0" fontId="0" fillId="0" borderId="4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12" borderId="7" xfId="0" applyFill="1" applyBorder="1" applyAlignment="1">
      <alignment horizontal="center"/>
    </xf>
    <xf numFmtId="165" fontId="70" fillId="12" borderId="0" xfId="1" applyFont="1" applyFill="1"/>
    <xf numFmtId="0" fontId="0" fillId="12" borderId="24" xfId="0" applyFill="1" applyBorder="1"/>
    <xf numFmtId="165" fontId="70" fillId="12" borderId="24" xfId="1" applyFont="1" applyFill="1" applyBorder="1"/>
    <xf numFmtId="0" fontId="73" fillId="2" borderId="7" xfId="0" applyFon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0" fontId="73" fillId="2" borderId="0" xfId="0" applyFont="1" applyFill="1" applyAlignment="1">
      <alignment horizontal="center"/>
    </xf>
    <xf numFmtId="167" fontId="0" fillId="2" borderId="0" xfId="0" applyNumberFormat="1" applyFill="1" applyAlignment="1">
      <alignment horizontal="center"/>
    </xf>
    <xf numFmtId="0" fontId="57" fillId="0" borderId="27" xfId="0" applyFont="1" applyBorder="1"/>
    <xf numFmtId="0" fontId="69" fillId="0" borderId="54" xfId="0" applyFont="1" applyBorder="1"/>
    <xf numFmtId="0" fontId="69" fillId="0" borderId="41" xfId="0" applyFont="1" applyBorder="1"/>
    <xf numFmtId="0" fontId="69" fillId="0" borderId="48" xfId="0" applyFont="1" applyBorder="1"/>
    <xf numFmtId="0" fontId="0" fillId="2" borderId="42" xfId="0" applyFill="1" applyBorder="1" applyAlignment="1">
      <alignment horizontal="center"/>
    </xf>
    <xf numFmtId="0" fontId="83" fillId="0" borderId="0" xfId="0" applyFont="1"/>
    <xf numFmtId="0" fontId="69" fillId="0" borderId="0" xfId="0" applyFont="1"/>
    <xf numFmtId="1" fontId="0" fillId="0" borderId="0" xfId="0" applyNumberFormat="1"/>
    <xf numFmtId="169" fontId="69" fillId="0" borderId="41" xfId="0" applyNumberFormat="1" applyFont="1" applyBorder="1"/>
    <xf numFmtId="176" fontId="0" fillId="0" borderId="0" xfId="0" applyNumberFormat="1"/>
    <xf numFmtId="0" fontId="56" fillId="0" borderId="0" xfId="0" applyFont="1" applyAlignment="1">
      <alignment vertical="center"/>
    </xf>
    <xf numFmtId="0" fontId="0" fillId="0" borderId="0" xfId="0" applyAlignment="1">
      <alignment vertical="center"/>
    </xf>
    <xf numFmtId="0" fontId="58" fillId="3" borderId="16" xfId="0" applyFont="1" applyFill="1" applyBorder="1" applyAlignment="1">
      <alignment horizontal="center" vertical="center"/>
    </xf>
    <xf numFmtId="0" fontId="58" fillId="3" borderId="14" xfId="0" applyFont="1" applyFill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57" fillId="0" borderId="18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7" fillId="0" borderId="20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57" fillId="0" borderId="55" xfId="0" applyFont="1" applyBorder="1" applyAlignment="1">
      <alignment horizontal="left" vertical="center"/>
    </xf>
    <xf numFmtId="0" fontId="57" fillId="0" borderId="8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left" vertical="center"/>
    </xf>
    <xf numFmtId="0" fontId="57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168" fontId="73" fillId="2" borderId="2" xfId="0" applyNumberFormat="1" applyFont="1" applyFill="1" applyBorder="1" applyAlignment="1">
      <alignment horizontal="center"/>
    </xf>
    <xf numFmtId="2" fontId="57" fillId="2" borderId="2" xfId="0" applyNumberFormat="1" applyFont="1" applyFill="1" applyBorder="1" applyAlignment="1">
      <alignment horizontal="center"/>
    </xf>
    <xf numFmtId="165" fontId="57" fillId="12" borderId="2" xfId="2" applyFont="1" applyFill="1" applyBorder="1"/>
    <xf numFmtId="165" fontId="0" fillId="2" borderId="2" xfId="2" applyFont="1" applyFill="1" applyBorder="1" applyAlignment="1">
      <alignment horizontal="center"/>
    </xf>
    <xf numFmtId="179" fontId="0" fillId="0" borderId="0" xfId="0" applyNumberFormat="1"/>
    <xf numFmtId="165" fontId="57" fillId="12" borderId="17" xfId="2" applyFont="1" applyFill="1" applyBorder="1"/>
    <xf numFmtId="0" fontId="95" fillId="0" borderId="1" xfId="0" applyFont="1" applyBorder="1" applyAlignment="1">
      <alignment horizontal="left" indent="2"/>
    </xf>
    <xf numFmtId="0" fontId="95" fillId="2" borderId="1" xfId="0" applyFont="1" applyFill="1" applyBorder="1"/>
    <xf numFmtId="165" fontId="0" fillId="0" borderId="23" xfId="0" applyNumberFormat="1" applyBorder="1"/>
    <xf numFmtId="43" fontId="0" fillId="0" borderId="0" xfId="0" applyNumberFormat="1"/>
    <xf numFmtId="0" fontId="95" fillId="0" borderId="23" xfId="0" applyFont="1" applyBorder="1" applyAlignment="1">
      <alignment horizontal="left" indent="2"/>
    </xf>
    <xf numFmtId="0" fontId="95" fillId="0" borderId="0" xfId="0" applyFont="1"/>
    <xf numFmtId="0" fontId="96" fillId="0" borderId="0" xfId="0" applyFont="1" applyAlignment="1">
      <alignment horizontal="left" indent="2"/>
    </xf>
    <xf numFmtId="0" fontId="58" fillId="3" borderId="15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57" fillId="0" borderId="56" xfId="0" applyFont="1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0" fillId="0" borderId="27" xfId="0" applyBorder="1" applyAlignment="1">
      <alignment vertical="center"/>
    </xf>
    <xf numFmtId="0" fontId="90" fillId="0" borderId="17" xfId="14" applyBorder="1"/>
    <xf numFmtId="0" fontId="90" fillId="15" borderId="17" xfId="14" applyFill="1" applyBorder="1"/>
    <xf numFmtId="0" fontId="57" fillId="15" borderId="17" xfId="0" applyFont="1" applyFill="1" applyBorder="1"/>
    <xf numFmtId="10" fontId="92" fillId="0" borderId="0" xfId="21" applyNumberFormat="1" applyFont="1"/>
    <xf numFmtId="0" fontId="0" fillId="13" borderId="1" xfId="0" applyFill="1" applyBorder="1"/>
    <xf numFmtId="2" fontId="84" fillId="0" borderId="0" xfId="0" applyNumberFormat="1" applyFont="1"/>
    <xf numFmtId="1" fontId="0" fillId="16" borderId="17" xfId="0" applyNumberFormat="1" applyFill="1" applyBorder="1"/>
    <xf numFmtId="0" fontId="0" fillId="17" borderId="0" xfId="0" applyFill="1"/>
    <xf numFmtId="0" fontId="87" fillId="0" borderId="0" xfId="0" applyFont="1"/>
    <xf numFmtId="0" fontId="69" fillId="0" borderId="17" xfId="0" applyFont="1" applyBorder="1"/>
    <xf numFmtId="0" fontId="69" fillId="0" borderId="1" xfId="0" applyFont="1" applyBorder="1" applyAlignment="1">
      <alignment vertical="center"/>
    </xf>
    <xf numFmtId="0" fontId="69" fillId="0" borderId="7" xfId="0" applyFont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97" fillId="0" borderId="1" xfId="0" applyFont="1" applyBorder="1" applyAlignment="1">
      <alignment vertical="center"/>
    </xf>
    <xf numFmtId="0" fontId="0" fillId="0" borderId="42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72" fillId="2" borderId="2" xfId="0" applyFont="1" applyFill="1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57" fillId="9" borderId="2" xfId="0" applyFont="1" applyFill="1" applyBorder="1" applyAlignment="1">
      <alignment horizontal="center"/>
    </xf>
    <xf numFmtId="167" fontId="0" fillId="0" borderId="41" xfId="0" applyNumberFormat="1" applyBorder="1" applyAlignment="1">
      <alignment horizontal="center"/>
    </xf>
    <xf numFmtId="168" fontId="95" fillId="0" borderId="2" xfId="0" applyNumberFormat="1" applyFont="1" applyBorder="1" applyAlignment="1">
      <alignment horizontal="center"/>
    </xf>
    <xf numFmtId="0" fontId="57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173" fontId="0" fillId="0" borderId="2" xfId="11" applyNumberFormat="1" applyFont="1" applyFill="1" applyBorder="1" applyAlignment="1">
      <alignment vertical="center"/>
    </xf>
    <xf numFmtId="175" fontId="0" fillId="0" borderId="2" xfId="11" applyNumberFormat="1" applyFont="1" applyFill="1" applyBorder="1" applyAlignment="1">
      <alignment horizontal="center"/>
    </xf>
    <xf numFmtId="0" fontId="67" fillId="0" borderId="0" xfId="0" applyFont="1"/>
    <xf numFmtId="2" fontId="67" fillId="0" borderId="0" xfId="0" applyNumberFormat="1" applyFont="1" applyAlignment="1">
      <alignment horizontal="center"/>
    </xf>
    <xf numFmtId="0" fontId="97" fillId="0" borderId="1" xfId="0" applyFont="1" applyBorder="1"/>
    <xf numFmtId="0" fontId="57" fillId="0" borderId="0" xfId="13"/>
    <xf numFmtId="0" fontId="93" fillId="0" borderId="23" xfId="13" applyFont="1" applyBorder="1"/>
    <xf numFmtId="165" fontId="55" fillId="0" borderId="0" xfId="1" applyFont="1" applyFill="1" applyBorder="1"/>
    <xf numFmtId="0" fontId="99" fillId="0" borderId="0" xfId="0" applyFont="1"/>
    <xf numFmtId="171" fontId="0" fillId="14" borderId="2" xfId="0" applyNumberFormat="1" applyFill="1" applyBorder="1" applyAlignment="1">
      <alignment horizontal="center"/>
    </xf>
    <xf numFmtId="0" fontId="0" fillId="14" borderId="2" xfId="0" applyFill="1" applyBorder="1" applyAlignment="1">
      <alignment horizontal="center"/>
    </xf>
    <xf numFmtId="165" fontId="57" fillId="14" borderId="2" xfId="11" applyFont="1" applyFill="1" applyBorder="1"/>
    <xf numFmtId="0" fontId="57" fillId="14" borderId="1" xfId="0" applyFont="1" applyFill="1" applyBorder="1"/>
    <xf numFmtId="0" fontId="57" fillId="14" borderId="7" xfId="0" applyFont="1" applyFill="1" applyBorder="1" applyAlignment="1">
      <alignment horizontal="center"/>
    </xf>
    <xf numFmtId="167" fontId="0" fillId="14" borderId="2" xfId="0" applyNumberFormat="1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14" borderId="1" xfId="0" applyFill="1" applyBorder="1"/>
    <xf numFmtId="0" fontId="69" fillId="14" borderId="1" xfId="0" applyFont="1" applyFill="1" applyBorder="1"/>
    <xf numFmtId="0" fontId="100" fillId="0" borderId="17" xfId="0" applyFont="1" applyBorder="1" applyAlignment="1">
      <alignment horizontal="center"/>
    </xf>
    <xf numFmtId="3" fontId="100" fillId="0" borderId="14" xfId="0" applyNumberFormat="1" applyFont="1" applyBorder="1" applyAlignment="1">
      <alignment horizontal="center"/>
    </xf>
    <xf numFmtId="3" fontId="100" fillId="0" borderId="2" xfId="0" quotePrefix="1" applyNumberFormat="1" applyFont="1" applyBorder="1" applyAlignment="1">
      <alignment horizontal="center"/>
    </xf>
    <xf numFmtId="2" fontId="101" fillId="0" borderId="6" xfId="0" applyNumberFormat="1" applyFont="1" applyBorder="1" applyAlignment="1">
      <alignment horizontal="center"/>
    </xf>
    <xf numFmtId="168" fontId="100" fillId="0" borderId="2" xfId="0" applyNumberFormat="1" applyFont="1" applyBorder="1" applyAlignment="1">
      <alignment horizontal="center"/>
    </xf>
    <xf numFmtId="174" fontId="100" fillId="0" borderId="0" xfId="1" applyNumberFormat="1" applyFont="1" applyFill="1" applyBorder="1" applyAlignment="1">
      <alignment horizontal="center"/>
    </xf>
    <xf numFmtId="17" fontId="0" fillId="0" borderId="0" xfId="0" applyNumberFormat="1" applyAlignment="1">
      <alignment horizontal="center"/>
    </xf>
    <xf numFmtId="0" fontId="93" fillId="0" borderId="23" xfId="0" applyFont="1" applyBorder="1"/>
    <xf numFmtId="177" fontId="0" fillId="0" borderId="0" xfId="0" applyNumberFormat="1" applyAlignment="1">
      <alignment vertical="center"/>
    </xf>
    <xf numFmtId="2" fontId="100" fillId="0" borderId="17" xfId="0" applyNumberFormat="1" applyFont="1" applyBorder="1" applyAlignment="1">
      <alignment horizontal="center"/>
    </xf>
    <xf numFmtId="4" fontId="0" fillId="0" borderId="0" xfId="0" applyNumberFormat="1" applyAlignment="1">
      <alignment vertical="center"/>
    </xf>
    <xf numFmtId="165" fontId="0" fillId="0" borderId="2" xfId="0" applyNumberFormat="1" applyBorder="1"/>
    <xf numFmtId="3" fontId="0" fillId="0" borderId="23" xfId="0" applyNumberFormat="1" applyBorder="1"/>
    <xf numFmtId="169" fontId="0" fillId="0" borderId="23" xfId="0" applyNumberFormat="1" applyBorder="1"/>
    <xf numFmtId="165" fontId="0" fillId="0" borderId="41" xfId="0" applyNumberFormat="1" applyBorder="1"/>
    <xf numFmtId="168" fontId="93" fillId="0" borderId="2" xfId="0" applyNumberFormat="1" applyFont="1" applyBorder="1" applyAlignment="1">
      <alignment horizontal="center"/>
    </xf>
    <xf numFmtId="0" fontId="90" fillId="0" borderId="17" xfId="15" applyBorder="1"/>
    <xf numFmtId="0" fontId="94" fillId="0" borderId="17" xfId="15" applyFont="1" applyBorder="1"/>
    <xf numFmtId="0" fontId="102" fillId="0" borderId="0" xfId="0" applyFont="1"/>
    <xf numFmtId="4" fontId="0" fillId="0" borderId="24" xfId="0" applyNumberFormat="1" applyBorder="1" applyAlignment="1">
      <alignment horizontal="right"/>
    </xf>
    <xf numFmtId="174" fontId="55" fillId="12" borderId="0" xfId="0" applyNumberFormat="1" applyFont="1" applyFill="1"/>
    <xf numFmtId="173" fontId="0" fillId="0" borderId="0" xfId="1" applyNumberFormat="1" applyFont="1" applyBorder="1" applyAlignment="1">
      <alignment horizontal="center"/>
    </xf>
    <xf numFmtId="10" fontId="0" fillId="0" borderId="0" xfId="21" applyNumberFormat="1" applyFont="1"/>
    <xf numFmtId="0" fontId="88" fillId="0" borderId="0" xfId="0" applyFont="1"/>
    <xf numFmtId="165" fontId="0" fillId="12" borderId="0" xfId="0" applyNumberFormat="1" applyFill="1"/>
    <xf numFmtId="4" fontId="55" fillId="0" borderId="0" xfId="0" applyNumberFormat="1" applyFont="1" applyAlignment="1">
      <alignment horizontal="center" vertical="center"/>
    </xf>
    <xf numFmtId="0" fontId="57" fillId="0" borderId="17" xfId="0" applyFont="1" applyBorder="1" applyAlignment="1">
      <alignment horizontal="center"/>
    </xf>
    <xf numFmtId="0" fontId="90" fillId="0" borderId="17" xfId="15" applyBorder="1" applyAlignment="1">
      <alignment horizontal="center"/>
    </xf>
    <xf numFmtId="0" fontId="73" fillId="0" borderId="41" xfId="0" applyFont="1" applyBorder="1" applyAlignment="1">
      <alignment horizontal="center"/>
    </xf>
    <xf numFmtId="2" fontId="57" fillId="18" borderId="2" xfId="0" applyNumberFormat="1" applyFont="1" applyFill="1" applyBorder="1" applyAlignment="1">
      <alignment horizontal="center"/>
    </xf>
    <xf numFmtId="168" fontId="0" fillId="0" borderId="0" xfId="0" applyNumberFormat="1"/>
    <xf numFmtId="0" fontId="58" fillId="3" borderId="28" xfId="0" applyFont="1" applyFill="1" applyBorder="1"/>
    <xf numFmtId="0" fontId="57" fillId="0" borderId="16" xfId="0" applyFont="1" applyBorder="1"/>
    <xf numFmtId="0" fontId="57" fillId="0" borderId="22" xfId="0" applyFont="1" applyBorder="1"/>
    <xf numFmtId="0" fontId="57" fillId="0" borderId="14" xfId="0" applyFont="1" applyBorder="1" applyAlignment="1">
      <alignment horizontal="center"/>
    </xf>
    <xf numFmtId="0" fontId="57" fillId="0" borderId="14" xfId="0" applyFont="1" applyBorder="1"/>
    <xf numFmtId="0" fontId="0" fillId="0" borderId="44" xfId="0" applyBorder="1" applyAlignment="1">
      <alignment vertical="center"/>
    </xf>
    <xf numFmtId="0" fontId="57" fillId="0" borderId="62" xfId="0" applyFont="1" applyBorder="1" applyAlignment="1">
      <alignment horizontal="left" vertical="center"/>
    </xf>
    <xf numFmtId="2" fontId="98" fillId="2" borderId="2" xfId="0" applyNumberFormat="1" applyFont="1" applyFill="1" applyBorder="1" applyAlignment="1">
      <alignment horizontal="center"/>
    </xf>
    <xf numFmtId="2" fontId="102" fillId="0" borderId="0" xfId="0" applyNumberFormat="1" applyFont="1"/>
    <xf numFmtId="4" fontId="102" fillId="0" borderId="0" xfId="0" applyNumberFormat="1" applyFont="1" applyAlignment="1">
      <alignment horizontal="center"/>
    </xf>
    <xf numFmtId="2" fontId="103" fillId="19" borderId="0" xfId="14" applyNumberFormat="1" applyFont="1" applyFill="1"/>
    <xf numFmtId="10" fontId="103" fillId="19" borderId="0" xfId="21" applyNumberFormat="1" applyFont="1" applyFill="1"/>
    <xf numFmtId="0" fontId="104" fillId="19" borderId="0" xfId="0" applyFont="1" applyFill="1"/>
    <xf numFmtId="0" fontId="103" fillId="19" borderId="0" xfId="14" applyFont="1" applyFill="1"/>
    <xf numFmtId="180" fontId="0" fillId="0" borderId="0" xfId="21" applyNumberFormat="1" applyFont="1"/>
    <xf numFmtId="179" fontId="0" fillId="0" borderId="0" xfId="0" applyNumberFormat="1" applyAlignment="1">
      <alignment horizontal="center"/>
    </xf>
    <xf numFmtId="0" fontId="55" fillId="12" borderId="10" xfId="0" applyFont="1" applyFill="1" applyBorder="1" applyAlignment="1">
      <alignment vertical="center" wrapText="1"/>
    </xf>
    <xf numFmtId="0" fontId="55" fillId="12" borderId="11" xfId="0" applyFont="1" applyFill="1" applyBorder="1" applyAlignment="1">
      <alignment horizontal="center" vertical="center"/>
    </xf>
    <xf numFmtId="0" fontId="55" fillId="12" borderId="20" xfId="0" applyFont="1" applyFill="1" applyBorder="1" applyAlignment="1">
      <alignment vertical="center" wrapText="1"/>
    </xf>
    <xf numFmtId="0" fontId="55" fillId="12" borderId="17" xfId="0" applyFont="1" applyFill="1" applyBorder="1" applyAlignment="1">
      <alignment horizontal="center" vertical="center"/>
    </xf>
    <xf numFmtId="0" fontId="55" fillId="12" borderId="8" xfId="0" applyFont="1" applyFill="1" applyBorder="1" applyAlignment="1">
      <alignment vertical="center" wrapText="1"/>
    </xf>
    <xf numFmtId="0" fontId="55" fillId="12" borderId="9" xfId="0" applyFont="1" applyFill="1" applyBorder="1" applyAlignment="1">
      <alignment horizontal="center" vertical="center"/>
    </xf>
    <xf numFmtId="2" fontId="88" fillId="0" borderId="0" xfId="0" applyNumberFormat="1" applyFont="1" applyAlignment="1">
      <alignment wrapText="1"/>
    </xf>
    <xf numFmtId="2" fontId="88" fillId="0" borderId="0" xfId="0" applyNumberFormat="1" applyFont="1" applyAlignment="1">
      <alignment vertical="top"/>
    </xf>
    <xf numFmtId="168" fontId="105" fillId="0" borderId="0" xfId="0" applyNumberFormat="1" applyFont="1"/>
    <xf numFmtId="173" fontId="93" fillId="0" borderId="0" xfId="0" applyNumberFormat="1" applyFont="1"/>
    <xf numFmtId="0" fontId="106" fillId="0" borderId="0" xfId="0" applyFont="1"/>
    <xf numFmtId="0" fontId="89" fillId="0" borderId="0" xfId="0" applyFont="1"/>
    <xf numFmtId="0" fontId="58" fillId="3" borderId="16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center" wrapText="1"/>
    </xf>
    <xf numFmtId="0" fontId="55" fillId="0" borderId="4" xfId="0" applyFont="1" applyBorder="1" applyAlignment="1">
      <alignment vertical="center" wrapText="1"/>
    </xf>
    <xf numFmtId="0" fontId="55" fillId="0" borderId="63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104" fillId="15" borderId="0" xfId="0" applyFont="1" applyFill="1" applyAlignment="1">
      <alignment horizontal="center"/>
    </xf>
    <xf numFmtId="0" fontId="0" fillId="0" borderId="66" xfId="0" applyBorder="1"/>
    <xf numFmtId="0" fontId="58" fillId="3" borderId="16" xfId="0" applyFont="1" applyFill="1" applyBorder="1" applyAlignment="1">
      <alignment horizontal="center"/>
    </xf>
    <xf numFmtId="0" fontId="57" fillId="0" borderId="28" xfId="0" applyFont="1" applyBorder="1"/>
    <xf numFmtId="17" fontId="57" fillId="0" borderId="29" xfId="0" quotePrefix="1" applyNumberFormat="1" applyFont="1" applyBorder="1"/>
    <xf numFmtId="0" fontId="0" fillId="8" borderId="43" xfId="0" applyFill="1" applyBorder="1" applyAlignment="1">
      <alignment horizontal="center"/>
    </xf>
    <xf numFmtId="0" fontId="0" fillId="0" borderId="25" xfId="0" applyBorder="1"/>
    <xf numFmtId="0" fontId="0" fillId="0" borderId="6" xfId="0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0" fontId="57" fillId="0" borderId="29" xfId="0" applyFont="1" applyBorder="1" applyAlignment="1">
      <alignment horizontal="center"/>
    </xf>
    <xf numFmtId="2" fontId="57" fillId="2" borderId="29" xfId="0" applyNumberFormat="1" applyFont="1" applyFill="1" applyBorder="1" applyAlignment="1">
      <alignment horizontal="center"/>
    </xf>
    <xf numFmtId="2" fontId="57" fillId="2" borderId="43" xfId="0" applyNumberFormat="1" applyFont="1" applyFill="1" applyBorder="1" applyAlignment="1">
      <alignment horizontal="center"/>
    </xf>
    <xf numFmtId="0" fontId="0" fillId="0" borderId="49" xfId="0" applyBorder="1"/>
    <xf numFmtId="1" fontId="0" fillId="0" borderId="49" xfId="0" applyNumberFormat="1" applyBorder="1"/>
    <xf numFmtId="0" fontId="67" fillId="0" borderId="50" xfId="0" applyFont="1" applyBorder="1"/>
    <xf numFmtId="0" fontId="0" fillId="16" borderId="54" xfId="0" applyFill="1" applyBorder="1"/>
    <xf numFmtId="0" fontId="58" fillId="3" borderId="63" xfId="0" applyFont="1" applyFill="1" applyBorder="1"/>
    <xf numFmtId="0" fontId="67" fillId="6" borderId="67" xfId="0" applyFont="1" applyFill="1" applyBorder="1"/>
    <xf numFmtId="0" fontId="0" fillId="0" borderId="57" xfId="0" applyBorder="1" applyAlignment="1">
      <alignment horizontal="center"/>
    </xf>
    <xf numFmtId="173" fontId="0" fillId="0" borderId="57" xfId="1" applyNumberFormat="1" applyFont="1" applyFill="1" applyBorder="1" applyAlignment="1">
      <alignment horizontal="center"/>
    </xf>
    <xf numFmtId="173" fontId="0" fillId="0" borderId="54" xfId="1" applyNumberFormat="1" applyFont="1" applyFill="1" applyBorder="1" applyAlignment="1">
      <alignment horizontal="center"/>
    </xf>
    <xf numFmtId="173" fontId="0" fillId="6" borderId="68" xfId="1" applyNumberFormat="1" applyFont="1" applyFill="1" applyBorder="1" applyAlignment="1">
      <alignment horizontal="center"/>
    </xf>
    <xf numFmtId="173" fontId="0" fillId="6" borderId="69" xfId="1" applyNumberFormat="1" applyFont="1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173" fontId="0" fillId="6" borderId="54" xfId="1" applyNumberFormat="1" applyFont="1" applyFill="1" applyBorder="1" applyAlignment="1">
      <alignment horizontal="center"/>
    </xf>
    <xf numFmtId="173" fontId="0" fillId="6" borderId="57" xfId="1" applyNumberFormat="1" applyFont="1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56" fillId="0" borderId="0" xfId="0" applyFont="1" applyAlignment="1">
      <alignment horizontal="left"/>
    </xf>
    <xf numFmtId="2" fontId="55" fillId="0" borderId="6" xfId="0" applyNumberFormat="1" applyFont="1" applyBorder="1" applyAlignment="1">
      <alignment horizontal="center" vertical="center"/>
    </xf>
    <xf numFmtId="3" fontId="55" fillId="4" borderId="2" xfId="0" applyNumberFormat="1" applyFont="1" applyFill="1" applyBorder="1" applyAlignment="1">
      <alignment horizontal="center"/>
    </xf>
    <xf numFmtId="3" fontId="55" fillId="4" borderId="3" xfId="0" applyNumberFormat="1" applyFont="1" applyFill="1" applyBorder="1" applyAlignment="1">
      <alignment horizontal="center"/>
    </xf>
    <xf numFmtId="3" fontId="55" fillId="4" borderId="6" xfId="0" applyNumberFormat="1" applyFont="1" applyFill="1" applyBorder="1" applyAlignment="1">
      <alignment horizontal="center"/>
    </xf>
    <xf numFmtId="3" fontId="55" fillId="4" borderId="13" xfId="0" applyNumberFormat="1" applyFont="1" applyFill="1" applyBorder="1" applyAlignment="1">
      <alignment horizontal="center"/>
    </xf>
    <xf numFmtId="2" fontId="55" fillId="12" borderId="56" xfId="0" applyNumberFormat="1" applyFont="1" applyFill="1" applyBorder="1" applyAlignment="1">
      <alignment horizontal="center" vertical="center"/>
    </xf>
    <xf numFmtId="2" fontId="55" fillId="12" borderId="18" xfId="0" applyNumberFormat="1" applyFont="1" applyFill="1" applyBorder="1" applyAlignment="1">
      <alignment horizontal="center" vertical="center"/>
    </xf>
    <xf numFmtId="2" fontId="55" fillId="12" borderId="55" xfId="0" applyNumberFormat="1" applyFont="1" applyFill="1" applyBorder="1" applyAlignment="1">
      <alignment horizontal="center" vertical="center"/>
    </xf>
    <xf numFmtId="4" fontId="55" fillId="4" borderId="43" xfId="0" applyNumberFormat="1" applyFont="1" applyFill="1" applyBorder="1" applyAlignment="1">
      <alignment horizontal="center" vertical="center"/>
    </xf>
    <xf numFmtId="4" fontId="80" fillId="0" borderId="0" xfId="0" applyNumberFormat="1" applyFont="1" applyAlignment="1">
      <alignment horizontal="right"/>
    </xf>
    <xf numFmtId="165" fontId="0" fillId="0" borderId="0" xfId="1" applyFont="1" applyBorder="1"/>
    <xf numFmtId="1" fontId="55" fillId="0" borderId="0" xfId="0" applyNumberFormat="1" applyFont="1" applyAlignment="1">
      <alignment horizontal="center" vertical="center"/>
    </xf>
    <xf numFmtId="0" fontId="108" fillId="0" borderId="0" xfId="0" applyFont="1"/>
    <xf numFmtId="2" fontId="108" fillId="0" borderId="0" xfId="0" applyNumberFormat="1" applyFont="1"/>
    <xf numFmtId="165" fontId="0" fillId="0" borderId="0" xfId="1" applyFont="1"/>
    <xf numFmtId="165" fontId="0" fillId="0" borderId="0" xfId="1" applyFont="1" applyFill="1" applyBorder="1"/>
    <xf numFmtId="0" fontId="0" fillId="0" borderId="0" xfId="0" quotePrefix="1" applyAlignment="1">
      <alignment horizontal="center"/>
    </xf>
    <xf numFmtId="173" fontId="53" fillId="0" borderId="0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21" borderId="0" xfId="0" applyFill="1"/>
    <xf numFmtId="0" fontId="0" fillId="0" borderId="21" xfId="0" applyBorder="1"/>
    <xf numFmtId="0" fontId="69" fillId="0" borderId="2" xfId="0" applyFont="1" applyBorder="1" applyAlignment="1">
      <alignment horizontal="center"/>
    </xf>
    <xf numFmtId="0" fontId="66" fillId="0" borderId="24" xfId="0" applyFont="1" applyBorder="1"/>
    <xf numFmtId="0" fontId="69" fillId="0" borderId="2" xfId="0" applyFont="1" applyBorder="1" applyAlignment="1">
      <alignment vertical="center"/>
    </xf>
    <xf numFmtId="178" fontId="55" fillId="12" borderId="0" xfId="0" applyNumberFormat="1" applyFont="1" applyFill="1"/>
    <xf numFmtId="178" fontId="55" fillId="12" borderId="0" xfId="1" applyNumberFormat="1" applyFont="1" applyFill="1" applyBorder="1"/>
    <xf numFmtId="165" fontId="0" fillId="0" borderId="0" xfId="0" applyNumberFormat="1"/>
    <xf numFmtId="0" fontId="53" fillId="0" borderId="0" xfId="0" applyFont="1"/>
    <xf numFmtId="167" fontId="0" fillId="0" borderId="0" xfId="0" applyNumberFormat="1" applyAlignment="1">
      <alignment horizontal="center"/>
    </xf>
    <xf numFmtId="173" fontId="80" fillId="0" borderId="0" xfId="1" applyNumberFormat="1" applyFont="1" applyFill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51" fillId="0" borderId="17" xfId="15" applyFont="1" applyBorder="1"/>
    <xf numFmtId="181" fontId="108" fillId="0" borderId="0" xfId="0" applyNumberFormat="1" applyFont="1"/>
    <xf numFmtId="10" fontId="57" fillId="0" borderId="0" xfId="21" applyNumberFormat="1" applyFont="1" applyBorder="1"/>
    <xf numFmtId="10" fontId="108" fillId="0" borderId="0" xfId="0" applyNumberFormat="1" applyFont="1"/>
    <xf numFmtId="175" fontId="0" fillId="0" borderId="17" xfId="1" applyNumberFormat="1" applyFont="1" applyFill="1" applyBorder="1"/>
    <xf numFmtId="0" fontId="109" fillId="0" borderId="0" xfId="0" applyFont="1" applyAlignment="1">
      <alignment horizontal="center"/>
    </xf>
    <xf numFmtId="17" fontId="58" fillId="3" borderId="29" xfId="0" applyNumberFormat="1" applyFont="1" applyFill="1" applyBorder="1" applyAlignment="1">
      <alignment horizontal="center"/>
    </xf>
    <xf numFmtId="2" fontId="55" fillId="0" borderId="41" xfId="0" applyNumberFormat="1" applyFont="1" applyBorder="1" applyAlignment="1">
      <alignment horizontal="center" vertical="center"/>
    </xf>
    <xf numFmtId="17" fontId="58" fillId="3" borderId="11" xfId="0" applyNumberFormat="1" applyFont="1" applyFill="1" applyBorder="1" applyAlignment="1">
      <alignment horizontal="center" vertical="center"/>
    </xf>
    <xf numFmtId="0" fontId="0" fillId="0" borderId="59" xfId="0" applyBorder="1"/>
    <xf numFmtId="185" fontId="0" fillId="0" borderId="0" xfId="0" applyNumberFormat="1"/>
    <xf numFmtId="1" fontId="83" fillId="0" borderId="0" xfId="0" applyNumberFormat="1" applyFont="1"/>
    <xf numFmtId="182" fontId="0" fillId="0" borderId="0" xfId="0" applyNumberFormat="1"/>
    <xf numFmtId="182" fontId="57" fillId="0" borderId="0" xfId="0" applyNumberFormat="1" applyFont="1"/>
    <xf numFmtId="182" fontId="57" fillId="0" borderId="0" xfId="1" applyNumberFormat="1" applyFont="1"/>
    <xf numFmtId="186" fontId="57" fillId="0" borderId="0" xfId="0" applyNumberFormat="1" applyFont="1"/>
    <xf numFmtId="184" fontId="57" fillId="0" borderId="0" xfId="13" applyNumberFormat="1"/>
    <xf numFmtId="0" fontId="53" fillId="17" borderId="0" xfId="0" applyFont="1" applyFill="1"/>
    <xf numFmtId="0" fontId="57" fillId="17" borderId="0" xfId="0" applyFont="1" applyFill="1"/>
    <xf numFmtId="0" fontId="53" fillId="0" borderId="0" xfId="13" applyFont="1"/>
    <xf numFmtId="0" fontId="53" fillId="0" borderId="0" xfId="0" applyFont="1" applyAlignment="1">
      <alignment horizontal="left" indent="2"/>
    </xf>
    <xf numFmtId="0" fontId="53" fillId="0" borderId="0" xfId="0" applyFont="1" applyAlignment="1">
      <alignment horizontal="left" indent="1"/>
    </xf>
    <xf numFmtId="0" fontId="65" fillId="0" borderId="0" xfId="0" applyFont="1" applyAlignment="1">
      <alignment horizontal="left" indent="7"/>
    </xf>
    <xf numFmtId="0" fontId="53" fillId="0" borderId="0" xfId="0" applyFont="1" applyAlignment="1">
      <alignment horizontal="left" indent="7"/>
    </xf>
    <xf numFmtId="0" fontId="57" fillId="15" borderId="17" xfId="0" applyFont="1" applyFill="1" applyBorder="1" applyAlignment="1">
      <alignment horizontal="right"/>
    </xf>
    <xf numFmtId="175" fontId="0" fillId="0" borderId="0" xfId="0" applyNumberFormat="1"/>
    <xf numFmtId="187" fontId="0" fillId="0" borderId="0" xfId="0" applyNumberFormat="1"/>
    <xf numFmtId="167" fontId="0" fillId="0" borderId="0" xfId="0" applyNumberFormat="1"/>
    <xf numFmtId="168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 vertical="center"/>
    </xf>
    <xf numFmtId="184" fontId="0" fillId="0" borderId="0" xfId="0" applyNumberFormat="1"/>
    <xf numFmtId="182" fontId="93" fillId="0" borderId="0" xfId="0" applyNumberFormat="1" applyFont="1"/>
    <xf numFmtId="0" fontId="93" fillId="0" borderId="0" xfId="13" applyFont="1"/>
    <xf numFmtId="4" fontId="57" fillId="0" borderId="0" xfId="13" applyNumberFormat="1"/>
    <xf numFmtId="0" fontId="53" fillId="0" borderId="0" xfId="24"/>
    <xf numFmtId="0" fontId="53" fillId="0" borderId="0" xfId="24" applyAlignment="1">
      <alignment horizontal="left" indent="2"/>
    </xf>
    <xf numFmtId="2" fontId="0" fillId="11" borderId="17" xfId="0" applyNumberFormat="1" applyFill="1" applyBorder="1"/>
    <xf numFmtId="0" fontId="53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164" fontId="93" fillId="0" borderId="0" xfId="0" applyNumberFormat="1" applyFont="1" applyAlignment="1">
      <alignment horizontal="center"/>
    </xf>
    <xf numFmtId="186" fontId="90" fillId="0" borderId="0" xfId="14" applyNumberFormat="1"/>
    <xf numFmtId="186" fontId="92" fillId="0" borderId="0" xfId="14" applyNumberFormat="1" applyFont="1"/>
    <xf numFmtId="173" fontId="53" fillId="0" borderId="0" xfId="1" applyNumberFormat="1" applyFont="1" applyFill="1" applyBorder="1" applyAlignment="1"/>
    <xf numFmtId="0" fontId="113" fillId="0" borderId="0" xfId="0" applyFont="1"/>
    <xf numFmtId="0" fontId="53" fillId="0" borderId="41" xfId="0" applyFont="1" applyBorder="1" applyAlignment="1">
      <alignment horizontal="center"/>
    </xf>
    <xf numFmtId="0" fontId="67" fillId="6" borderId="44" xfId="0" applyFont="1" applyFill="1" applyBorder="1"/>
    <xf numFmtId="0" fontId="53" fillId="0" borderId="20" xfId="0" applyFont="1" applyBorder="1"/>
    <xf numFmtId="173" fontId="0" fillId="0" borderId="84" xfId="1" applyNumberFormat="1" applyFont="1" applyFill="1" applyBorder="1" applyAlignment="1">
      <alignment horizontal="center"/>
    </xf>
    <xf numFmtId="0" fontId="0" fillId="0" borderId="84" xfId="0" applyBorder="1" applyAlignment="1">
      <alignment horizontal="center"/>
    </xf>
    <xf numFmtId="0" fontId="53" fillId="0" borderId="1" xfId="0" applyFont="1" applyBorder="1"/>
    <xf numFmtId="0" fontId="53" fillId="0" borderId="23" xfId="0" applyFont="1" applyBorder="1"/>
    <xf numFmtId="0" fontId="53" fillId="0" borderId="7" xfId="0" applyFont="1" applyBorder="1" applyAlignment="1">
      <alignment horizontal="center"/>
    </xf>
    <xf numFmtId="0" fontId="53" fillId="0" borderId="0" xfId="0" quotePrefix="1" applyFont="1" applyAlignment="1">
      <alignment horizontal="center"/>
    </xf>
    <xf numFmtId="165" fontId="114" fillId="0" borderId="0" xfId="1" applyFont="1" applyFill="1" applyBorder="1"/>
    <xf numFmtId="173" fontId="70" fillId="0" borderId="84" xfId="1" applyNumberFormat="1" applyFont="1" applyFill="1" applyBorder="1" applyAlignment="1">
      <alignment horizontal="center"/>
    </xf>
    <xf numFmtId="0" fontId="111" fillId="0" borderId="1" xfId="0" applyFont="1" applyBorder="1"/>
    <xf numFmtId="2" fontId="90" fillId="0" borderId="17" xfId="14" applyNumberFormat="1" applyBorder="1"/>
    <xf numFmtId="0" fontId="53" fillId="0" borderId="2" xfId="0" applyFont="1" applyBorder="1"/>
    <xf numFmtId="0" fontId="53" fillId="0" borderId="41" xfId="0" applyFont="1" applyBorder="1"/>
    <xf numFmtId="0" fontId="53" fillId="0" borderId="3" xfId="0" applyFont="1" applyBorder="1"/>
    <xf numFmtId="0" fontId="53" fillId="0" borderId="3" xfId="0" applyFont="1" applyBorder="1" applyAlignment="1">
      <alignment horizontal="center"/>
    </xf>
    <xf numFmtId="182" fontId="53" fillId="0" borderId="2" xfId="0" applyNumberFormat="1" applyFont="1" applyBorder="1" applyAlignment="1">
      <alignment horizontal="center"/>
    </xf>
    <xf numFmtId="182" fontId="53" fillId="0" borderId="41" xfId="0" applyNumberFormat="1" applyFont="1" applyBorder="1" applyAlignment="1">
      <alignment horizontal="center"/>
    </xf>
    <xf numFmtId="182" fontId="53" fillId="0" borderId="3" xfId="0" applyNumberFormat="1" applyFont="1" applyBorder="1" applyAlignment="1">
      <alignment horizontal="center"/>
    </xf>
    <xf numFmtId="2" fontId="73" fillId="0" borderId="41" xfId="0" applyNumberFormat="1" applyFont="1" applyBorder="1" applyAlignment="1">
      <alignment horizontal="center"/>
    </xf>
    <xf numFmtId="0" fontId="53" fillId="0" borderId="17" xfId="0" applyFont="1" applyBorder="1"/>
    <xf numFmtId="0" fontId="53" fillId="0" borderId="59" xfId="0" applyFont="1" applyBorder="1"/>
    <xf numFmtId="0" fontId="53" fillId="0" borderId="18" xfId="0" applyFont="1" applyBorder="1"/>
    <xf numFmtId="166" fontId="53" fillId="0" borderId="2" xfId="0" applyNumberFormat="1" applyFont="1" applyBorder="1"/>
    <xf numFmtId="0" fontId="53" fillId="0" borderId="42" xfId="0" applyFont="1" applyBorder="1" applyAlignment="1">
      <alignment horizontal="center"/>
    </xf>
    <xf numFmtId="0" fontId="53" fillId="0" borderId="24" xfId="0" applyFont="1" applyBorder="1" applyAlignment="1">
      <alignment horizontal="center"/>
    </xf>
    <xf numFmtId="171" fontId="57" fillId="0" borderId="0" xfId="13" applyNumberFormat="1"/>
    <xf numFmtId="171" fontId="57" fillId="0" borderId="0" xfId="1" applyNumberFormat="1" applyFont="1" applyFill="1"/>
    <xf numFmtId="0" fontId="53" fillId="0" borderId="41" xfId="24" applyBorder="1" applyAlignment="1">
      <alignment horizontal="center"/>
    </xf>
    <xf numFmtId="171" fontId="53" fillId="0" borderId="41" xfId="24" applyNumberFormat="1" applyBorder="1" applyAlignment="1">
      <alignment horizontal="center"/>
    </xf>
    <xf numFmtId="0" fontId="53" fillId="0" borderId="41" xfId="24" applyBorder="1"/>
    <xf numFmtId="0" fontId="73" fillId="0" borderId="41" xfId="24" applyFont="1" applyBorder="1" applyAlignment="1">
      <alignment horizontal="center"/>
    </xf>
    <xf numFmtId="0" fontId="53" fillId="0" borderId="41" xfId="24" applyBorder="1" applyAlignment="1">
      <alignment horizontal="center" vertical="center"/>
    </xf>
    <xf numFmtId="188" fontId="0" fillId="0" borderId="0" xfId="1" applyNumberFormat="1" applyFont="1" applyBorder="1"/>
    <xf numFmtId="189" fontId="0" fillId="0" borderId="0" xfId="1" applyNumberFormat="1" applyFont="1" applyBorder="1"/>
    <xf numFmtId="1" fontId="57" fillId="0" borderId="0" xfId="13" applyNumberFormat="1"/>
    <xf numFmtId="173" fontId="0" fillId="11" borderId="0" xfId="1" applyNumberFormat="1" applyFont="1" applyFill="1" applyBorder="1" applyAlignment="1">
      <alignment horizontal="center"/>
    </xf>
    <xf numFmtId="174" fontId="0" fillId="11" borderId="0" xfId="1" applyNumberFormat="1" applyFont="1" applyFill="1" applyBorder="1" applyAlignment="1">
      <alignment horizontal="center"/>
    </xf>
    <xf numFmtId="0" fontId="0" fillId="12" borderId="28" xfId="0" applyFill="1" applyBorder="1"/>
    <xf numFmtId="0" fontId="67" fillId="12" borderId="29" xfId="0" applyFont="1" applyFill="1" applyBorder="1" applyAlignment="1">
      <alignment horizontal="center"/>
    </xf>
    <xf numFmtId="175" fontId="0" fillId="12" borderId="29" xfId="1" applyNumberFormat="1" applyFont="1" applyFill="1" applyBorder="1" applyAlignment="1">
      <alignment horizontal="center"/>
    </xf>
    <xf numFmtId="175" fontId="0" fillId="12" borderId="43" xfId="1" applyNumberFormat="1" applyFont="1" applyFill="1" applyBorder="1" applyAlignment="1">
      <alignment horizontal="center"/>
    </xf>
    <xf numFmtId="173" fontId="0" fillId="11" borderId="0" xfId="4" applyNumberFormat="1" applyFont="1" applyFill="1" applyBorder="1" applyAlignment="1">
      <alignment horizontal="center"/>
    </xf>
    <xf numFmtId="0" fontId="0" fillId="12" borderId="17" xfId="0" applyFill="1" applyBorder="1"/>
    <xf numFmtId="0" fontId="67" fillId="12" borderId="17" xfId="0" applyFont="1" applyFill="1" applyBorder="1" applyAlignment="1">
      <alignment horizontal="center"/>
    </xf>
    <xf numFmtId="168" fontId="0" fillId="12" borderId="17" xfId="0" applyNumberFormat="1" applyFill="1" applyBorder="1"/>
    <xf numFmtId="0" fontId="93" fillId="0" borderId="0" xfId="0" applyFont="1" applyAlignment="1">
      <alignment vertical="center" wrapText="1"/>
    </xf>
    <xf numFmtId="0" fontId="67" fillId="0" borderId="24" xfId="0" applyFont="1" applyBorder="1" applyAlignment="1">
      <alignment horizontal="center"/>
    </xf>
    <xf numFmtId="0" fontId="0" fillId="0" borderId="24" xfId="0" applyBorder="1"/>
    <xf numFmtId="0" fontId="68" fillId="0" borderId="2" xfId="0" applyFont="1" applyBorder="1" applyAlignment="1">
      <alignment horizontal="center"/>
    </xf>
    <xf numFmtId="0" fontId="53" fillId="0" borderId="17" xfId="0" applyFont="1" applyBorder="1" applyAlignment="1">
      <alignment horizontal="center"/>
    </xf>
    <xf numFmtId="0" fontId="57" fillId="21" borderId="17" xfId="0" applyFont="1" applyFill="1" applyBorder="1" applyAlignment="1">
      <alignment horizontal="center"/>
    </xf>
    <xf numFmtId="0" fontId="67" fillId="0" borderId="42" xfId="0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55" fillId="0" borderId="17" xfId="0" applyFont="1" applyBorder="1" applyAlignment="1">
      <alignment horizontal="center"/>
    </xf>
    <xf numFmtId="0" fontId="53" fillId="11" borderId="2" xfId="0" applyFont="1" applyFill="1" applyBorder="1" applyAlignment="1">
      <alignment horizontal="center"/>
    </xf>
    <xf numFmtId="0" fontId="53" fillId="11" borderId="41" xfId="0" applyFont="1" applyFill="1" applyBorder="1" applyAlignment="1">
      <alignment horizontal="center"/>
    </xf>
    <xf numFmtId="0" fontId="53" fillId="11" borderId="3" xfId="0" applyFont="1" applyFill="1" applyBorder="1" applyAlignment="1">
      <alignment horizontal="center"/>
    </xf>
    <xf numFmtId="0" fontId="53" fillId="11" borderId="2" xfId="0" applyFont="1" applyFill="1" applyBorder="1"/>
    <xf numFmtId="0" fontId="53" fillId="11" borderId="41" xfId="0" applyFont="1" applyFill="1" applyBorder="1"/>
    <xf numFmtId="0" fontId="53" fillId="11" borderId="3" xfId="0" applyFont="1" applyFill="1" applyBorder="1"/>
    <xf numFmtId="168" fontId="53" fillId="11" borderId="2" xfId="0" applyNumberFormat="1" applyFont="1" applyFill="1" applyBorder="1" applyAlignment="1">
      <alignment horizontal="center"/>
    </xf>
    <xf numFmtId="171" fontId="53" fillId="11" borderId="2" xfId="0" applyNumberFormat="1" applyFont="1" applyFill="1" applyBorder="1" applyAlignment="1">
      <alignment horizontal="center"/>
    </xf>
    <xf numFmtId="165" fontId="53" fillId="11" borderId="2" xfId="1" applyFont="1" applyFill="1" applyBorder="1" applyAlignment="1">
      <alignment horizontal="center"/>
    </xf>
    <xf numFmtId="173" fontId="53" fillId="11" borderId="2" xfId="1" applyNumberFormat="1" applyFont="1" applyFill="1" applyBorder="1"/>
    <xf numFmtId="178" fontId="53" fillId="11" borderId="2" xfId="1" applyNumberFormat="1" applyFont="1" applyFill="1" applyBorder="1"/>
    <xf numFmtId="0" fontId="111" fillId="11" borderId="2" xfId="24" applyFont="1" applyFill="1" applyBorder="1" applyAlignment="1">
      <alignment horizontal="center"/>
    </xf>
    <xf numFmtId="0" fontId="55" fillId="0" borderId="35" xfId="0" applyFont="1" applyBorder="1"/>
    <xf numFmtId="0" fontId="55" fillId="0" borderId="25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/>
    </xf>
    <xf numFmtId="0" fontId="55" fillId="0" borderId="33" xfId="0" applyFont="1" applyBorder="1"/>
    <xf numFmtId="0" fontId="55" fillId="0" borderId="27" xfId="0" applyFont="1" applyBorder="1" applyAlignment="1">
      <alignment horizontal="center" vertical="center"/>
    </xf>
    <xf numFmtId="0" fontId="55" fillId="0" borderId="36" xfId="0" applyFont="1" applyBorder="1"/>
    <xf numFmtId="0" fontId="55" fillId="0" borderId="37" xfId="0" applyFont="1" applyBorder="1" applyAlignment="1">
      <alignment horizontal="center" vertical="center"/>
    </xf>
    <xf numFmtId="0" fontId="55" fillId="0" borderId="38" xfId="0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190" fontId="0" fillId="0" borderId="0" xfId="0" applyNumberFormat="1"/>
    <xf numFmtId="165" fontId="53" fillId="11" borderId="2" xfId="1" applyFont="1" applyFill="1" applyBorder="1"/>
    <xf numFmtId="0" fontId="0" fillId="12" borderId="16" xfId="0" applyFill="1" applyBorder="1"/>
    <xf numFmtId="0" fontId="0" fillId="12" borderId="22" xfId="0" applyFill="1" applyBorder="1" applyAlignment="1">
      <alignment horizontal="center"/>
    </xf>
    <xf numFmtId="0" fontId="67" fillId="12" borderId="4" xfId="0" applyFont="1" applyFill="1" applyBorder="1"/>
    <xf numFmtId="0" fontId="67" fillId="12" borderId="5" xfId="0" applyFont="1" applyFill="1" applyBorder="1" applyAlignment="1">
      <alignment horizontal="center"/>
    </xf>
    <xf numFmtId="2" fontId="67" fillId="12" borderId="6" xfId="0" applyNumberFormat="1" applyFont="1" applyFill="1" applyBorder="1" applyAlignment="1">
      <alignment horizontal="center"/>
    </xf>
    <xf numFmtId="2" fontId="67" fillId="12" borderId="13" xfId="0" applyNumberFormat="1" applyFont="1" applyFill="1" applyBorder="1" applyAlignment="1">
      <alignment horizontal="center"/>
    </xf>
    <xf numFmtId="0" fontId="111" fillId="0" borderId="3" xfId="0" applyFont="1" applyBorder="1"/>
    <xf numFmtId="0" fontId="111" fillId="0" borderId="17" xfId="0" applyFont="1" applyBorder="1"/>
    <xf numFmtId="0" fontId="111" fillId="11" borderId="2" xfId="0" applyFont="1" applyFill="1" applyBorder="1" applyAlignment="1">
      <alignment horizontal="center"/>
    </xf>
    <xf numFmtId="0" fontId="111" fillId="0" borderId="7" xfId="0" applyFont="1" applyBorder="1" applyAlignment="1">
      <alignment horizontal="center"/>
    </xf>
    <xf numFmtId="165" fontId="57" fillId="11" borderId="2" xfId="4" applyFont="1" applyFill="1" applyBorder="1"/>
    <xf numFmtId="172" fontId="53" fillId="11" borderId="2" xfId="24" applyNumberFormat="1" applyFill="1" applyBorder="1" applyAlignment="1">
      <alignment horizontal="center"/>
    </xf>
    <xf numFmtId="10" fontId="53" fillId="11" borderId="2" xfId="21" applyNumberFormat="1" applyFont="1" applyFill="1" applyBorder="1" applyAlignment="1">
      <alignment horizontal="center"/>
    </xf>
    <xf numFmtId="165" fontId="82" fillId="0" borderId="23" xfId="11" applyFont="1" applyFill="1" applyBorder="1"/>
    <xf numFmtId="165" fontId="82" fillId="0" borderId="24" xfId="11" applyFont="1" applyFill="1" applyBorder="1"/>
    <xf numFmtId="165" fontId="117" fillId="11" borderId="2" xfId="11" applyFont="1" applyFill="1" applyBorder="1" applyAlignment="1"/>
    <xf numFmtId="165" fontId="117" fillId="11" borderId="3" xfId="11" applyFont="1" applyFill="1" applyBorder="1" applyAlignment="1"/>
    <xf numFmtId="14" fontId="100" fillId="0" borderId="0" xfId="0" applyNumberFormat="1" applyFont="1"/>
    <xf numFmtId="4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57" fillId="0" borderId="0" xfId="0" applyNumberFormat="1" applyFont="1"/>
    <xf numFmtId="43" fontId="57" fillId="0" borderId="0" xfId="0" applyNumberFormat="1" applyFont="1"/>
    <xf numFmtId="173" fontId="0" fillId="0" borderId="0" xfId="1" applyNumberFormat="1" applyFont="1" applyFill="1"/>
    <xf numFmtId="0" fontId="67" fillId="12" borderId="17" xfId="0" applyFont="1" applyFill="1" applyBorder="1"/>
    <xf numFmtId="165" fontId="0" fillId="12" borderId="21" xfId="1" applyFont="1" applyFill="1" applyBorder="1" applyAlignment="1">
      <alignment horizontal="center"/>
    </xf>
    <xf numFmtId="165" fontId="0" fillId="12" borderId="17" xfId="1" applyFont="1" applyFill="1" applyBorder="1" applyAlignment="1">
      <alignment horizontal="center"/>
    </xf>
    <xf numFmtId="165" fontId="70" fillId="12" borderId="17" xfId="1" applyFont="1" applyFill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0" fillId="22" borderId="2" xfId="0" applyFill="1" applyBorder="1" applyAlignment="1">
      <alignment horizontal="right"/>
    </xf>
    <xf numFmtId="0" fontId="0" fillId="22" borderId="24" xfId="0" applyFill="1" applyBorder="1" applyAlignment="1">
      <alignment horizontal="right"/>
    </xf>
    <xf numFmtId="4" fontId="0" fillId="22" borderId="42" xfId="0" applyNumberFormat="1" applyFill="1" applyBorder="1" applyAlignment="1">
      <alignment horizontal="right"/>
    </xf>
    <xf numFmtId="0" fontId="0" fillId="22" borderId="24" xfId="0" applyFill="1" applyBorder="1" applyAlignment="1">
      <alignment horizontal="center"/>
    </xf>
    <xf numFmtId="4" fontId="0" fillId="22" borderId="24" xfId="0" applyNumberFormat="1" applyFill="1" applyBorder="1" applyAlignment="1">
      <alignment horizontal="right"/>
    </xf>
    <xf numFmtId="0" fontId="0" fillId="22" borderId="2" xfId="0" applyFill="1" applyBorder="1"/>
    <xf numFmtId="0" fontId="0" fillId="22" borderId="42" xfId="0" applyFill="1" applyBorder="1"/>
    <xf numFmtId="0" fontId="57" fillId="11" borderId="2" xfId="0" applyFont="1" applyFill="1" applyBorder="1" applyAlignment="1">
      <alignment horizontal="center" vertical="center"/>
    </xf>
    <xf numFmtId="0" fontId="57" fillId="11" borderId="6" xfId="0" applyFont="1" applyFill="1" applyBorder="1" applyAlignment="1">
      <alignment horizontal="center" vertical="center"/>
    </xf>
    <xf numFmtId="1" fontId="0" fillId="12" borderId="2" xfId="0" applyNumberFormat="1" applyFill="1" applyBorder="1" applyAlignment="1">
      <alignment horizontal="center"/>
    </xf>
    <xf numFmtId="1" fontId="0" fillId="12" borderId="6" xfId="0" applyNumberFormat="1" applyFill="1" applyBorder="1" applyAlignment="1">
      <alignment horizontal="center"/>
    </xf>
    <xf numFmtId="0" fontId="0" fillId="0" borderId="52" xfId="0" applyBorder="1"/>
    <xf numFmtId="0" fontId="55" fillId="0" borderId="53" xfId="0" applyFont="1" applyBorder="1" applyAlignment="1">
      <alignment horizontal="center"/>
    </xf>
    <xf numFmtId="0" fontId="49" fillId="0" borderId="0" xfId="14" applyFont="1" applyAlignment="1">
      <alignment wrapText="1"/>
    </xf>
    <xf numFmtId="0" fontId="118" fillId="0" borderId="0" xfId="0" applyFont="1"/>
    <xf numFmtId="173" fontId="53" fillId="0" borderId="0" xfId="0" applyNumberFormat="1" applyFont="1"/>
    <xf numFmtId="173" fontId="93" fillId="0" borderId="0" xfId="1" applyNumberFormat="1" applyFont="1" applyFill="1" applyBorder="1" applyAlignment="1"/>
    <xf numFmtId="0" fontId="53" fillId="0" borderId="0" xfId="0" applyFont="1" applyAlignment="1">
      <alignment vertical="center"/>
    </xf>
    <xf numFmtId="0" fontId="107" fillId="0" borderId="0" xfId="0" quotePrefix="1" applyFont="1"/>
    <xf numFmtId="0" fontId="0" fillId="0" borderId="17" xfId="0" applyBorder="1" applyAlignment="1">
      <alignment vertical="center"/>
    </xf>
    <xf numFmtId="0" fontId="0" fillId="11" borderId="17" xfId="0" applyFill="1" applyBorder="1" applyAlignment="1">
      <alignment vertical="center"/>
    </xf>
    <xf numFmtId="2" fontId="0" fillId="0" borderId="17" xfId="0" applyNumberFormat="1" applyBorder="1" applyAlignment="1">
      <alignment vertical="center"/>
    </xf>
    <xf numFmtId="0" fontId="53" fillId="0" borderId="17" xfId="0" applyFont="1" applyBorder="1" applyAlignment="1">
      <alignment vertical="center"/>
    </xf>
    <xf numFmtId="0" fontId="0" fillId="0" borderId="52" xfId="0" applyBorder="1" applyAlignment="1">
      <alignment vertical="center"/>
    </xf>
    <xf numFmtId="0" fontId="57" fillId="0" borderId="52" xfId="0" applyFont="1" applyBorder="1" applyAlignment="1">
      <alignment vertical="center"/>
    </xf>
    <xf numFmtId="0" fontId="53" fillId="0" borderId="52" xfId="0" applyFont="1" applyBorder="1" applyAlignment="1">
      <alignment vertical="center"/>
    </xf>
    <xf numFmtId="0" fontId="53" fillId="0" borderId="66" xfId="0" applyFont="1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0" fillId="0" borderId="66" xfId="0" applyBorder="1" applyAlignment="1">
      <alignment vertical="center"/>
    </xf>
    <xf numFmtId="2" fontId="92" fillId="0" borderId="17" xfId="15" applyNumberFormat="1" applyFont="1" applyBorder="1"/>
    <xf numFmtId="2" fontId="90" fillId="0" borderId="17" xfId="14" applyNumberFormat="1" applyBorder="1" applyAlignment="1">
      <alignment horizontal="right"/>
    </xf>
    <xf numFmtId="2" fontId="92" fillId="0" borderId="17" xfId="14" applyNumberFormat="1" applyFont="1" applyBorder="1" applyAlignment="1">
      <alignment horizontal="right"/>
    </xf>
    <xf numFmtId="0" fontId="48" fillId="15" borderId="17" xfId="14" applyFont="1" applyFill="1" applyBorder="1"/>
    <xf numFmtId="169" fontId="57" fillId="0" borderId="0" xfId="0" applyNumberFormat="1" applyFont="1"/>
    <xf numFmtId="2" fontId="57" fillId="0" borderId="0" xfId="0" applyNumberFormat="1" applyFont="1"/>
    <xf numFmtId="0" fontId="52" fillId="15" borderId="17" xfId="14" applyFont="1" applyFill="1" applyBorder="1"/>
    <xf numFmtId="0" fontId="57" fillId="0" borderId="65" xfId="0" applyFont="1" applyBorder="1" applyAlignment="1">
      <alignment horizontal="center"/>
    </xf>
    <xf numFmtId="0" fontId="57" fillId="0" borderId="65" xfId="0" applyFont="1" applyBorder="1"/>
    <xf numFmtId="2" fontId="0" fillId="0" borderId="17" xfId="0" applyNumberFormat="1" applyBorder="1"/>
    <xf numFmtId="169" fontId="0" fillId="0" borderId="0" xfId="0" applyNumberFormat="1"/>
    <xf numFmtId="0" fontId="0" fillId="23" borderId="54" xfId="0" applyFill="1" applyBorder="1"/>
    <xf numFmtId="0" fontId="85" fillId="23" borderId="57" xfId="0" applyFont="1" applyFill="1" applyBorder="1"/>
    <xf numFmtId="0" fontId="84" fillId="23" borderId="57" xfId="0" applyFont="1" applyFill="1" applyBorder="1"/>
    <xf numFmtId="0" fontId="0" fillId="23" borderId="58" xfId="0" applyFill="1" applyBorder="1"/>
    <xf numFmtId="0" fontId="0" fillId="23" borderId="41" xfId="0" applyFill="1" applyBorder="1"/>
    <xf numFmtId="0" fontId="0" fillId="23" borderId="0" xfId="0" applyFill="1"/>
    <xf numFmtId="0" fontId="84" fillId="23" borderId="0" xfId="0" applyFont="1" applyFill="1"/>
    <xf numFmtId="0" fontId="0" fillId="23" borderId="7" xfId="0" applyFill="1" applyBorder="1"/>
    <xf numFmtId="17" fontId="67" fillId="23" borderId="17" xfId="0" applyNumberFormat="1" applyFont="1" applyFill="1" applyBorder="1" applyAlignment="1">
      <alignment horizontal="center"/>
    </xf>
    <xf numFmtId="0" fontId="67" fillId="23" borderId="17" xfId="0" applyFont="1" applyFill="1" applyBorder="1" applyAlignment="1">
      <alignment horizontal="center"/>
    </xf>
    <xf numFmtId="1" fontId="0" fillId="23" borderId="17" xfId="0" applyNumberFormat="1" applyFill="1" applyBorder="1"/>
    <xf numFmtId="1" fontId="69" fillId="23" borderId="17" xfId="0" applyNumberFormat="1" applyFont="1" applyFill="1" applyBorder="1"/>
    <xf numFmtId="0" fontId="69" fillId="23" borderId="17" xfId="0" applyFont="1" applyFill="1" applyBorder="1"/>
    <xf numFmtId="169" fontId="0" fillId="23" borderId="17" xfId="0" applyNumberFormat="1" applyFill="1" applyBorder="1"/>
    <xf numFmtId="0" fontId="0" fillId="23" borderId="21" xfId="0" applyFill="1" applyBorder="1"/>
    <xf numFmtId="0" fontId="0" fillId="23" borderId="17" xfId="0" applyFill="1" applyBorder="1"/>
    <xf numFmtId="169" fontId="67" fillId="23" borderId="2" xfId="0" applyNumberFormat="1" applyFont="1" applyFill="1" applyBorder="1"/>
    <xf numFmtId="17" fontId="67" fillId="16" borderId="17" xfId="0" applyNumberFormat="1" applyFont="1" applyFill="1" applyBorder="1" applyAlignment="1">
      <alignment horizontal="center"/>
    </xf>
    <xf numFmtId="2" fontId="0" fillId="12" borderId="28" xfId="0" applyNumberFormat="1" applyFill="1" applyBorder="1"/>
    <xf numFmtId="0" fontId="0" fillId="12" borderId="29" xfId="0" applyFill="1" applyBorder="1"/>
    <xf numFmtId="165" fontId="86" fillId="12" borderId="29" xfId="1" applyFont="1" applyFill="1" applyBorder="1"/>
    <xf numFmtId="169" fontId="67" fillId="0" borderId="41" xfId="0" applyNumberFormat="1" applyFont="1" applyBorder="1"/>
    <xf numFmtId="0" fontId="119" fillId="0" borderId="0" xfId="0" applyFont="1"/>
    <xf numFmtId="0" fontId="0" fillId="11" borderId="1" xfId="0" applyFill="1" applyBorder="1" applyAlignment="1">
      <alignment vertical="center"/>
    </xf>
    <xf numFmtId="0" fontId="0" fillId="11" borderId="16" xfId="0" applyFill="1" applyBorder="1" applyAlignment="1">
      <alignment vertical="center"/>
    </xf>
    <xf numFmtId="0" fontId="0" fillId="11" borderId="63" xfId="0" applyFill="1" applyBorder="1" applyAlignment="1">
      <alignment vertical="center"/>
    </xf>
    <xf numFmtId="0" fontId="0" fillId="11" borderId="23" xfId="0" applyFill="1" applyBorder="1" applyAlignment="1">
      <alignment vertical="center"/>
    </xf>
    <xf numFmtId="0" fontId="53" fillId="11" borderId="2" xfId="0" applyFont="1" applyFill="1" applyBorder="1" applyAlignment="1">
      <alignment horizontal="center" vertical="center" wrapText="1"/>
    </xf>
    <xf numFmtId="0" fontId="0" fillId="11" borderId="47" xfId="0" applyFill="1" applyBorder="1" applyAlignment="1">
      <alignment vertical="center"/>
    </xf>
    <xf numFmtId="0" fontId="53" fillId="0" borderId="0" xfId="0" applyFont="1" applyAlignment="1">
      <alignment horizontal="left" vertical="center"/>
    </xf>
    <xf numFmtId="179" fontId="53" fillId="0" borderId="0" xfId="0" applyNumberFormat="1" applyFont="1" applyAlignment="1">
      <alignment vertical="center"/>
    </xf>
    <xf numFmtId="0" fontId="100" fillId="0" borderId="0" xfId="0" applyFont="1" applyAlignment="1">
      <alignment vertical="center"/>
    </xf>
    <xf numFmtId="0" fontId="111" fillId="0" borderId="41" xfId="0" applyFont="1" applyBorder="1"/>
    <xf numFmtId="0" fontId="67" fillId="0" borderId="29" xfId="0" applyFont="1" applyBorder="1" applyAlignment="1">
      <alignment horizontal="center"/>
    </xf>
    <xf numFmtId="174" fontId="0" fillId="0" borderId="29" xfId="1" applyNumberFormat="1" applyFont="1" applyFill="1" applyBorder="1" applyAlignment="1">
      <alignment horizontal="center"/>
    </xf>
    <xf numFmtId="174" fontId="0" fillId="0" borderId="43" xfId="1" applyNumberFormat="1" applyFont="1" applyFill="1" applyBorder="1" applyAlignment="1">
      <alignment horizontal="center"/>
    </xf>
    <xf numFmtId="182" fontId="53" fillId="0" borderId="0" xfId="0" applyNumberFormat="1" applyFont="1"/>
    <xf numFmtId="173" fontId="93" fillId="0" borderId="0" xfId="1" applyNumberFormat="1" applyFont="1" applyFill="1" applyBorder="1" applyAlignment="1">
      <alignment horizontal="center"/>
    </xf>
    <xf numFmtId="43" fontId="53" fillId="11" borderId="2" xfId="0" applyNumberFormat="1" applyFont="1" applyFill="1" applyBorder="1" applyAlignment="1">
      <alignment horizontal="center"/>
    </xf>
    <xf numFmtId="2" fontId="53" fillId="0" borderId="2" xfId="0" applyNumberFormat="1" applyFont="1" applyBorder="1"/>
    <xf numFmtId="2" fontId="53" fillId="0" borderId="41" xfId="0" applyNumberFormat="1" applyFont="1" applyBorder="1"/>
    <xf numFmtId="2" fontId="53" fillId="0" borderId="3" xfId="0" applyNumberFormat="1" applyFont="1" applyBorder="1"/>
    <xf numFmtId="4" fontId="111" fillId="0" borderId="24" xfId="0" applyNumberFormat="1" applyFont="1" applyBorder="1" applyAlignment="1">
      <alignment horizontal="right"/>
    </xf>
    <xf numFmtId="0" fontId="98" fillId="0" borderId="0" xfId="0" applyFont="1"/>
    <xf numFmtId="2" fontId="98" fillId="0" borderId="0" xfId="0" applyNumberFormat="1" applyFont="1"/>
    <xf numFmtId="41" fontId="0" fillId="0" borderId="52" xfId="0" applyNumberFormat="1" applyBorder="1"/>
    <xf numFmtId="0" fontId="53" fillId="12" borderId="28" xfId="0" applyFont="1" applyFill="1" applyBorder="1"/>
    <xf numFmtId="0" fontId="57" fillId="12" borderId="51" xfId="0" applyFont="1" applyFill="1" applyBorder="1"/>
    <xf numFmtId="0" fontId="57" fillId="12" borderId="29" xfId="0" applyFont="1" applyFill="1" applyBorder="1" applyAlignment="1">
      <alignment horizontal="center"/>
    </xf>
    <xf numFmtId="0" fontId="57" fillId="12" borderId="7" xfId="0" applyFont="1" applyFill="1" applyBorder="1"/>
    <xf numFmtId="0" fontId="57" fillId="12" borderId="2" xfId="0" applyFont="1" applyFill="1" applyBorder="1"/>
    <xf numFmtId="0" fontId="57" fillId="12" borderId="28" xfId="0" applyFont="1" applyFill="1" applyBorder="1"/>
    <xf numFmtId="0" fontId="53" fillId="12" borderId="4" xfId="0" applyFont="1" applyFill="1" applyBorder="1"/>
    <xf numFmtId="0" fontId="57" fillId="12" borderId="5" xfId="0" applyFont="1" applyFill="1" applyBorder="1"/>
    <xf numFmtId="0" fontId="57" fillId="12" borderId="61" xfId="0" applyFont="1" applyFill="1" applyBorder="1" applyAlignment="1">
      <alignment horizontal="center"/>
    </xf>
    <xf numFmtId="0" fontId="57" fillId="12" borderId="40" xfId="0" applyFont="1" applyFill="1" applyBorder="1"/>
    <xf numFmtId="0" fontId="91" fillId="12" borderId="46" xfId="0" applyFont="1" applyFill="1" applyBorder="1"/>
    <xf numFmtId="0" fontId="57" fillId="12" borderId="80" xfId="0" applyFont="1" applyFill="1" applyBorder="1" applyAlignment="1">
      <alignment horizontal="center"/>
    </xf>
    <xf numFmtId="0" fontId="50" fillId="12" borderId="46" xfId="14" applyFont="1" applyFill="1" applyBorder="1"/>
    <xf numFmtId="0" fontId="90" fillId="12" borderId="40" xfId="14" applyFill="1" applyBorder="1"/>
    <xf numFmtId="0" fontId="90" fillId="12" borderId="80" xfId="14" applyFill="1" applyBorder="1"/>
    <xf numFmtId="0" fontId="90" fillId="12" borderId="46" xfId="14" applyFill="1" applyBorder="1"/>
    <xf numFmtId="1" fontId="90" fillId="10" borderId="0" xfId="14" applyNumberFormat="1" applyFill="1"/>
    <xf numFmtId="0" fontId="121" fillId="0" borderId="0" xfId="0" applyFont="1"/>
    <xf numFmtId="0" fontId="121" fillId="0" borderId="0" xfId="0" applyFont="1" applyAlignment="1">
      <alignment horizontal="left" wrapText="1"/>
    </xf>
    <xf numFmtId="17" fontId="124" fillId="25" borderId="0" xfId="0" applyNumberFormat="1" applyFont="1" applyFill="1" applyAlignment="1">
      <alignment horizontal="center"/>
    </xf>
    <xf numFmtId="0" fontId="91" fillId="24" borderId="0" xfId="0" applyFont="1" applyFill="1" applyAlignment="1">
      <alignment horizontal="center"/>
    </xf>
    <xf numFmtId="0" fontId="91" fillId="24" borderId="0" xfId="0" applyFont="1" applyFill="1" applyAlignment="1">
      <alignment horizontal="right"/>
    </xf>
    <xf numFmtId="0" fontId="91" fillId="24" borderId="0" xfId="0" applyFont="1" applyFill="1"/>
    <xf numFmtId="0" fontId="0" fillId="24" borderId="0" xfId="0" applyFill="1"/>
    <xf numFmtId="43" fontId="0" fillId="24" borderId="0" xfId="0" applyNumberFormat="1" applyFill="1" applyAlignment="1">
      <alignment horizontal="center"/>
    </xf>
    <xf numFmtId="0" fontId="124" fillId="25" borderId="26" xfId="0" applyFont="1" applyFill="1" applyBorder="1" applyAlignment="1">
      <alignment horizontal="center" vertical="center"/>
    </xf>
    <xf numFmtId="0" fontId="9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24" fillId="25" borderId="63" xfId="0" applyFont="1" applyFill="1" applyBorder="1" applyAlignment="1">
      <alignment horizontal="center" vertical="center" wrapText="1"/>
    </xf>
    <xf numFmtId="0" fontId="124" fillId="25" borderId="25" xfId="0" applyFont="1" applyFill="1" applyBorder="1" applyAlignment="1">
      <alignment horizontal="center" vertical="center" wrapText="1"/>
    </xf>
    <xf numFmtId="0" fontId="126" fillId="0" borderId="0" xfId="0" applyFont="1"/>
    <xf numFmtId="0" fontId="94" fillId="0" borderId="0" xfId="0" applyFont="1"/>
    <xf numFmtId="0" fontId="120" fillId="25" borderId="17" xfId="0" applyFont="1" applyFill="1" applyBorder="1" applyAlignment="1">
      <alignment horizontal="center" vertical="center" wrapText="1"/>
    </xf>
    <xf numFmtId="0" fontId="0" fillId="11" borderId="17" xfId="0" applyFill="1" applyBorder="1"/>
    <xf numFmtId="4" fontId="0" fillId="11" borderId="17" xfId="0" applyNumberFormat="1" applyFill="1" applyBorder="1"/>
    <xf numFmtId="0" fontId="0" fillId="26" borderId="17" xfId="0" applyFill="1" applyBorder="1"/>
    <xf numFmtId="4" fontId="0" fillId="26" borderId="17" xfId="0" applyNumberFormat="1" applyFill="1" applyBorder="1"/>
    <xf numFmtId="0" fontId="0" fillId="10" borderId="17" xfId="0" applyFill="1" applyBorder="1"/>
    <xf numFmtId="4" fontId="0" fillId="10" borderId="17" xfId="0" applyNumberFormat="1" applyFill="1" applyBorder="1"/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55" fillId="0" borderId="2" xfId="0" applyNumberFormat="1" applyFont="1" applyBorder="1" applyAlignment="1">
      <alignment horizontal="center"/>
    </xf>
    <xf numFmtId="2" fontId="55" fillId="0" borderId="3" xfId="0" applyNumberFormat="1" applyFont="1" applyBorder="1" applyAlignment="1">
      <alignment horizontal="center"/>
    </xf>
    <xf numFmtId="2" fontId="55" fillId="0" borderId="6" xfId="0" applyNumberFormat="1" applyFont="1" applyBorder="1" applyAlignment="1">
      <alignment horizontal="center"/>
    </xf>
    <xf numFmtId="2" fontId="55" fillId="0" borderId="13" xfId="0" applyNumberFormat="1" applyFon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0" fontId="55" fillId="27" borderId="17" xfId="0" applyFont="1" applyFill="1" applyBorder="1" applyAlignment="1">
      <alignment horizontal="left" wrapText="1"/>
    </xf>
    <xf numFmtId="0" fontId="55" fillId="27" borderId="42" xfId="0" applyFont="1" applyFill="1" applyBorder="1" applyAlignment="1">
      <alignment horizontal="center" vertical="center"/>
    </xf>
    <xf numFmtId="0" fontId="55" fillId="27" borderId="1" xfId="0" applyFont="1" applyFill="1" applyBorder="1"/>
    <xf numFmtId="0" fontId="55" fillId="27" borderId="2" xfId="0" applyFont="1" applyFill="1" applyBorder="1" applyAlignment="1">
      <alignment horizontal="center"/>
    </xf>
    <xf numFmtId="3" fontId="55" fillId="27" borderId="2" xfId="0" applyNumberFormat="1" applyFont="1" applyFill="1" applyBorder="1" applyAlignment="1">
      <alignment horizontal="center"/>
    </xf>
    <xf numFmtId="0" fontId="55" fillId="27" borderId="4" xfId="0" applyFont="1" applyFill="1" applyBorder="1"/>
    <xf numFmtId="0" fontId="55" fillId="27" borderId="6" xfId="0" applyFont="1" applyFill="1" applyBorder="1" applyAlignment="1">
      <alignment horizontal="center"/>
    </xf>
    <xf numFmtId="3" fontId="55" fillId="27" borderId="6" xfId="0" applyNumberFormat="1" applyFont="1" applyFill="1" applyBorder="1" applyAlignment="1">
      <alignment horizontal="center"/>
    </xf>
    <xf numFmtId="0" fontId="0" fillId="27" borderId="1" xfId="0" applyFill="1" applyBorder="1"/>
    <xf numFmtId="0" fontId="0" fillId="27" borderId="41" xfId="0" applyFill="1" applyBorder="1" applyAlignment="1">
      <alignment horizontal="center"/>
    </xf>
    <xf numFmtId="3" fontId="111" fillId="27" borderId="14" xfId="0" applyNumberFormat="1" applyFont="1" applyFill="1" applyBorder="1" applyAlignment="1">
      <alignment horizontal="center"/>
    </xf>
    <xf numFmtId="3" fontId="111" fillId="27" borderId="2" xfId="0" applyNumberFormat="1" applyFont="1" applyFill="1" applyBorder="1" applyAlignment="1">
      <alignment horizontal="center"/>
    </xf>
    <xf numFmtId="0" fontId="0" fillId="27" borderId="2" xfId="0" applyFill="1" applyBorder="1" applyAlignment="1">
      <alignment horizontal="center"/>
    </xf>
    <xf numFmtId="0" fontId="0" fillId="27" borderId="4" xfId="0" applyFill="1" applyBorder="1"/>
    <xf numFmtId="0" fontId="0" fillId="27" borderId="6" xfId="0" applyFill="1" applyBorder="1" applyAlignment="1">
      <alignment horizontal="center"/>
    </xf>
    <xf numFmtId="1" fontId="0" fillId="27" borderId="9" xfId="0" applyNumberFormat="1" applyFill="1" applyBorder="1" applyAlignment="1">
      <alignment horizontal="center" vertical="center"/>
    </xf>
    <xf numFmtId="0" fontId="55" fillId="27" borderId="0" xfId="0" applyFont="1" applyFill="1"/>
    <xf numFmtId="3" fontId="111" fillId="27" borderId="15" xfId="0" applyNumberFormat="1" applyFont="1" applyFill="1" applyBorder="1" applyAlignment="1">
      <alignment horizontal="center"/>
    </xf>
    <xf numFmtId="3" fontId="111" fillId="27" borderId="3" xfId="0" applyNumberFormat="1" applyFont="1" applyFill="1" applyBorder="1" applyAlignment="1">
      <alignment horizontal="center"/>
    </xf>
    <xf numFmtId="0" fontId="0" fillId="27" borderId="1" xfId="0" applyFill="1" applyBorder="1" applyAlignment="1">
      <alignment horizontal="right"/>
    </xf>
    <xf numFmtId="4" fontId="81" fillId="27" borderId="2" xfId="0" applyNumberFormat="1" applyFont="1" applyFill="1" applyBorder="1" applyAlignment="1">
      <alignment horizontal="right"/>
    </xf>
    <xf numFmtId="4" fontId="81" fillId="27" borderId="3" xfId="0" applyNumberFormat="1" applyFont="1" applyFill="1" applyBorder="1" applyAlignment="1">
      <alignment horizontal="right"/>
    </xf>
    <xf numFmtId="4" fontId="80" fillId="27" borderId="6" xfId="0" applyNumberFormat="1" applyFont="1" applyFill="1" applyBorder="1" applyAlignment="1">
      <alignment horizontal="right"/>
    </xf>
    <xf numFmtId="4" fontId="80" fillId="27" borderId="13" xfId="0" applyNumberFormat="1" applyFont="1" applyFill="1" applyBorder="1" applyAlignment="1">
      <alignment horizontal="right"/>
    </xf>
    <xf numFmtId="0" fontId="55" fillId="27" borderId="28" xfId="0" applyFont="1" applyFill="1" applyBorder="1" applyAlignment="1">
      <alignment vertical="center" wrapText="1"/>
    </xf>
    <xf numFmtId="0" fontId="55" fillId="27" borderId="29" xfId="0" applyFont="1" applyFill="1" applyBorder="1" applyAlignment="1">
      <alignment horizontal="center" vertical="center"/>
    </xf>
    <xf numFmtId="4" fontId="55" fillId="27" borderId="43" xfId="0" applyNumberFormat="1" applyFont="1" applyFill="1" applyBorder="1" applyAlignment="1">
      <alignment horizontal="center" vertical="center"/>
    </xf>
    <xf numFmtId="0" fontId="55" fillId="27" borderId="4" xfId="0" applyFont="1" applyFill="1" applyBorder="1" applyAlignment="1">
      <alignment horizontal="left" vertical="center" wrapText="1"/>
    </xf>
    <xf numFmtId="0" fontId="55" fillId="27" borderId="6" xfId="0" applyFont="1" applyFill="1" applyBorder="1" applyAlignment="1">
      <alignment horizontal="center" vertical="center"/>
    </xf>
    <xf numFmtId="4" fontId="80" fillId="27" borderId="6" xfId="0" applyNumberFormat="1" applyFont="1" applyFill="1" applyBorder="1" applyAlignment="1">
      <alignment horizontal="center" vertical="center"/>
    </xf>
    <xf numFmtId="4" fontId="80" fillId="27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vertical="center"/>
    </xf>
    <xf numFmtId="0" fontId="0" fillId="27" borderId="4" xfId="0" applyFill="1" applyBorder="1" applyAlignment="1">
      <alignment wrapText="1"/>
    </xf>
    <xf numFmtId="0" fontId="0" fillId="27" borderId="6" xfId="0" applyFill="1" applyBorder="1" applyAlignment="1">
      <alignment horizontal="center" vertical="center"/>
    </xf>
    <xf numFmtId="1" fontId="0" fillId="27" borderId="6" xfId="0" applyNumberFormat="1" applyFill="1" applyBorder="1" applyAlignment="1">
      <alignment horizontal="center" vertical="center"/>
    </xf>
    <xf numFmtId="0" fontId="58" fillId="3" borderId="16" xfId="0" applyFont="1" applyFill="1" applyBorder="1" applyAlignment="1">
      <alignment vertical="center"/>
    </xf>
    <xf numFmtId="17" fontId="58" fillId="3" borderId="14" xfId="0" applyNumberFormat="1" applyFont="1" applyFill="1" applyBorder="1" applyAlignment="1">
      <alignment horizontal="center" vertical="center"/>
    </xf>
    <xf numFmtId="0" fontId="55" fillId="27" borderId="16" xfId="0" applyFont="1" applyFill="1" applyBorder="1"/>
    <xf numFmtId="0" fontId="0" fillId="27" borderId="14" xfId="0" applyFill="1" applyBorder="1"/>
    <xf numFmtId="0" fontId="0" fillId="27" borderId="14" xfId="0" applyFill="1" applyBorder="1" applyAlignment="1">
      <alignment horizontal="center"/>
    </xf>
    <xf numFmtId="0" fontId="0" fillId="27" borderId="15" xfId="0" applyFill="1" applyBorder="1" applyAlignment="1">
      <alignment horizontal="center"/>
    </xf>
    <xf numFmtId="10" fontId="0" fillId="0" borderId="2" xfId="21" applyNumberFormat="1" applyFont="1" applyBorder="1" applyAlignment="1">
      <alignment horizontal="center"/>
    </xf>
    <xf numFmtId="10" fontId="0" fillId="0" borderId="3" xfId="21" applyNumberFormat="1" applyFont="1" applyBorder="1" applyAlignment="1">
      <alignment horizontal="center"/>
    </xf>
    <xf numFmtId="0" fontId="55" fillId="27" borderId="10" xfId="0" applyFont="1" applyFill="1" applyBorder="1" applyAlignment="1">
      <alignment vertical="center" wrapText="1"/>
    </xf>
    <xf numFmtId="0" fontId="55" fillId="27" borderId="11" xfId="0" applyFont="1" applyFill="1" applyBorder="1" applyAlignment="1">
      <alignment horizontal="center" vertical="center"/>
    </xf>
    <xf numFmtId="2" fontId="55" fillId="27" borderId="56" xfId="0" applyNumberFormat="1" applyFont="1" applyFill="1" applyBorder="1" applyAlignment="1">
      <alignment horizontal="center" vertical="center"/>
    </xf>
    <xf numFmtId="0" fontId="55" fillId="27" borderId="20" xfId="0" applyFont="1" applyFill="1" applyBorder="1" applyAlignment="1">
      <alignment vertical="center" wrapText="1"/>
    </xf>
    <xf numFmtId="0" fontId="55" fillId="27" borderId="17" xfId="0" applyFont="1" applyFill="1" applyBorder="1" applyAlignment="1">
      <alignment horizontal="center" vertical="center"/>
    </xf>
    <xf numFmtId="2" fontId="55" fillId="27" borderId="18" xfId="0" applyNumberFormat="1" applyFont="1" applyFill="1" applyBorder="1" applyAlignment="1">
      <alignment horizontal="center" vertical="center"/>
    </xf>
    <xf numFmtId="0" fontId="55" fillId="27" borderId="8" xfId="0" applyFont="1" applyFill="1" applyBorder="1" applyAlignment="1">
      <alignment vertical="center" wrapText="1"/>
    </xf>
    <xf numFmtId="0" fontId="55" fillId="27" borderId="9" xfId="0" applyFont="1" applyFill="1" applyBorder="1" applyAlignment="1">
      <alignment horizontal="center" vertical="center"/>
    </xf>
    <xf numFmtId="2" fontId="55" fillId="27" borderId="55" xfId="0" applyNumberFormat="1" applyFont="1" applyFill="1" applyBorder="1" applyAlignment="1">
      <alignment horizontal="center" vertical="center"/>
    </xf>
    <xf numFmtId="0" fontId="60" fillId="2" borderId="63" xfId="0" applyFont="1" applyFill="1" applyBorder="1"/>
    <xf numFmtId="0" fontId="60" fillId="0" borderId="25" xfId="0" applyFont="1" applyBorder="1"/>
    <xf numFmtId="0" fontId="60" fillId="0" borderId="26" xfId="0" applyFont="1" applyBorder="1"/>
    <xf numFmtId="0" fontId="60" fillId="0" borderId="23" xfId="0" applyFont="1" applyBorder="1"/>
    <xf numFmtId="0" fontId="60" fillId="0" borderId="27" xfId="0" applyFont="1" applyBorder="1"/>
    <xf numFmtId="0" fontId="60" fillId="4" borderId="23" xfId="0" applyFont="1" applyFill="1" applyBorder="1"/>
    <xf numFmtId="0" fontId="60" fillId="0" borderId="19" xfId="0" applyFont="1" applyBorder="1"/>
    <xf numFmtId="0" fontId="60" fillId="0" borderId="83" xfId="0" applyFont="1" applyBorder="1"/>
    <xf numFmtId="0" fontId="127" fillId="0" borderId="19" xfId="0" applyFont="1" applyBorder="1"/>
    <xf numFmtId="9" fontId="0" fillId="11" borderId="52" xfId="21" applyFont="1" applyFill="1" applyBorder="1" applyAlignment="1">
      <alignment horizontal="center"/>
    </xf>
    <xf numFmtId="9" fontId="0" fillId="11" borderId="66" xfId="21" applyFont="1" applyFill="1" applyBorder="1" applyAlignment="1">
      <alignment horizontal="center"/>
    </xf>
    <xf numFmtId="0" fontId="129" fillId="28" borderId="66" xfId="0" applyFont="1" applyFill="1" applyBorder="1" applyAlignment="1">
      <alignment horizontal="center"/>
    </xf>
    <xf numFmtId="0" fontId="55" fillId="27" borderId="53" xfId="0" applyFont="1" applyFill="1" applyBorder="1"/>
    <xf numFmtId="0" fontId="55" fillId="0" borderId="23" xfId="0" applyFont="1" applyBorder="1" applyAlignment="1">
      <alignment horizontal="center"/>
    </xf>
    <xf numFmtId="4" fontId="80" fillId="0" borderId="0" xfId="0" applyNumberFormat="1" applyFont="1" applyAlignment="1">
      <alignment horizontal="center" vertical="center"/>
    </xf>
    <xf numFmtId="165" fontId="53" fillId="0" borderId="24" xfId="1" applyFont="1" applyBorder="1" applyAlignment="1">
      <alignment horizontal="right"/>
    </xf>
    <xf numFmtId="0" fontId="53" fillId="0" borderId="24" xfId="0" applyFont="1" applyBorder="1" applyAlignment="1">
      <alignment horizontal="right"/>
    </xf>
    <xf numFmtId="0" fontId="53" fillId="0" borderId="2" xfId="0" applyFont="1" applyBorder="1" applyAlignment="1">
      <alignment horizontal="right"/>
    </xf>
    <xf numFmtId="0" fontId="130" fillId="0" borderId="0" xfId="0" applyFont="1"/>
    <xf numFmtId="0" fontId="128" fillId="28" borderId="0" xfId="0" applyFont="1" applyFill="1"/>
    <xf numFmtId="17" fontId="120" fillId="28" borderId="0" xfId="0" applyNumberFormat="1" applyFont="1" applyFill="1" applyAlignment="1">
      <alignment horizontal="center" vertical="center"/>
    </xf>
    <xf numFmtId="0" fontId="0" fillId="0" borderId="28" xfId="0" applyBorder="1" applyAlignment="1">
      <alignment horizontal="right" wrapText="1"/>
    </xf>
    <xf numFmtId="166" fontId="0" fillId="0" borderId="29" xfId="1" applyNumberFormat="1" applyFont="1" applyFill="1" applyBorder="1" applyAlignment="1">
      <alignment vertical="center"/>
    </xf>
    <xf numFmtId="166" fontId="0" fillId="0" borderId="43" xfId="1" applyNumberFormat="1" applyFont="1" applyFill="1" applyBorder="1" applyAlignment="1">
      <alignment vertical="center"/>
    </xf>
    <xf numFmtId="3" fontId="111" fillId="0" borderId="24" xfId="0" applyNumberFormat="1" applyFont="1" applyBorder="1" applyAlignment="1">
      <alignment horizontal="center"/>
    </xf>
    <xf numFmtId="0" fontId="0" fillId="0" borderId="20" xfId="0" applyBorder="1" applyAlignment="1">
      <alignment horizontal="right" wrapText="1"/>
    </xf>
    <xf numFmtId="0" fontId="0" fillId="0" borderId="8" xfId="0" applyBorder="1" applyAlignment="1">
      <alignment horizontal="right" wrapText="1"/>
    </xf>
    <xf numFmtId="0" fontId="0" fillId="0" borderId="45" xfId="0" applyBorder="1" applyAlignment="1">
      <alignment horizontal="right" wrapText="1"/>
    </xf>
    <xf numFmtId="0" fontId="91" fillId="0" borderId="23" xfId="0" applyFont="1" applyBorder="1" applyAlignment="1">
      <alignment horizontal="center" vertical="center" wrapText="1"/>
    </xf>
    <xf numFmtId="0" fontId="91" fillId="0" borderId="0" xfId="0" applyFont="1" applyAlignment="1">
      <alignment horizontal="center"/>
    </xf>
    <xf numFmtId="0" fontId="91" fillId="0" borderId="27" xfId="0" applyFont="1" applyBorder="1" applyAlignment="1">
      <alignment horizontal="center"/>
    </xf>
    <xf numFmtId="165" fontId="110" fillId="0" borderId="0" xfId="1" applyFont="1" applyFill="1" applyBorder="1"/>
    <xf numFmtId="2" fontId="110" fillId="0" borderId="0" xfId="0" applyNumberFormat="1" applyFont="1"/>
    <xf numFmtId="0" fontId="125" fillId="0" borderId="46" xfId="0" applyFont="1" applyBorder="1" applyAlignment="1">
      <alignment wrapText="1"/>
    </xf>
    <xf numFmtId="43" fontId="0" fillId="0" borderId="53" xfId="0" applyNumberFormat="1" applyBorder="1" applyAlignment="1">
      <alignment vertical="center" wrapText="1"/>
    </xf>
    <xf numFmtId="165" fontId="0" fillId="0" borderId="53" xfId="1" applyFont="1" applyFill="1" applyBorder="1" applyAlignment="1">
      <alignment vertical="center" wrapText="1"/>
    </xf>
    <xf numFmtId="0" fontId="133" fillId="28" borderId="65" xfId="0" applyFont="1" applyFill="1" applyBorder="1" applyAlignment="1">
      <alignment horizontal="center" vertical="center" wrapText="1"/>
    </xf>
    <xf numFmtId="0" fontId="0" fillId="12" borderId="63" xfId="0" applyFill="1" applyBorder="1" applyAlignment="1">
      <alignment horizontal="right" wrapText="1"/>
    </xf>
    <xf numFmtId="187" fontId="53" fillId="12" borderId="25" xfId="1" applyNumberFormat="1" applyFont="1" applyFill="1" applyBorder="1" applyAlignment="1">
      <alignment vertical="center"/>
    </xf>
    <xf numFmtId="187" fontId="53" fillId="12" borderId="26" xfId="1" applyNumberFormat="1" applyFont="1" applyFill="1" applyBorder="1" applyAlignment="1">
      <alignment vertical="center"/>
    </xf>
    <xf numFmtId="0" fontId="0" fillId="12" borderId="23" xfId="0" applyFill="1" applyBorder="1" applyAlignment="1">
      <alignment horizontal="right" wrapText="1"/>
    </xf>
    <xf numFmtId="187" fontId="110" fillId="12" borderId="0" xfId="1" applyNumberFormat="1" applyFont="1" applyFill="1" applyBorder="1" applyAlignment="1">
      <alignment vertical="center"/>
    </xf>
    <xf numFmtId="187" fontId="110" fillId="12" borderId="27" xfId="1" applyNumberFormat="1" applyFont="1" applyFill="1" applyBorder="1" applyAlignment="1">
      <alignment vertical="center"/>
    </xf>
    <xf numFmtId="0" fontId="0" fillId="12" borderId="47" xfId="0" applyFill="1" applyBorder="1" applyAlignment="1">
      <alignment horizontal="right" wrapText="1"/>
    </xf>
    <xf numFmtId="187" fontId="110" fillId="12" borderId="19" xfId="1" applyNumberFormat="1" applyFont="1" applyFill="1" applyBorder="1" applyAlignment="1">
      <alignment vertical="center"/>
    </xf>
    <xf numFmtId="187" fontId="110" fillId="12" borderId="83" xfId="1" applyNumberFormat="1" applyFont="1" applyFill="1" applyBorder="1" applyAlignment="1">
      <alignment vertical="center"/>
    </xf>
    <xf numFmtId="0" fontId="120" fillId="28" borderId="46" xfId="0" applyFont="1" applyFill="1" applyBorder="1" applyAlignment="1">
      <alignment horizontal="left"/>
    </xf>
    <xf numFmtId="0" fontId="132" fillId="28" borderId="46" xfId="0" applyFont="1" applyFill="1" applyBorder="1" applyAlignment="1">
      <alignment horizontal="right" wrapText="1"/>
    </xf>
    <xf numFmtId="0" fontId="123" fillId="10" borderId="63" xfId="0" applyFont="1" applyFill="1" applyBorder="1" applyAlignment="1">
      <alignment horizontal="right"/>
    </xf>
    <xf numFmtId="0" fontId="123" fillId="10" borderId="23" xfId="0" applyFont="1" applyFill="1" applyBorder="1" applyAlignment="1">
      <alignment horizontal="right"/>
    </xf>
    <xf numFmtId="0" fontId="123" fillId="10" borderId="47" xfId="0" applyFont="1" applyFill="1" applyBorder="1" applyAlignment="1">
      <alignment horizontal="right"/>
    </xf>
    <xf numFmtId="43" fontId="110" fillId="0" borderId="17" xfId="1" applyNumberFormat="1" applyFont="1" applyFill="1" applyBorder="1" applyAlignment="1">
      <alignment vertical="center"/>
    </xf>
    <xf numFmtId="43" fontId="110" fillId="0" borderId="9" xfId="1" applyNumberFormat="1" applyFont="1" applyFill="1" applyBorder="1" applyAlignment="1">
      <alignment vertical="center"/>
    </xf>
    <xf numFmtId="43" fontId="110" fillId="0" borderId="55" xfId="1" applyNumberFormat="1" applyFont="1" applyFill="1" applyBorder="1" applyAlignment="1">
      <alignment vertical="center"/>
    </xf>
    <xf numFmtId="43" fontId="0" fillId="0" borderId="24" xfId="1" applyNumberFormat="1" applyFont="1" applyFill="1" applyBorder="1" applyAlignment="1">
      <alignment vertical="center"/>
    </xf>
    <xf numFmtId="43" fontId="0" fillId="0" borderId="70" xfId="1" applyNumberFormat="1" applyFont="1" applyFill="1" applyBorder="1" applyAlignment="1">
      <alignment vertical="center"/>
    </xf>
    <xf numFmtId="0" fontId="54" fillId="0" borderId="17" xfId="0" applyFont="1" applyBorder="1" applyAlignment="1">
      <alignment horizontal="right"/>
    </xf>
    <xf numFmtId="0" fontId="54" fillId="0" borderId="24" xfId="0" applyFont="1" applyBorder="1" applyAlignment="1">
      <alignment horizontal="right" wrapText="1"/>
    </xf>
    <xf numFmtId="165" fontId="110" fillId="0" borderId="23" xfId="1" applyFont="1" applyFill="1" applyBorder="1"/>
    <xf numFmtId="165" fontId="53" fillId="0" borderId="0" xfId="1" applyFont="1" applyFill="1" applyBorder="1"/>
    <xf numFmtId="0" fontId="53" fillId="0" borderId="27" xfId="0" applyFont="1" applyBorder="1"/>
    <xf numFmtId="2" fontId="53" fillId="0" borderId="0" xfId="0" applyNumberFormat="1" applyFont="1"/>
    <xf numFmtId="2" fontId="53" fillId="0" borderId="23" xfId="0" applyNumberFormat="1" applyFont="1" applyBorder="1"/>
    <xf numFmtId="165" fontId="131" fillId="0" borderId="27" xfId="1" applyFont="1" applyFill="1" applyBorder="1"/>
    <xf numFmtId="165" fontId="53" fillId="0" borderId="23" xfId="1" applyFont="1" applyFill="1" applyBorder="1"/>
    <xf numFmtId="165" fontId="53" fillId="0" borderId="47" xfId="1" applyFont="1" applyFill="1" applyBorder="1"/>
    <xf numFmtId="165" fontId="53" fillId="0" borderId="19" xfId="1" applyFont="1" applyFill="1" applyBorder="1"/>
    <xf numFmtId="165" fontId="131" fillId="0" borderId="83" xfId="1" applyFont="1" applyFill="1" applyBorder="1"/>
    <xf numFmtId="4" fontId="80" fillId="12" borderId="6" xfId="0" applyNumberFormat="1" applyFont="1" applyFill="1" applyBorder="1" applyAlignment="1">
      <alignment horizontal="center" vertical="center"/>
    </xf>
    <xf numFmtId="0" fontId="135" fillId="0" borderId="17" xfId="0" applyFont="1" applyBorder="1"/>
    <xf numFmtId="165" fontId="0" fillId="0" borderId="17" xfId="1" applyFont="1" applyBorder="1"/>
    <xf numFmtId="165" fontId="0" fillId="0" borderId="17" xfId="0" applyNumberFormat="1" applyBorder="1"/>
    <xf numFmtId="0" fontId="136" fillId="0" borderId="17" xfId="0" applyFont="1" applyBorder="1"/>
    <xf numFmtId="165" fontId="55" fillId="0" borderId="17" xfId="1" applyFont="1" applyBorder="1"/>
    <xf numFmtId="180" fontId="0" fillId="0" borderId="17" xfId="21" applyNumberFormat="1" applyFont="1" applyBorder="1"/>
    <xf numFmtId="17" fontId="55" fillId="0" borderId="82" xfId="0" applyNumberFormat="1" applyFont="1" applyBorder="1" applyAlignment="1">
      <alignment horizontal="center" vertical="center"/>
    </xf>
    <xf numFmtId="17" fontId="55" fillId="0" borderId="85" xfId="0" applyNumberFormat="1" applyFont="1" applyBorder="1" applyAlignment="1">
      <alignment horizontal="center" vertical="center"/>
    </xf>
    <xf numFmtId="192" fontId="58" fillId="3" borderId="29" xfId="0" applyNumberFormat="1" applyFont="1" applyFill="1" applyBorder="1" applyAlignment="1">
      <alignment horizontal="center"/>
    </xf>
    <xf numFmtId="17" fontId="57" fillId="15" borderId="17" xfId="0" applyNumberFormat="1" applyFont="1" applyFill="1" applyBorder="1"/>
    <xf numFmtId="17" fontId="58" fillId="3" borderId="14" xfId="0" applyNumberFormat="1" applyFont="1" applyFill="1" applyBorder="1" applyAlignment="1">
      <alignment horizontal="center"/>
    </xf>
    <xf numFmtId="17" fontId="58" fillId="3" borderId="22" xfId="0" applyNumberFormat="1" applyFont="1" applyFill="1" applyBorder="1" applyAlignment="1">
      <alignment horizontal="center"/>
    </xf>
    <xf numFmtId="0" fontId="57" fillId="0" borderId="51" xfId="0" applyFont="1" applyBorder="1"/>
    <xf numFmtId="0" fontId="57" fillId="0" borderId="60" xfId="0" applyFont="1" applyBorder="1" applyAlignment="1">
      <alignment horizontal="center"/>
    </xf>
    <xf numFmtId="0" fontId="65" fillId="0" borderId="7" xfId="0" applyFont="1" applyBorder="1"/>
    <xf numFmtId="0" fontId="47" fillId="0" borderId="17" xfId="14" applyFont="1" applyBorder="1"/>
    <xf numFmtId="2" fontId="111" fillId="0" borderId="18" xfId="0" applyNumberFormat="1" applyFont="1" applyBorder="1"/>
    <xf numFmtId="0" fontId="57" fillId="0" borderId="52" xfId="0" applyFont="1" applyBorder="1"/>
    <xf numFmtId="0" fontId="57" fillId="0" borderId="52" xfId="0" applyFont="1" applyBorder="1" applyAlignment="1">
      <alignment horizontal="center"/>
    </xf>
    <xf numFmtId="0" fontId="53" fillId="0" borderId="28" xfId="0" applyFont="1" applyBorder="1"/>
    <xf numFmtId="0" fontId="53" fillId="0" borderId="51" xfId="0" applyFont="1" applyBorder="1"/>
    <xf numFmtId="0" fontId="53" fillId="0" borderId="29" xfId="0" applyFont="1" applyBorder="1" applyAlignment="1">
      <alignment horizontal="center"/>
    </xf>
    <xf numFmtId="17" fontId="128" fillId="30" borderId="0" xfId="0" applyNumberFormat="1" applyFont="1" applyFill="1" applyAlignment="1">
      <alignment horizontal="center"/>
    </xf>
    <xf numFmtId="0" fontId="0" fillId="11" borderId="2" xfId="0" applyFill="1" applyBorder="1"/>
    <xf numFmtId="0" fontId="0" fillId="11" borderId="42" xfId="0" applyFill="1" applyBorder="1" applyAlignment="1">
      <alignment horizontal="center"/>
    </xf>
    <xf numFmtId="0" fontId="0" fillId="11" borderId="27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173" fontId="0" fillId="11" borderId="2" xfId="12" applyNumberFormat="1" applyFont="1" applyFill="1" applyBorder="1" applyAlignment="1">
      <alignment horizontal="right"/>
    </xf>
    <xf numFmtId="0" fontId="0" fillId="11" borderId="2" xfId="0" applyFill="1" applyBorder="1" applyAlignment="1">
      <alignment horizontal="right"/>
    </xf>
    <xf numFmtId="0" fontId="0" fillId="11" borderId="41" xfId="0" applyFill="1" applyBorder="1" applyAlignment="1">
      <alignment horizontal="right"/>
    </xf>
    <xf numFmtId="0" fontId="73" fillId="11" borderId="2" xfId="0" applyFont="1" applyFill="1" applyBorder="1" applyAlignment="1">
      <alignment horizontal="right"/>
    </xf>
    <xf numFmtId="165" fontId="0" fillId="11" borderId="2" xfId="0" applyNumberFormat="1" applyFill="1" applyBorder="1" applyAlignment="1">
      <alignment horizontal="right"/>
    </xf>
    <xf numFmtId="165" fontId="0" fillId="11" borderId="41" xfId="0" applyNumberFormat="1" applyFill="1" applyBorder="1" applyAlignment="1">
      <alignment horizontal="right"/>
    </xf>
    <xf numFmtId="2" fontId="93" fillId="0" borderId="2" xfId="0" applyNumberFormat="1" applyFont="1" applyBorder="1" applyAlignment="1">
      <alignment horizontal="center"/>
    </xf>
    <xf numFmtId="2" fontId="93" fillId="0" borderId="3" xfId="0" applyNumberFormat="1" applyFont="1" applyBorder="1" applyAlignment="1">
      <alignment horizontal="center"/>
    </xf>
    <xf numFmtId="165" fontId="137" fillId="0" borderId="0" xfId="1" applyFont="1" applyFill="1" applyBorder="1"/>
    <xf numFmtId="14" fontId="53" fillId="0" borderId="0" xfId="0" applyNumberFormat="1" applyFont="1"/>
    <xf numFmtId="43" fontId="93" fillId="0" borderId="0" xfId="0" applyNumberFormat="1" applyFont="1"/>
    <xf numFmtId="187" fontId="0" fillId="0" borderId="0" xfId="0" applyNumberFormat="1" applyAlignment="1">
      <alignment horizontal="center"/>
    </xf>
    <xf numFmtId="17" fontId="128" fillId="28" borderId="40" xfId="0" applyNumberFormat="1" applyFont="1" applyFill="1" applyBorder="1" applyAlignment="1">
      <alignment horizontal="left"/>
    </xf>
    <xf numFmtId="2" fontId="138" fillId="28" borderId="40" xfId="0" applyNumberFormat="1" applyFont="1" applyFill="1" applyBorder="1" applyAlignment="1">
      <alignment horizontal="right" vertical="center"/>
    </xf>
    <xf numFmtId="2" fontId="138" fillId="28" borderId="80" xfId="0" applyNumberFormat="1" applyFont="1" applyFill="1" applyBorder="1" applyAlignment="1">
      <alignment horizontal="right" vertical="center"/>
    </xf>
    <xf numFmtId="0" fontId="139" fillId="10" borderId="25" xfId="0" applyFont="1" applyFill="1" applyBorder="1"/>
    <xf numFmtId="0" fontId="139" fillId="10" borderId="26" xfId="0" applyFont="1" applyFill="1" applyBorder="1"/>
    <xf numFmtId="166" fontId="139" fillId="10" borderId="0" xfId="1" applyNumberFormat="1" applyFont="1" applyFill="1" applyBorder="1"/>
    <xf numFmtId="166" fontId="139" fillId="10" borderId="27" xfId="1" applyNumberFormat="1" applyFont="1" applyFill="1" applyBorder="1"/>
    <xf numFmtId="166" fontId="139" fillId="10" borderId="19" xfId="1" applyNumberFormat="1" applyFont="1" applyFill="1" applyBorder="1"/>
    <xf numFmtId="166" fontId="139" fillId="10" borderId="83" xfId="1" applyNumberFormat="1" applyFont="1" applyFill="1" applyBorder="1"/>
    <xf numFmtId="0" fontId="140" fillId="0" borderId="0" xfId="0" applyFont="1"/>
    <xf numFmtId="191" fontId="139" fillId="10" borderId="0" xfId="1" applyNumberFormat="1" applyFont="1" applyFill="1" applyBorder="1"/>
    <xf numFmtId="191" fontId="139" fillId="10" borderId="27" xfId="1" applyNumberFormat="1" applyFont="1" applyFill="1" applyBorder="1"/>
    <xf numFmtId="191" fontId="139" fillId="10" borderId="19" xfId="1" applyNumberFormat="1" applyFont="1" applyFill="1" applyBorder="1"/>
    <xf numFmtId="191" fontId="139" fillId="10" borderId="83" xfId="1" applyNumberFormat="1" applyFont="1" applyFill="1" applyBorder="1"/>
    <xf numFmtId="0" fontId="0" fillId="31" borderId="0" xfId="0" applyFill="1"/>
    <xf numFmtId="43" fontId="0" fillId="31" borderId="0" xfId="0" applyNumberFormat="1" applyFill="1" applyAlignment="1">
      <alignment horizontal="center"/>
    </xf>
    <xf numFmtId="0" fontId="0" fillId="32" borderId="0" xfId="0" applyFill="1"/>
    <xf numFmtId="43" fontId="0" fillId="32" borderId="0" xfId="0" applyNumberFormat="1" applyFill="1" applyAlignment="1">
      <alignment horizontal="center"/>
    </xf>
    <xf numFmtId="43" fontId="0" fillId="31" borderId="0" xfId="0" applyNumberFormat="1" applyFill="1" applyAlignment="1">
      <alignment horizontal="center" vertical="center"/>
    </xf>
    <xf numFmtId="181" fontId="93" fillId="31" borderId="0" xfId="0" applyNumberFormat="1" applyFont="1" applyFill="1"/>
    <xf numFmtId="181" fontId="93" fillId="32" borderId="0" xfId="0" applyNumberFormat="1" applyFont="1" applyFill="1"/>
    <xf numFmtId="0" fontId="93" fillId="32" borderId="0" xfId="0" applyFont="1" applyFill="1"/>
    <xf numFmtId="10" fontId="92" fillId="11" borderId="17" xfId="21" applyNumberFormat="1" applyFont="1" applyFill="1" applyBorder="1"/>
    <xf numFmtId="10" fontId="92" fillId="26" borderId="17" xfId="21" applyNumberFormat="1" applyFont="1" applyFill="1" applyBorder="1"/>
    <xf numFmtId="10" fontId="92" fillId="10" borderId="17" xfId="21" applyNumberFormat="1" applyFont="1" applyFill="1" applyBorder="1"/>
    <xf numFmtId="177" fontId="0" fillId="0" borderId="0" xfId="0" applyNumberFormat="1"/>
    <xf numFmtId="2" fontId="53" fillId="11" borderId="9" xfId="0" applyNumberFormat="1" applyFont="1" applyFill="1" applyBorder="1" applyAlignment="1">
      <alignment horizontal="center"/>
    </xf>
    <xf numFmtId="167" fontId="111" fillId="0" borderId="2" xfId="24" applyNumberFormat="1" applyFont="1" applyBorder="1" applyAlignment="1">
      <alignment horizontal="center"/>
    </xf>
    <xf numFmtId="0" fontId="66" fillId="0" borderId="0" xfId="24" applyFont="1"/>
    <xf numFmtId="0" fontId="74" fillId="0" borderId="0" xfId="24" applyFont="1"/>
    <xf numFmtId="0" fontId="58" fillId="3" borderId="16" xfId="24" applyFont="1" applyFill="1" applyBorder="1"/>
    <xf numFmtId="0" fontId="58" fillId="3" borderId="22" xfId="24" applyFont="1" applyFill="1" applyBorder="1" applyAlignment="1">
      <alignment horizontal="center"/>
    </xf>
    <xf numFmtId="0" fontId="67" fillId="0" borderId="20" xfId="24" applyFont="1" applyBorder="1"/>
    <xf numFmtId="0" fontId="67" fillId="0" borderId="21" xfId="24" applyFont="1" applyBorder="1"/>
    <xf numFmtId="0" fontId="53" fillId="0" borderId="17" xfId="24" applyBorder="1"/>
    <xf numFmtId="0" fontId="53" fillId="0" borderId="64" xfId="24" applyBorder="1"/>
    <xf numFmtId="0" fontId="53" fillId="0" borderId="1" xfId="24" applyBorder="1"/>
    <xf numFmtId="0" fontId="53" fillId="0" borderId="7" xfId="24" applyBorder="1" applyAlignment="1">
      <alignment horizontal="center"/>
    </xf>
    <xf numFmtId="0" fontId="53" fillId="0" borderId="2" xfId="24" applyBorder="1" applyAlignment="1">
      <alignment horizontal="center"/>
    </xf>
    <xf numFmtId="0" fontId="53" fillId="0" borderId="2" xfId="24" applyBorder="1"/>
    <xf numFmtId="0" fontId="53" fillId="0" borderId="27" xfId="24" applyBorder="1"/>
    <xf numFmtId="0" fontId="53" fillId="0" borderId="7" xfId="24" applyBorder="1"/>
    <xf numFmtId="0" fontId="69" fillId="0" borderId="1" xfId="24" applyFont="1" applyBorder="1"/>
    <xf numFmtId="0" fontId="69" fillId="0" borderId="7" xfId="24" applyFont="1" applyBorder="1"/>
    <xf numFmtId="0" fontId="95" fillId="0" borderId="1" xfId="24" applyFont="1" applyBorder="1" applyAlignment="1">
      <alignment horizontal="left" indent="2"/>
    </xf>
    <xf numFmtId="1" fontId="111" fillId="11" borderId="2" xfId="24" applyNumberFormat="1" applyFont="1" applyFill="1" applyBorder="1" applyAlignment="1">
      <alignment horizontal="center"/>
    </xf>
    <xf numFmtId="0" fontId="53" fillId="0" borderId="1" xfId="24" applyBorder="1" applyAlignment="1">
      <alignment horizontal="left" indent="2"/>
    </xf>
    <xf numFmtId="0" fontId="111" fillId="0" borderId="2" xfId="24" applyFont="1" applyBorder="1" applyAlignment="1">
      <alignment horizontal="center"/>
    </xf>
    <xf numFmtId="0" fontId="111" fillId="0" borderId="2" xfId="24" applyFont="1" applyBorder="1"/>
    <xf numFmtId="0" fontId="111" fillId="0" borderId="27" xfId="24" applyFont="1" applyBorder="1"/>
    <xf numFmtId="0" fontId="111" fillId="0" borderId="17" xfId="24" applyFont="1" applyBorder="1"/>
    <xf numFmtId="0" fontId="111" fillId="0" borderId="64" xfId="24" applyFont="1" applyBorder="1"/>
    <xf numFmtId="0" fontId="69" fillId="0" borderId="23" xfId="24" applyFont="1" applyBorder="1"/>
    <xf numFmtId="0" fontId="69" fillId="0" borderId="42" xfId="24" applyFont="1" applyBorder="1"/>
    <xf numFmtId="0" fontId="111" fillId="0" borderId="42" xfId="24" applyFont="1" applyBorder="1"/>
    <xf numFmtId="0" fontId="69" fillId="0" borderId="23" xfId="24" applyFont="1" applyBorder="1" applyAlignment="1">
      <alignment horizontal="left" indent="2"/>
    </xf>
    <xf numFmtId="0" fontId="69" fillId="0" borderId="2" xfId="24" applyFont="1" applyBorder="1"/>
    <xf numFmtId="0" fontId="53" fillId="0" borderId="23" xfId="24" applyBorder="1" applyAlignment="1">
      <alignment horizontal="left" indent="2"/>
    </xf>
    <xf numFmtId="0" fontId="97" fillId="0" borderId="23" xfId="24" applyFont="1" applyBorder="1"/>
    <xf numFmtId="167" fontId="111" fillId="0" borderId="27" xfId="24" applyNumberFormat="1" applyFont="1" applyBorder="1" applyAlignment="1">
      <alignment horizontal="center"/>
    </xf>
    <xf numFmtId="0" fontId="111" fillId="0" borderId="27" xfId="24" applyFont="1" applyBorder="1" applyAlignment="1">
      <alignment horizontal="center"/>
    </xf>
    <xf numFmtId="0" fontId="53" fillId="0" borderId="17" xfId="24" applyBorder="1" applyAlignment="1">
      <alignment horizontal="center"/>
    </xf>
    <xf numFmtId="2" fontId="111" fillId="0" borderId="17" xfId="24" applyNumberFormat="1" applyFont="1" applyBorder="1" applyAlignment="1">
      <alignment horizontal="center"/>
    </xf>
    <xf numFmtId="0" fontId="53" fillId="12" borderId="16" xfId="24" applyFill="1" applyBorder="1"/>
    <xf numFmtId="0" fontId="53" fillId="12" borderId="22" xfId="24" applyFill="1" applyBorder="1" applyAlignment="1">
      <alignment horizontal="center"/>
    </xf>
    <xf numFmtId="4" fontId="53" fillId="12" borderId="14" xfId="24" applyNumberFormat="1" applyFill="1" applyBorder="1" applyAlignment="1">
      <alignment horizontal="center"/>
    </xf>
    <xf numFmtId="4" fontId="53" fillId="0" borderId="2" xfId="24" quotePrefix="1" applyNumberFormat="1" applyBorder="1" applyAlignment="1">
      <alignment horizontal="center"/>
    </xf>
    <xf numFmtId="1" fontId="53" fillId="11" borderId="2" xfId="24" applyNumberFormat="1" applyFill="1" applyBorder="1" applyAlignment="1">
      <alignment horizontal="center"/>
    </xf>
    <xf numFmtId="0" fontId="95" fillId="0" borderId="1" xfId="24" applyFont="1" applyBorder="1"/>
    <xf numFmtId="2" fontId="53" fillId="29" borderId="51" xfId="0" applyNumberFormat="1" applyFont="1" applyFill="1" applyBorder="1" applyAlignment="1">
      <alignment horizontal="right"/>
    </xf>
    <xf numFmtId="0" fontId="67" fillId="12" borderId="4" xfId="24" applyFont="1" applyFill="1" applyBorder="1"/>
    <xf numFmtId="0" fontId="67" fillId="12" borderId="5" xfId="24" applyFont="1" applyFill="1" applyBorder="1" applyAlignment="1">
      <alignment horizontal="center"/>
    </xf>
    <xf numFmtId="4" fontId="53" fillId="0" borderId="0" xfId="24" applyNumberFormat="1"/>
    <xf numFmtId="0" fontId="112" fillId="0" borderId="0" xfId="0" applyFont="1"/>
    <xf numFmtId="2" fontId="0" fillId="23" borderId="17" xfId="0" applyNumberFormat="1" applyFill="1" applyBorder="1"/>
    <xf numFmtId="168" fontId="57" fillId="0" borderId="0" xfId="0" applyNumberFormat="1" applyFont="1"/>
    <xf numFmtId="43" fontId="92" fillId="0" borderId="0" xfId="14" applyNumberFormat="1" applyFont="1"/>
    <xf numFmtId="0" fontId="0" fillId="0" borderId="53" xfId="0" applyBorder="1"/>
    <xf numFmtId="0" fontId="57" fillId="0" borderId="45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53" fillId="0" borderId="44" xfId="0" applyFont="1" applyBorder="1" applyAlignment="1">
      <alignment vertical="center"/>
    </xf>
    <xf numFmtId="0" fontId="108" fillId="0" borderId="0" xfId="21" applyNumberFormat="1" applyFont="1" applyBorder="1"/>
    <xf numFmtId="0" fontId="57" fillId="4" borderId="51" xfId="0" applyFont="1" applyFill="1" applyBorder="1" applyAlignment="1">
      <alignment horizontal="center"/>
    </xf>
    <xf numFmtId="0" fontId="57" fillId="0" borderId="70" xfId="0" applyFont="1" applyBorder="1" applyAlignment="1">
      <alignment horizontal="left" vertical="center"/>
    </xf>
    <xf numFmtId="0" fontId="53" fillId="0" borderId="18" xfId="0" applyFont="1" applyBorder="1" applyAlignment="1">
      <alignment horizontal="left" vertical="center"/>
    </xf>
    <xf numFmtId="0" fontId="53" fillId="0" borderId="62" xfId="0" applyFont="1" applyBorder="1" applyAlignment="1">
      <alignment horizontal="left" vertical="center"/>
    </xf>
    <xf numFmtId="0" fontId="91" fillId="12" borderId="47" xfId="0" applyFont="1" applyFill="1" applyBorder="1"/>
    <xf numFmtId="0" fontId="57" fillId="12" borderId="19" xfId="0" applyFont="1" applyFill="1" applyBorder="1"/>
    <xf numFmtId="0" fontId="57" fillId="12" borderId="83" xfId="0" applyFont="1" applyFill="1" applyBorder="1" applyAlignment="1">
      <alignment horizontal="center"/>
    </xf>
    <xf numFmtId="0" fontId="90" fillId="12" borderId="80" xfId="14" applyFill="1" applyBorder="1" applyAlignment="1">
      <alignment horizontal="center"/>
    </xf>
    <xf numFmtId="0" fontId="46" fillId="12" borderId="80" xfId="14" applyFont="1" applyFill="1" applyBorder="1" applyAlignment="1">
      <alignment horizontal="center"/>
    </xf>
    <xf numFmtId="0" fontId="141" fillId="0" borderId="53" xfId="0" applyFont="1" applyBorder="1"/>
    <xf numFmtId="0" fontId="67" fillId="23" borderId="24" xfId="0" applyFont="1" applyFill="1" applyBorder="1" applyAlignment="1">
      <alignment horizontal="center" wrapText="1"/>
    </xf>
    <xf numFmtId="2" fontId="110" fillId="19" borderId="0" xfId="14" applyNumberFormat="1" applyFont="1" applyFill="1"/>
    <xf numFmtId="0" fontId="85" fillId="16" borderId="57" xfId="0" applyFont="1" applyFill="1" applyBorder="1"/>
    <xf numFmtId="2" fontId="84" fillId="16" borderId="57" xfId="0" applyNumberFormat="1" applyFont="1" applyFill="1" applyBorder="1"/>
    <xf numFmtId="0" fontId="0" fillId="16" borderId="58" xfId="0" applyFill="1" applyBorder="1"/>
    <xf numFmtId="0" fontId="0" fillId="16" borderId="41" xfId="0" applyFill="1" applyBorder="1"/>
    <xf numFmtId="0" fontId="0" fillId="16" borderId="0" xfId="0" applyFill="1"/>
    <xf numFmtId="0" fontId="84" fillId="16" borderId="0" xfId="0" applyFont="1" applyFill="1"/>
    <xf numFmtId="0" fontId="0" fillId="16" borderId="7" xfId="0" applyFill="1" applyBorder="1"/>
    <xf numFmtId="0" fontId="67" fillId="16" borderId="17" xfId="0" applyFont="1" applyFill="1" applyBorder="1" applyAlignment="1">
      <alignment horizontal="center"/>
    </xf>
    <xf numFmtId="0" fontId="69" fillId="16" borderId="17" xfId="0" applyFont="1" applyFill="1" applyBorder="1"/>
    <xf numFmtId="0" fontId="0" fillId="16" borderId="17" xfId="0" applyFill="1" applyBorder="1"/>
    <xf numFmtId="0" fontId="69" fillId="16" borderId="7" xfId="0" applyFont="1" applyFill="1" applyBorder="1"/>
    <xf numFmtId="0" fontId="0" fillId="16" borderId="24" xfId="0" applyFill="1" applyBorder="1"/>
    <xf numFmtId="0" fontId="0" fillId="16" borderId="41" xfId="0" applyFill="1" applyBorder="1" applyAlignment="1">
      <alignment horizontal="center" vertical="center"/>
    </xf>
    <xf numFmtId="0" fontId="0" fillId="16" borderId="59" xfId="0" applyFill="1" applyBorder="1"/>
    <xf numFmtId="2" fontId="0" fillId="16" borderId="17" xfId="0" applyNumberFormat="1" applyFill="1" applyBorder="1"/>
    <xf numFmtId="0" fontId="69" fillId="16" borderId="0" xfId="0" applyFont="1" applyFill="1"/>
    <xf numFmtId="0" fontId="67" fillId="16" borderId="7" xfId="0" applyFont="1" applyFill="1" applyBorder="1"/>
    <xf numFmtId="0" fontId="0" fillId="34" borderId="54" xfId="0" applyFill="1" applyBorder="1"/>
    <xf numFmtId="0" fontId="85" fillId="34" borderId="57" xfId="0" applyFont="1" applyFill="1" applyBorder="1"/>
    <xf numFmtId="0" fontId="0" fillId="34" borderId="58" xfId="0" applyFill="1" applyBorder="1"/>
    <xf numFmtId="0" fontId="0" fillId="34" borderId="41" xfId="0" applyFill="1" applyBorder="1"/>
    <xf numFmtId="0" fontId="0" fillId="34" borderId="0" xfId="0" applyFill="1"/>
    <xf numFmtId="0" fontId="84" fillId="34" borderId="0" xfId="0" applyFont="1" applyFill="1"/>
    <xf numFmtId="0" fontId="0" fillId="34" borderId="7" xfId="0" applyFill="1" applyBorder="1"/>
    <xf numFmtId="17" fontId="67" fillId="34" borderId="17" xfId="0" applyNumberFormat="1" applyFont="1" applyFill="1" applyBorder="1" applyAlignment="1">
      <alignment horizontal="center"/>
    </xf>
    <xf numFmtId="0" fontId="67" fillId="34" borderId="17" xfId="0" applyFont="1" applyFill="1" applyBorder="1" applyAlignment="1">
      <alignment horizontal="center"/>
    </xf>
    <xf numFmtId="1" fontId="0" fillId="34" borderId="17" xfId="0" applyNumberFormat="1" applyFill="1" applyBorder="1"/>
    <xf numFmtId="0" fontId="69" fillId="34" borderId="17" xfId="0" applyFont="1" applyFill="1" applyBorder="1"/>
    <xf numFmtId="169" fontId="0" fillId="34" borderId="17" xfId="0" applyNumberFormat="1" applyFill="1" applyBorder="1"/>
    <xf numFmtId="0" fontId="0" fillId="34" borderId="21" xfId="0" applyFill="1" applyBorder="1"/>
    <xf numFmtId="0" fontId="0" fillId="34" borderId="17" xfId="0" applyFill="1" applyBorder="1"/>
    <xf numFmtId="2" fontId="0" fillId="34" borderId="17" xfId="0" applyNumberFormat="1" applyFill="1" applyBorder="1"/>
    <xf numFmtId="169" fontId="67" fillId="34" borderId="2" xfId="0" applyNumberFormat="1" applyFont="1" applyFill="1" applyBorder="1"/>
    <xf numFmtId="0" fontId="0" fillId="35" borderId="54" xfId="0" applyFill="1" applyBorder="1"/>
    <xf numFmtId="0" fontId="85" fillId="35" borderId="57" xfId="0" applyFont="1" applyFill="1" applyBorder="1"/>
    <xf numFmtId="0" fontId="0" fillId="35" borderId="57" xfId="0" applyFill="1" applyBorder="1"/>
    <xf numFmtId="0" fontId="0" fillId="35" borderId="58" xfId="0" applyFill="1" applyBorder="1"/>
    <xf numFmtId="0" fontId="0" fillId="35" borderId="41" xfId="0" applyFill="1" applyBorder="1"/>
    <xf numFmtId="0" fontId="0" fillId="35" borderId="0" xfId="0" applyFill="1"/>
    <xf numFmtId="0" fontId="84" fillId="35" borderId="0" xfId="0" applyFont="1" applyFill="1"/>
    <xf numFmtId="0" fontId="0" fillId="35" borderId="7" xfId="0" applyFill="1" applyBorder="1"/>
    <xf numFmtId="0" fontId="67" fillId="35" borderId="17" xfId="0" applyFont="1" applyFill="1" applyBorder="1" applyAlignment="1">
      <alignment horizontal="center"/>
    </xf>
    <xf numFmtId="0" fontId="67" fillId="35" borderId="21" xfId="0" applyFont="1" applyFill="1" applyBorder="1" applyAlignment="1">
      <alignment horizontal="center"/>
    </xf>
    <xf numFmtId="17" fontId="67" fillId="35" borderId="17" xfId="0" applyNumberFormat="1" applyFont="1" applyFill="1" applyBorder="1" applyAlignment="1">
      <alignment horizontal="center"/>
    </xf>
    <xf numFmtId="0" fontId="0" fillId="35" borderId="2" xfId="0" applyFill="1" applyBorder="1"/>
    <xf numFmtId="1" fontId="0" fillId="35" borderId="17" xfId="0" applyNumberFormat="1" applyFill="1" applyBorder="1"/>
    <xf numFmtId="0" fontId="69" fillId="35" borderId="21" xfId="0" applyFont="1" applyFill="1" applyBorder="1"/>
    <xf numFmtId="0" fontId="69" fillId="35" borderId="17" xfId="0" applyFont="1" applyFill="1" applyBorder="1"/>
    <xf numFmtId="0" fontId="0" fillId="35" borderId="21" xfId="0" applyFill="1" applyBorder="1"/>
    <xf numFmtId="0" fontId="0" fillId="35" borderId="17" xfId="0" applyFill="1" applyBorder="1"/>
    <xf numFmtId="2" fontId="0" fillId="35" borderId="17" xfId="0" applyNumberFormat="1" applyFill="1" applyBorder="1"/>
    <xf numFmtId="169" fontId="67" fillId="35" borderId="0" xfId="0" applyNumberFormat="1" applyFont="1" applyFill="1"/>
    <xf numFmtId="0" fontId="0" fillId="36" borderId="54" xfId="0" applyFill="1" applyBorder="1"/>
    <xf numFmtId="17" fontId="67" fillId="36" borderId="17" xfId="0" applyNumberFormat="1" applyFont="1" applyFill="1" applyBorder="1" applyAlignment="1">
      <alignment horizontal="center"/>
    </xf>
    <xf numFmtId="0" fontId="0" fillId="34" borderId="57" xfId="0" applyFill="1" applyBorder="1"/>
    <xf numFmtId="0" fontId="67" fillId="34" borderId="21" xfId="0" applyFont="1" applyFill="1" applyBorder="1" applyAlignment="1">
      <alignment horizontal="center"/>
    </xf>
    <xf numFmtId="0" fontId="69" fillId="34" borderId="21" xfId="0" applyFont="1" applyFill="1" applyBorder="1"/>
    <xf numFmtId="169" fontId="69" fillId="34" borderId="2" xfId="0" applyNumberFormat="1" applyFont="1" applyFill="1" applyBorder="1"/>
    <xf numFmtId="1" fontId="0" fillId="34" borderId="42" xfId="0" applyNumberFormat="1" applyFill="1" applyBorder="1"/>
    <xf numFmtId="0" fontId="0" fillId="34" borderId="48" xfId="0" applyFill="1" applyBorder="1"/>
    <xf numFmtId="0" fontId="0" fillId="34" borderId="49" xfId="0" applyFill="1" applyBorder="1"/>
    <xf numFmtId="169" fontId="67" fillId="34" borderId="50" xfId="0" applyNumberFormat="1" applyFont="1" applyFill="1" applyBorder="1"/>
    <xf numFmtId="0" fontId="67" fillId="36" borderId="42" xfId="0" applyFont="1" applyFill="1" applyBorder="1" applyAlignment="1">
      <alignment horizontal="center"/>
    </xf>
    <xf numFmtId="0" fontId="67" fillId="36" borderId="58" xfId="0" applyFont="1" applyFill="1" applyBorder="1" applyAlignment="1">
      <alignment horizontal="center"/>
    </xf>
    <xf numFmtId="169" fontId="67" fillId="36" borderId="42" xfId="0" applyNumberFormat="1" applyFont="1" applyFill="1" applyBorder="1"/>
    <xf numFmtId="169" fontId="67" fillId="36" borderId="24" xfId="0" applyNumberFormat="1" applyFont="1" applyFill="1" applyBorder="1"/>
    <xf numFmtId="0" fontId="0" fillId="36" borderId="48" xfId="0" applyFill="1" applyBorder="1"/>
    <xf numFmtId="0" fontId="53" fillId="0" borderId="29" xfId="0" applyFont="1" applyBorder="1"/>
    <xf numFmtId="0" fontId="0" fillId="11" borderId="4" xfId="0" applyFill="1" applyBorder="1" applyAlignment="1">
      <alignment vertical="center"/>
    </xf>
    <xf numFmtId="0" fontId="142" fillId="0" borderId="0" xfId="24" applyFont="1"/>
    <xf numFmtId="17" fontId="58" fillId="3" borderId="43" xfId="0" applyNumberFormat="1" applyFont="1" applyFill="1" applyBorder="1" applyAlignment="1">
      <alignment horizontal="center"/>
    </xf>
    <xf numFmtId="9" fontId="0" fillId="0" borderId="0" xfId="21" applyFont="1" applyFill="1" applyBorder="1"/>
    <xf numFmtId="170" fontId="0" fillId="0" borderId="2" xfId="0" applyNumberFormat="1" applyBorder="1" applyAlignment="1">
      <alignment horizontal="right"/>
    </xf>
    <xf numFmtId="170" fontId="0" fillId="0" borderId="42" xfId="0" applyNumberFormat="1" applyBorder="1" applyAlignment="1">
      <alignment horizontal="right"/>
    </xf>
    <xf numFmtId="3" fontId="0" fillId="27" borderId="17" xfId="0" applyNumberFormat="1" applyFill="1" applyBorder="1" applyAlignment="1">
      <alignment vertical="center"/>
    </xf>
    <xf numFmtId="173" fontId="0" fillId="0" borderId="17" xfId="1" applyNumberFormat="1" applyFont="1" applyBorder="1"/>
    <xf numFmtId="170" fontId="53" fillId="0" borderId="42" xfId="0" applyNumberFormat="1" applyFont="1" applyBorder="1" applyAlignment="1">
      <alignment horizontal="right"/>
    </xf>
    <xf numFmtId="169" fontId="0" fillId="0" borderId="42" xfId="0" applyNumberFormat="1" applyBorder="1" applyAlignment="1">
      <alignment horizontal="right"/>
    </xf>
    <xf numFmtId="169" fontId="111" fillId="0" borderId="42" xfId="0" applyNumberFormat="1" applyFont="1" applyBorder="1" applyAlignment="1">
      <alignment horizontal="right"/>
    </xf>
    <xf numFmtId="173" fontId="0" fillId="0" borderId="17" xfId="0" applyNumberFormat="1" applyBorder="1"/>
    <xf numFmtId="165" fontId="55" fillId="0" borderId="2" xfId="1" applyFont="1" applyFill="1" applyBorder="1" applyAlignment="1">
      <alignment horizontal="center" vertical="center"/>
    </xf>
    <xf numFmtId="165" fontId="55" fillId="12" borderId="31" xfId="1" applyFont="1" applyFill="1" applyBorder="1" applyAlignment="1">
      <alignment horizontal="center" vertical="center"/>
    </xf>
    <xf numFmtId="165" fontId="55" fillId="0" borderId="6" xfId="1" applyFont="1" applyFill="1" applyBorder="1" applyAlignment="1">
      <alignment horizontal="center" vertical="center"/>
    </xf>
    <xf numFmtId="165" fontId="55" fillId="12" borderId="32" xfId="1" applyFont="1" applyFill="1" applyBorder="1" applyAlignment="1">
      <alignment horizontal="center" vertical="center"/>
    </xf>
    <xf numFmtId="0" fontId="55" fillId="0" borderId="80" xfId="0" applyFont="1" applyBorder="1" applyAlignment="1">
      <alignment horizontal="center" wrapText="1"/>
    </xf>
    <xf numFmtId="168" fontId="53" fillId="0" borderId="0" xfId="0" applyNumberFormat="1" applyFont="1"/>
    <xf numFmtId="2" fontId="57" fillId="0" borderId="0" xfId="13" applyNumberFormat="1"/>
    <xf numFmtId="0" fontId="81" fillId="0" borderId="1" xfId="0" applyFont="1" applyBorder="1" applyAlignment="1">
      <alignment horizontal="left" indent="3"/>
    </xf>
    <xf numFmtId="0" fontId="81" fillId="0" borderId="0" xfId="0" applyFont="1" applyAlignment="1">
      <alignment horizontal="left" indent="2"/>
    </xf>
    <xf numFmtId="0" fontId="55" fillId="0" borderId="17" xfId="0" applyFont="1" applyBorder="1"/>
    <xf numFmtId="0" fontId="81" fillId="0" borderId="17" xfId="0" applyFont="1" applyBorder="1" applyAlignment="1">
      <alignment horizontal="left" indent="2"/>
    </xf>
    <xf numFmtId="0" fontId="80" fillId="0" borderId="17" xfId="0" applyFont="1" applyBorder="1" applyAlignment="1">
      <alignment horizontal="left" indent="2"/>
    </xf>
    <xf numFmtId="43" fontId="0" fillId="0" borderId="17" xfId="0" applyNumberFormat="1" applyBorder="1"/>
    <xf numFmtId="0" fontId="0" fillId="17" borderId="17" xfId="0" applyFill="1" applyBorder="1"/>
    <xf numFmtId="0" fontId="91" fillId="0" borderId="17" xfId="0" applyFont="1" applyBorder="1"/>
    <xf numFmtId="0" fontId="55" fillId="17" borderId="17" xfId="0" applyFont="1" applyFill="1" applyBorder="1"/>
    <xf numFmtId="0" fontId="54" fillId="0" borderId="1" xfId="0" applyFont="1" applyBorder="1" applyAlignment="1">
      <alignment horizontal="left" indent="4"/>
    </xf>
    <xf numFmtId="0" fontId="58" fillId="3" borderId="60" xfId="0" applyFont="1" applyFill="1" applyBorder="1" applyAlignment="1">
      <alignment horizontal="center"/>
    </xf>
    <xf numFmtId="0" fontId="0" fillId="0" borderId="61" xfId="0" applyBorder="1" applyAlignment="1">
      <alignment horizontal="center"/>
    </xf>
    <xf numFmtId="17" fontId="58" fillId="3" borderId="28" xfId="0" applyNumberFormat="1" applyFont="1" applyFill="1" applyBorder="1" applyAlignment="1">
      <alignment horizontal="center"/>
    </xf>
    <xf numFmtId="3" fontId="111" fillId="0" borderId="1" xfId="0" applyNumberFormat="1" applyFont="1" applyBorder="1" applyAlignment="1">
      <alignment horizontal="center"/>
    </xf>
    <xf numFmtId="1" fontId="0" fillId="0" borderId="8" xfId="0" applyNumberFormat="1" applyBorder="1" applyAlignment="1">
      <alignment horizontal="center" vertical="center"/>
    </xf>
    <xf numFmtId="3" fontId="0" fillId="2" borderId="27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17" fontId="58" fillId="3" borderId="80" xfId="0" applyNumberFormat="1" applyFont="1" applyFill="1" applyBorder="1" applyAlignment="1">
      <alignment horizontal="center"/>
    </xf>
    <xf numFmtId="1" fontId="0" fillId="0" borderId="86" xfId="0" applyNumberFormat="1" applyBorder="1" applyAlignment="1">
      <alignment horizontal="center" vertical="center"/>
    </xf>
    <xf numFmtId="165" fontId="0" fillId="0" borderId="17" xfId="1" applyFont="1" applyBorder="1" applyAlignment="1">
      <alignment horizontal="right"/>
    </xf>
    <xf numFmtId="173" fontId="0" fillId="0" borderId="0" xfId="4" applyNumberFormat="1" applyFont="1" applyFill="1" applyBorder="1" applyAlignment="1">
      <alignment horizontal="center"/>
    </xf>
    <xf numFmtId="173" fontId="0" fillId="0" borderId="59" xfId="0" applyNumberFormat="1" applyBorder="1"/>
    <xf numFmtId="0" fontId="143" fillId="0" borderId="0" xfId="0" applyFont="1" applyAlignment="1">
      <alignment horizontal="justify" vertical="center"/>
    </xf>
    <xf numFmtId="169" fontId="53" fillId="0" borderId="0" xfId="0" applyNumberFormat="1" applyFont="1"/>
    <xf numFmtId="0" fontId="53" fillId="0" borderId="1" xfId="0" applyFont="1" applyBorder="1" applyAlignment="1">
      <alignment horizontal="right"/>
    </xf>
    <xf numFmtId="4" fontId="53" fillId="0" borderId="2" xfId="0" applyNumberFormat="1" applyFont="1" applyBorder="1" applyAlignment="1">
      <alignment horizontal="right"/>
    </xf>
    <xf numFmtId="4" fontId="53" fillId="0" borderId="3" xfId="0" applyNumberFormat="1" applyFont="1" applyBorder="1" applyAlignment="1">
      <alignment horizontal="right"/>
    </xf>
    <xf numFmtId="4" fontId="55" fillId="0" borderId="6" xfId="0" applyNumberFormat="1" applyFont="1" applyBorder="1" applyAlignment="1">
      <alignment horizontal="right"/>
    </xf>
    <xf numFmtId="4" fontId="55" fillId="0" borderId="13" xfId="0" applyNumberFormat="1" applyFont="1" applyBorder="1" applyAlignment="1">
      <alignment horizontal="right"/>
    </xf>
    <xf numFmtId="3" fontId="111" fillId="0" borderId="2" xfId="0" applyNumberFormat="1" applyFont="1" applyBorder="1" applyAlignment="1">
      <alignment horizontal="center"/>
    </xf>
    <xf numFmtId="3" fontId="111" fillId="0" borderId="27" xfId="0" applyNumberFormat="1" applyFont="1" applyBorder="1" applyAlignment="1">
      <alignment horizontal="center"/>
    </xf>
    <xf numFmtId="0" fontId="146" fillId="0" borderId="0" xfId="0" applyFont="1"/>
    <xf numFmtId="0" fontId="82" fillId="0" borderId="0" xfId="0" applyFont="1"/>
    <xf numFmtId="0" fontId="55" fillId="0" borderId="17" xfId="0" applyFont="1" applyBorder="1" applyAlignment="1">
      <alignment horizontal="left" vertical="center" wrapText="1"/>
    </xf>
    <xf numFmtId="0" fontId="55" fillId="0" borderId="17" xfId="0" applyFont="1" applyBorder="1" applyAlignment="1">
      <alignment horizontal="center" vertical="center"/>
    </xf>
    <xf numFmtId="170" fontId="55" fillId="0" borderId="17" xfId="0" applyNumberFormat="1" applyFont="1" applyBorder="1" applyAlignment="1">
      <alignment horizontal="center" vertical="center"/>
    </xf>
    <xf numFmtId="4" fontId="55" fillId="0" borderId="17" xfId="0" applyNumberFormat="1" applyFont="1" applyBorder="1" applyAlignment="1">
      <alignment horizontal="center" vertical="center"/>
    </xf>
    <xf numFmtId="0" fontId="144" fillId="0" borderId="17" xfId="0" applyFont="1" applyBorder="1" applyAlignment="1">
      <alignment vertical="center"/>
    </xf>
    <xf numFmtId="170" fontId="144" fillId="0" borderId="17" xfId="0" applyNumberFormat="1" applyFont="1" applyBorder="1" applyAlignment="1">
      <alignment horizontal="right" vertical="center"/>
    </xf>
    <xf numFmtId="2" fontId="144" fillId="0" borderId="17" xfId="0" applyNumberFormat="1" applyFont="1" applyBorder="1" applyAlignment="1">
      <alignment horizontal="right" vertical="center"/>
    </xf>
    <xf numFmtId="0" fontId="145" fillId="0" borderId="17" xfId="0" applyFont="1" applyBorder="1" applyAlignment="1">
      <alignment horizontal="justify" vertical="center"/>
    </xf>
    <xf numFmtId="0" fontId="145" fillId="0" borderId="17" xfId="0" applyFont="1" applyBorder="1" applyAlignment="1">
      <alignment vertical="center"/>
    </xf>
    <xf numFmtId="0" fontId="144" fillId="0" borderId="17" xfId="0" applyFont="1" applyBorder="1" applyAlignment="1">
      <alignment horizontal="justify" vertical="center"/>
    </xf>
    <xf numFmtId="2" fontId="53" fillId="0" borderId="17" xfId="0" applyNumberFormat="1" applyFont="1" applyBorder="1"/>
    <xf numFmtId="165" fontId="0" fillId="0" borderId="0" xfId="0" applyNumberFormat="1" applyAlignment="1">
      <alignment horizontal="right"/>
    </xf>
    <xf numFmtId="0" fontId="44" fillId="33" borderId="17" xfId="14" applyFont="1" applyFill="1" applyBorder="1"/>
    <xf numFmtId="0" fontId="90" fillId="33" borderId="17" xfId="14" applyFill="1" applyBorder="1"/>
    <xf numFmtId="43" fontId="90" fillId="0" borderId="0" xfId="14" applyNumberFormat="1"/>
    <xf numFmtId="173" fontId="93" fillId="11" borderId="0" xfId="1" applyNumberFormat="1" applyFont="1" applyFill="1" applyBorder="1" applyAlignment="1">
      <alignment horizontal="center"/>
    </xf>
    <xf numFmtId="1" fontId="0" fillId="0" borderId="17" xfId="0" applyNumberFormat="1" applyBorder="1"/>
    <xf numFmtId="3" fontId="0" fillId="10" borderId="23" xfId="0" applyNumberFormat="1" applyFill="1" applyBorder="1"/>
    <xf numFmtId="173" fontId="0" fillId="10" borderId="52" xfId="0" applyNumberFormat="1" applyFill="1" applyBorder="1" applyAlignment="1">
      <alignment vertical="center"/>
    </xf>
    <xf numFmtId="165" fontId="53" fillId="0" borderId="0" xfId="0" applyNumberFormat="1" applyFont="1"/>
    <xf numFmtId="2" fontId="53" fillId="0" borderId="0" xfId="24" applyNumberFormat="1"/>
    <xf numFmtId="171" fontId="0" fillId="0" borderId="0" xfId="0" applyNumberFormat="1"/>
    <xf numFmtId="0" fontId="58" fillId="3" borderId="17" xfId="0" applyFont="1" applyFill="1" applyBorder="1"/>
    <xf numFmtId="0" fontId="58" fillId="3" borderId="17" xfId="0" applyFont="1" applyFill="1" applyBorder="1" applyAlignment="1">
      <alignment horizontal="center"/>
    </xf>
    <xf numFmtId="0" fontId="0" fillId="0" borderId="24" xfId="0" applyBorder="1" applyAlignment="1">
      <alignment wrapText="1"/>
    </xf>
    <xf numFmtId="0" fontId="0" fillId="0" borderId="24" xfId="0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0" fontId="58" fillId="3" borderId="17" xfId="0" applyFont="1" applyFill="1" applyBorder="1" applyAlignment="1">
      <alignment horizontal="left"/>
    </xf>
    <xf numFmtId="0" fontId="55" fillId="0" borderId="2" xfId="0" applyFont="1" applyBorder="1" applyAlignment="1">
      <alignment horizontal="left"/>
    </xf>
    <xf numFmtId="0" fontId="55" fillId="22" borderId="2" xfId="0" applyFont="1" applyFill="1" applyBorder="1" applyAlignment="1">
      <alignment horizontal="left"/>
    </xf>
    <xf numFmtId="0" fontId="55" fillId="0" borderId="17" xfId="0" applyFont="1" applyBorder="1" applyAlignment="1">
      <alignment horizontal="left"/>
    </xf>
    <xf numFmtId="17" fontId="58" fillId="3" borderId="17" xfId="0" applyNumberFormat="1" applyFont="1" applyFill="1" applyBorder="1" applyAlignment="1">
      <alignment horizontal="center"/>
    </xf>
    <xf numFmtId="10" fontId="0" fillId="0" borderId="0" xfId="0" applyNumberFormat="1"/>
    <xf numFmtId="173" fontId="111" fillId="0" borderId="41" xfId="1" applyNumberFormat="1" applyFont="1" applyFill="1" applyBorder="1" applyAlignment="1">
      <alignment horizontal="center"/>
    </xf>
    <xf numFmtId="0" fontId="109" fillId="0" borderId="0" xfId="24" applyFont="1"/>
    <xf numFmtId="0" fontId="0" fillId="22" borderId="42" xfId="0" applyFill="1" applyBorder="1" applyAlignment="1">
      <alignment horizontal="center"/>
    </xf>
    <xf numFmtId="169" fontId="0" fillId="22" borderId="42" xfId="0" applyNumberFormat="1" applyFill="1" applyBorder="1"/>
    <xf numFmtId="2" fontId="0" fillId="22" borderId="24" xfId="0" applyNumberFormat="1" applyFill="1" applyBorder="1"/>
    <xf numFmtId="0" fontId="67" fillId="37" borderId="17" xfId="0" applyFont="1" applyFill="1" applyBorder="1" applyAlignment="1">
      <alignment horizontal="center"/>
    </xf>
    <xf numFmtId="173" fontId="86" fillId="37" borderId="17" xfId="1" applyNumberFormat="1" applyFont="1" applyFill="1" applyBorder="1" applyAlignment="1">
      <alignment horizontal="center"/>
    </xf>
    <xf numFmtId="173" fontId="0" fillId="0" borderId="17" xfId="1" applyNumberFormat="1" applyFont="1" applyFill="1" applyBorder="1" applyAlignment="1">
      <alignment horizontal="center"/>
    </xf>
    <xf numFmtId="173" fontId="111" fillId="0" borderId="17" xfId="1" applyNumberFormat="1" applyFont="1" applyFill="1" applyBorder="1" applyAlignment="1">
      <alignment horizontal="center"/>
    </xf>
    <xf numFmtId="173" fontId="111" fillId="11" borderId="17" xfId="1" applyNumberFormat="1" applyFont="1" applyFill="1" applyBorder="1" applyAlignment="1">
      <alignment horizontal="center"/>
    </xf>
    <xf numFmtId="174" fontId="53" fillId="0" borderId="17" xfId="1" applyNumberFormat="1" applyFont="1" applyFill="1" applyBorder="1" applyAlignment="1">
      <alignment horizontal="center"/>
    </xf>
    <xf numFmtId="173" fontId="0" fillId="11" borderId="17" xfId="1" applyNumberFormat="1" applyFont="1" applyFill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73" fontId="0" fillId="0" borderId="24" xfId="1" applyNumberFormat="1" applyFont="1" applyFill="1" applyBorder="1" applyAlignment="1">
      <alignment horizontal="center"/>
    </xf>
    <xf numFmtId="0" fontId="69" fillId="7" borderId="17" xfId="0" applyFont="1" applyFill="1" applyBorder="1"/>
    <xf numFmtId="0" fontId="68" fillId="0" borderId="17" xfId="0" applyFont="1" applyBorder="1" applyAlignment="1">
      <alignment horizontal="center"/>
    </xf>
    <xf numFmtId="0" fontId="81" fillId="0" borderId="17" xfId="0" applyFont="1" applyBorder="1" applyAlignment="1">
      <alignment horizontal="left" indent="3"/>
    </xf>
    <xf numFmtId="0" fontId="67" fillId="6" borderId="17" xfId="0" applyFont="1" applyFill="1" applyBorder="1" applyAlignment="1">
      <alignment horizontal="center"/>
    </xf>
    <xf numFmtId="174" fontId="100" fillId="11" borderId="17" xfId="1" applyNumberFormat="1" applyFont="1" applyFill="1" applyBorder="1" applyAlignment="1">
      <alignment horizontal="center"/>
    </xf>
    <xf numFmtId="174" fontId="100" fillId="0" borderId="17" xfId="1" applyNumberFormat="1" applyFont="1" applyFill="1" applyBorder="1" applyAlignment="1">
      <alignment horizontal="center"/>
    </xf>
    <xf numFmtId="174" fontId="53" fillId="11" borderId="17" xfId="1" applyNumberFormat="1" applyFont="1" applyFill="1" applyBorder="1" applyAlignment="1">
      <alignment horizontal="right"/>
    </xf>
    <xf numFmtId="174" fontId="0" fillId="11" borderId="17" xfId="1" applyNumberFormat="1" applyFont="1" applyFill="1" applyBorder="1" applyAlignment="1">
      <alignment horizontal="center"/>
    </xf>
    <xf numFmtId="174" fontId="0" fillId="0" borderId="17" xfId="1" applyNumberFormat="1" applyFont="1" applyFill="1" applyBorder="1" applyAlignment="1">
      <alignment horizontal="center"/>
    </xf>
    <xf numFmtId="165" fontId="0" fillId="0" borderId="50" xfId="1" applyFont="1" applyFill="1" applyBorder="1"/>
    <xf numFmtId="165" fontId="0" fillId="0" borderId="24" xfId="1" applyFont="1" applyFill="1" applyBorder="1"/>
    <xf numFmtId="165" fontId="0" fillId="0" borderId="50" xfId="1" applyFont="1" applyFill="1" applyBorder="1" applyAlignment="1">
      <alignment horizontal="center"/>
    </xf>
    <xf numFmtId="165" fontId="0" fillId="0" borderId="24" xfId="1" applyFont="1" applyFill="1" applyBorder="1" applyAlignment="1">
      <alignment horizontal="center"/>
    </xf>
    <xf numFmtId="173" fontId="0" fillId="11" borderId="17" xfId="4" applyNumberFormat="1" applyFont="1" applyFill="1" applyBorder="1" applyAlignment="1">
      <alignment horizontal="center"/>
    </xf>
    <xf numFmtId="165" fontId="100" fillId="0" borderId="17" xfId="0" applyNumberFormat="1" applyFont="1" applyBorder="1" applyAlignment="1">
      <alignment horizontal="center"/>
    </xf>
    <xf numFmtId="0" fontId="53" fillId="21" borderId="17" xfId="0" applyFont="1" applyFill="1" applyBorder="1"/>
    <xf numFmtId="173" fontId="0" fillId="21" borderId="17" xfId="1" applyNumberFormat="1" applyFont="1" applyFill="1" applyBorder="1" applyAlignment="1">
      <alignment horizontal="center"/>
    </xf>
    <xf numFmtId="0" fontId="0" fillId="21" borderId="17" xfId="0" applyFill="1" applyBorder="1" applyAlignment="1">
      <alignment horizontal="center"/>
    </xf>
    <xf numFmtId="0" fontId="57" fillId="21" borderId="17" xfId="0" applyFont="1" applyFill="1" applyBorder="1"/>
    <xf numFmtId="0" fontId="0" fillId="21" borderId="17" xfId="0" applyFill="1" applyBorder="1"/>
    <xf numFmtId="165" fontId="100" fillId="21" borderId="17" xfId="0" applyNumberFormat="1" applyFont="1" applyFill="1" applyBorder="1" applyAlignment="1">
      <alignment horizontal="center"/>
    </xf>
    <xf numFmtId="165" fontId="0" fillId="21" borderId="17" xfId="1" applyFont="1" applyFill="1" applyBorder="1" applyAlignment="1">
      <alignment horizontal="center"/>
    </xf>
    <xf numFmtId="0" fontId="0" fillId="0" borderId="17" xfId="0" quotePrefix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0" fontId="82" fillId="0" borderId="0" xfId="0" applyFont="1" applyAlignment="1">
      <alignment vertical="center" wrapText="1"/>
    </xf>
    <xf numFmtId="2" fontId="55" fillId="21" borderId="17" xfId="0" applyNumberFormat="1" applyFont="1" applyFill="1" applyBorder="1" applyAlignment="1">
      <alignment horizontal="center"/>
    </xf>
    <xf numFmtId="0" fontId="77" fillId="0" borderId="17" xfId="0" applyFont="1" applyBorder="1"/>
    <xf numFmtId="0" fontId="77" fillId="0" borderId="17" xfId="0" applyFont="1" applyBorder="1" applyAlignment="1">
      <alignment horizontal="center"/>
    </xf>
    <xf numFmtId="174" fontId="111" fillId="11" borderId="17" xfId="1" applyNumberFormat="1" applyFont="1" applyFill="1" applyBorder="1" applyAlignment="1">
      <alignment horizontal="center"/>
    </xf>
    <xf numFmtId="165" fontId="77" fillId="0" borderId="17" xfId="1" applyFont="1" applyFill="1" applyBorder="1" applyAlignment="1">
      <alignment horizontal="center"/>
    </xf>
    <xf numFmtId="165" fontId="77" fillId="0" borderId="17" xfId="0" applyNumberFormat="1" applyFont="1" applyBorder="1" applyAlignment="1">
      <alignment horizontal="center"/>
    </xf>
    <xf numFmtId="43" fontId="0" fillId="0" borderId="17" xfId="1" applyNumberFormat="1" applyFont="1" applyFill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0" fontId="69" fillId="0" borderId="17" xfId="0" applyFont="1" applyBorder="1" applyAlignment="1">
      <alignment horizontal="center"/>
    </xf>
    <xf numFmtId="173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left" indent="2"/>
    </xf>
    <xf numFmtId="174" fontId="77" fillId="0" borderId="17" xfId="1" applyNumberFormat="1" applyFont="1" applyFill="1" applyBorder="1" applyAlignment="1">
      <alignment horizontal="center"/>
    </xf>
    <xf numFmtId="173" fontId="53" fillId="11" borderId="17" xfId="1" applyNumberFormat="1" applyFont="1" applyFill="1" applyBorder="1" applyAlignment="1">
      <alignment horizontal="center"/>
    </xf>
    <xf numFmtId="173" fontId="0" fillId="0" borderId="17" xfId="5" applyNumberFormat="1" applyFont="1" applyFill="1" applyBorder="1" applyAlignment="1">
      <alignment horizontal="center"/>
    </xf>
    <xf numFmtId="173" fontId="0" fillId="0" borderId="17" xfId="2" applyNumberFormat="1" applyFont="1" applyFill="1" applyBorder="1" applyAlignment="1">
      <alignment horizontal="center"/>
    </xf>
    <xf numFmtId="175" fontId="53" fillId="0" borderId="17" xfId="0" applyNumberFormat="1" applyFont="1" applyBorder="1" applyAlignment="1">
      <alignment horizontal="center"/>
    </xf>
    <xf numFmtId="173" fontId="0" fillId="0" borderId="17" xfId="7" applyNumberFormat="1" applyFont="1" applyFill="1" applyBorder="1" applyAlignment="1">
      <alignment horizontal="center"/>
    </xf>
    <xf numFmtId="173" fontId="53" fillId="0" borderId="17" xfId="1" applyNumberFormat="1" applyFont="1" applyFill="1" applyBorder="1" applyAlignment="1">
      <alignment horizontal="center"/>
    </xf>
    <xf numFmtId="173" fontId="0" fillId="11" borderId="17" xfId="0" applyNumberFormat="1" applyFill="1" applyBorder="1" applyAlignment="1">
      <alignment horizontal="center"/>
    </xf>
    <xf numFmtId="173" fontId="0" fillId="0" borderId="17" xfId="9" applyNumberFormat="1" applyFont="1" applyFill="1" applyBorder="1" applyAlignment="1">
      <alignment horizontal="center"/>
    </xf>
    <xf numFmtId="173" fontId="86" fillId="0" borderId="17" xfId="1" applyNumberFormat="1" applyFont="1" applyFill="1" applyBorder="1" applyAlignment="1">
      <alignment horizontal="center"/>
    </xf>
    <xf numFmtId="2" fontId="82" fillId="0" borderId="0" xfId="0" applyNumberFormat="1" applyFont="1" applyAlignment="1">
      <alignment vertical="center" wrapText="1"/>
    </xf>
    <xf numFmtId="173" fontId="111" fillId="0" borderId="17" xfId="1" applyNumberFormat="1" applyFont="1" applyFill="1" applyBorder="1" applyAlignment="1"/>
    <xf numFmtId="165" fontId="100" fillId="0" borderId="17" xfId="1" applyFont="1" applyFill="1" applyBorder="1" applyAlignment="1"/>
    <xf numFmtId="174" fontId="77" fillId="21" borderId="17" xfId="1" applyNumberFormat="1" applyFont="1" applyFill="1" applyBorder="1" applyAlignment="1"/>
    <xf numFmtId="174" fontId="77" fillId="0" borderId="17" xfId="1" applyNumberFormat="1" applyFont="1" applyFill="1" applyBorder="1" applyAlignment="1"/>
    <xf numFmtId="173" fontId="70" fillId="0" borderId="17" xfId="1" applyNumberFormat="1" applyFont="1" applyFill="1" applyBorder="1" applyAlignment="1">
      <alignment horizontal="center"/>
    </xf>
    <xf numFmtId="173" fontId="70" fillId="11" borderId="17" xfId="1" applyNumberFormat="1" applyFont="1" applyFill="1" applyBorder="1" applyAlignment="1">
      <alignment horizontal="center"/>
    </xf>
    <xf numFmtId="165" fontId="70" fillId="0" borderId="17" xfId="1" applyFont="1" applyFill="1" applyBorder="1" applyAlignment="1">
      <alignment horizontal="center"/>
    </xf>
    <xf numFmtId="174" fontId="70" fillId="0" borderId="17" xfId="1" applyNumberFormat="1" applyFont="1" applyFill="1" applyBorder="1" applyAlignment="1">
      <alignment horizontal="center"/>
    </xf>
    <xf numFmtId="3" fontId="70" fillId="0" borderId="17" xfId="1" applyNumberFormat="1" applyFont="1" applyFill="1" applyBorder="1" applyAlignment="1">
      <alignment horizontal="center"/>
    </xf>
    <xf numFmtId="173" fontId="57" fillId="0" borderId="17" xfId="1" applyNumberFormat="1" applyFont="1" applyFill="1" applyBorder="1" applyAlignment="1">
      <alignment horizontal="center"/>
    </xf>
    <xf numFmtId="4" fontId="57" fillId="0" borderId="17" xfId="1" applyNumberFormat="1" applyFont="1" applyFill="1" applyBorder="1" applyAlignment="1">
      <alignment horizontal="center"/>
    </xf>
    <xf numFmtId="173" fontId="93" fillId="0" borderId="17" xfId="1" applyNumberFormat="1" applyFont="1" applyFill="1" applyBorder="1" applyAlignment="1">
      <alignment horizontal="center"/>
    </xf>
    <xf numFmtId="165" fontId="100" fillId="0" borderId="17" xfId="1" applyFont="1" applyFill="1" applyBorder="1" applyAlignment="1">
      <alignment horizontal="center"/>
    </xf>
    <xf numFmtId="173" fontId="81" fillId="0" borderId="17" xfId="1" applyNumberFormat="1" applyFont="1" applyFill="1" applyBorder="1" applyAlignment="1">
      <alignment horizontal="center"/>
    </xf>
    <xf numFmtId="169" fontId="0" fillId="0" borderId="42" xfId="0" applyNumberFormat="1" applyBorder="1"/>
    <xf numFmtId="2" fontId="0" fillId="0" borderId="24" xfId="0" applyNumberFormat="1" applyBorder="1"/>
    <xf numFmtId="0" fontId="58" fillId="3" borderId="81" xfId="0" applyFont="1" applyFill="1" applyBorder="1" applyAlignment="1">
      <alignment horizontal="center" vertical="center" wrapText="1"/>
    </xf>
    <xf numFmtId="165" fontId="55" fillId="0" borderId="41" xfId="1" applyFont="1" applyFill="1" applyBorder="1" applyAlignment="1">
      <alignment horizontal="center" vertical="center"/>
    </xf>
    <xf numFmtId="165" fontId="55" fillId="0" borderId="61" xfId="1" applyFont="1" applyFill="1" applyBorder="1" applyAlignment="1">
      <alignment horizontal="center" vertical="center"/>
    </xf>
    <xf numFmtId="0" fontId="58" fillId="3" borderId="0" xfId="0" applyFont="1" applyFill="1" applyAlignment="1">
      <alignment horizontal="center" vertical="center" wrapText="1"/>
    </xf>
    <xf numFmtId="165" fontId="55" fillId="12" borderId="0" xfId="1" applyFont="1" applyFill="1" applyBorder="1" applyAlignment="1">
      <alignment horizontal="center" vertical="center"/>
    </xf>
    <xf numFmtId="0" fontId="55" fillId="0" borderId="0" xfId="0" applyFont="1" applyAlignment="1">
      <alignment vertical="center" wrapText="1"/>
    </xf>
    <xf numFmtId="1" fontId="0" fillId="12" borderId="0" xfId="0" applyNumberFormat="1" applyFill="1" applyAlignment="1">
      <alignment horizontal="center"/>
    </xf>
    <xf numFmtId="0" fontId="57" fillId="11" borderId="0" xfId="0" applyFont="1" applyFill="1" applyAlignment="1">
      <alignment horizontal="center" vertical="center"/>
    </xf>
    <xf numFmtId="165" fontId="55" fillId="0" borderId="0" xfId="1" applyFont="1" applyFill="1" applyBorder="1" applyAlignment="1">
      <alignment horizontal="center" vertical="center"/>
    </xf>
    <xf numFmtId="2" fontId="55" fillId="0" borderId="0" xfId="0" applyNumberFormat="1" applyFont="1"/>
    <xf numFmtId="10" fontId="0" fillId="0" borderId="0" xfId="21" applyNumberFormat="1" applyFont="1" applyBorder="1"/>
    <xf numFmtId="169" fontId="0" fillId="0" borderId="24" xfId="0" applyNumberFormat="1" applyBorder="1" applyAlignment="1">
      <alignment horizontal="right"/>
    </xf>
    <xf numFmtId="172" fontId="0" fillId="0" borderId="0" xfId="0" applyNumberFormat="1" applyAlignment="1">
      <alignment horizontal="center" vertical="center"/>
    </xf>
    <xf numFmtId="172" fontId="0" fillId="0" borderId="0" xfId="0" applyNumberFormat="1"/>
    <xf numFmtId="43" fontId="82" fillId="0" borderId="0" xfId="0" applyNumberFormat="1" applyFont="1" applyAlignment="1">
      <alignment vertical="center" wrapText="1"/>
    </xf>
    <xf numFmtId="173" fontId="82" fillId="0" borderId="0" xfId="0" applyNumberFormat="1" applyFont="1" applyAlignment="1">
      <alignment vertical="center" wrapText="1"/>
    </xf>
    <xf numFmtId="173" fontId="0" fillId="0" borderId="17" xfId="1" applyNumberFormat="1" applyFont="1" applyFill="1" applyBorder="1" applyAlignment="1">
      <alignment horizontal="right"/>
    </xf>
    <xf numFmtId="0" fontId="0" fillId="0" borderId="17" xfId="0" applyBorder="1" applyAlignment="1">
      <alignment horizontal="right"/>
    </xf>
    <xf numFmtId="173" fontId="111" fillId="0" borderId="17" xfId="1" applyNumberFormat="1" applyFont="1" applyFill="1" applyBorder="1" applyAlignment="1">
      <alignment horizontal="right"/>
    </xf>
    <xf numFmtId="173" fontId="0" fillId="11" borderId="17" xfId="4" applyNumberFormat="1" applyFont="1" applyFill="1" applyBorder="1" applyAlignment="1">
      <alignment horizontal="right"/>
    </xf>
    <xf numFmtId="174" fontId="0" fillId="11" borderId="17" xfId="1" applyNumberFormat="1" applyFont="1" applyFill="1" applyBorder="1" applyAlignment="1">
      <alignment horizontal="right"/>
    </xf>
    <xf numFmtId="174" fontId="100" fillId="0" borderId="17" xfId="1" applyNumberFormat="1" applyFont="1" applyFill="1" applyBorder="1" applyAlignment="1">
      <alignment horizontal="right"/>
    </xf>
    <xf numFmtId="165" fontId="100" fillId="0" borderId="17" xfId="0" applyNumberFormat="1" applyFont="1" applyBorder="1" applyAlignment="1">
      <alignment horizontal="right"/>
    </xf>
    <xf numFmtId="165" fontId="0" fillId="0" borderId="17" xfId="1" applyFont="1" applyFill="1" applyBorder="1" applyAlignment="1">
      <alignment horizontal="right"/>
    </xf>
    <xf numFmtId="173" fontId="0" fillId="21" borderId="17" xfId="1" applyNumberFormat="1" applyFont="1" applyFill="1" applyBorder="1" applyAlignment="1">
      <alignment horizontal="right"/>
    </xf>
    <xf numFmtId="0" fontId="0" fillId="21" borderId="17" xfId="0" applyFill="1" applyBorder="1" applyAlignment="1">
      <alignment horizontal="right"/>
    </xf>
    <xf numFmtId="165" fontId="100" fillId="21" borderId="17" xfId="0" applyNumberFormat="1" applyFont="1" applyFill="1" applyBorder="1" applyAlignment="1">
      <alignment horizontal="right"/>
    </xf>
    <xf numFmtId="165" fontId="0" fillId="21" borderId="17" xfId="1" applyFont="1" applyFill="1" applyBorder="1" applyAlignment="1">
      <alignment horizontal="right"/>
    </xf>
    <xf numFmtId="165" fontId="55" fillId="21" borderId="17" xfId="1" applyFont="1" applyFill="1" applyBorder="1" applyAlignment="1">
      <alignment horizontal="right"/>
    </xf>
    <xf numFmtId="173" fontId="0" fillId="11" borderId="17" xfId="1" applyNumberFormat="1" applyFont="1" applyFill="1" applyBorder="1" applyAlignment="1">
      <alignment horizontal="right"/>
    </xf>
    <xf numFmtId="174" fontId="0" fillId="0" borderId="17" xfId="1" applyNumberFormat="1" applyFont="1" applyFill="1" applyBorder="1" applyAlignment="1">
      <alignment horizontal="right"/>
    </xf>
    <xf numFmtId="0" fontId="0" fillId="0" borderId="17" xfId="0" quotePrefix="1" applyBorder="1" applyAlignment="1">
      <alignment horizontal="right"/>
    </xf>
    <xf numFmtId="167" fontId="0" fillId="0" borderId="17" xfId="0" applyNumberFormat="1" applyBorder="1" applyAlignment="1">
      <alignment horizontal="right"/>
    </xf>
    <xf numFmtId="173" fontId="53" fillId="11" borderId="17" xfId="1" applyNumberFormat="1" applyFont="1" applyFill="1" applyBorder="1" applyAlignment="1">
      <alignment horizontal="right"/>
    </xf>
    <xf numFmtId="1" fontId="0" fillId="0" borderId="17" xfId="0" applyNumberFormat="1" applyBorder="1" applyAlignment="1">
      <alignment horizontal="right"/>
    </xf>
    <xf numFmtId="165" fontId="0" fillId="12" borderId="17" xfId="1" applyFont="1" applyFill="1" applyBorder="1" applyAlignment="1">
      <alignment horizontal="right"/>
    </xf>
    <xf numFmtId="168" fontId="0" fillId="12" borderId="17" xfId="0" applyNumberFormat="1" applyFill="1" applyBorder="1" applyAlignment="1">
      <alignment horizontal="right" indent="1"/>
    </xf>
    <xf numFmtId="168" fontId="0" fillId="0" borderId="17" xfId="0" applyNumberFormat="1" applyBorder="1" applyAlignment="1">
      <alignment horizontal="right" indent="1"/>
    </xf>
    <xf numFmtId="2" fontId="0" fillId="0" borderId="17" xfId="0" applyNumberFormat="1" applyBorder="1" applyAlignment="1">
      <alignment horizontal="right" indent="1"/>
    </xf>
    <xf numFmtId="0" fontId="0" fillId="0" borderId="17" xfId="0" applyBorder="1" applyAlignment="1">
      <alignment horizontal="right" indent="1"/>
    </xf>
    <xf numFmtId="168" fontId="57" fillId="12" borderId="17" xfId="0" applyNumberFormat="1" applyFont="1" applyFill="1" applyBorder="1" applyAlignment="1">
      <alignment horizontal="right" indent="1"/>
    </xf>
    <xf numFmtId="4" fontId="53" fillId="12" borderId="14" xfId="0" applyNumberFormat="1" applyFont="1" applyFill="1" applyBorder="1" applyAlignment="1">
      <alignment horizontal="right"/>
    </xf>
    <xf numFmtId="4" fontId="53" fillId="12" borderId="81" xfId="0" applyNumberFormat="1" applyFont="1" applyFill="1" applyBorder="1" applyAlignment="1">
      <alignment horizontal="right"/>
    </xf>
    <xf numFmtId="4" fontId="53" fillId="12" borderId="15" xfId="0" applyNumberFormat="1" applyFont="1" applyFill="1" applyBorder="1" applyAlignment="1">
      <alignment horizontal="right"/>
    </xf>
    <xf numFmtId="4" fontId="53" fillId="0" borderId="2" xfId="0" quotePrefix="1" applyNumberFormat="1" applyFont="1" applyBorder="1" applyAlignment="1">
      <alignment horizontal="right"/>
    </xf>
    <xf numFmtId="4" fontId="53" fillId="0" borderId="41" xfId="0" quotePrefix="1" applyNumberFormat="1" applyFont="1" applyBorder="1" applyAlignment="1">
      <alignment horizontal="right"/>
    </xf>
    <xf numFmtId="4" fontId="53" fillId="0" borderId="3" xfId="0" quotePrefix="1" applyNumberFormat="1" applyFont="1" applyBorder="1" applyAlignment="1">
      <alignment horizontal="right"/>
    </xf>
    <xf numFmtId="2" fontId="53" fillId="0" borderId="2" xfId="0" applyNumberFormat="1" applyFont="1" applyBorder="1" applyAlignment="1">
      <alignment horizontal="right"/>
    </xf>
    <xf numFmtId="2" fontId="67" fillId="12" borderId="6" xfId="0" applyNumberFormat="1" applyFont="1" applyFill="1" applyBorder="1" applyAlignment="1">
      <alignment horizontal="right"/>
    </xf>
    <xf numFmtId="2" fontId="67" fillId="12" borderId="61" xfId="0" applyNumberFormat="1" applyFont="1" applyFill="1" applyBorder="1" applyAlignment="1">
      <alignment horizontal="right"/>
    </xf>
    <xf numFmtId="2" fontId="67" fillId="12" borderId="13" xfId="0" applyNumberFormat="1" applyFont="1" applyFill="1" applyBorder="1" applyAlignment="1">
      <alignment horizontal="right"/>
    </xf>
    <xf numFmtId="3" fontId="0" fillId="12" borderId="14" xfId="0" applyNumberFormat="1" applyFill="1" applyBorder="1" applyAlignment="1">
      <alignment horizontal="right"/>
    </xf>
    <xf numFmtId="1" fontId="0" fillId="2" borderId="2" xfId="0" applyNumberFormat="1" applyFill="1" applyBorder="1" applyAlignment="1">
      <alignment horizontal="right"/>
    </xf>
    <xf numFmtId="2" fontId="67" fillId="12" borderId="6" xfId="0" applyNumberFormat="1" applyFont="1" applyFill="1" applyBorder="1"/>
    <xf numFmtId="2" fontId="67" fillId="12" borderId="13" xfId="0" applyNumberFormat="1" applyFont="1" applyFill="1" applyBorder="1"/>
    <xf numFmtId="0" fontId="58" fillId="3" borderId="11" xfId="0" applyFont="1" applyFill="1" applyBorder="1" applyAlignment="1">
      <alignment horizontal="left"/>
    </xf>
    <xf numFmtId="182" fontId="108" fillId="0" borderId="0" xfId="0" applyNumberFormat="1" applyFont="1"/>
    <xf numFmtId="172" fontId="108" fillId="0" borderId="0" xfId="0" applyNumberFormat="1" applyFont="1"/>
    <xf numFmtId="173" fontId="0" fillId="0" borderId="0" xfId="1" applyNumberFormat="1" applyFont="1"/>
    <xf numFmtId="173" fontId="93" fillId="0" borderId="0" xfId="1" applyNumberFormat="1" applyFont="1"/>
    <xf numFmtId="1" fontId="111" fillId="16" borderId="2" xfId="24" applyNumberFormat="1" applyFont="1" applyFill="1" applyBorder="1" applyAlignment="1">
      <alignment horizontal="center"/>
    </xf>
    <xf numFmtId="1" fontId="53" fillId="0" borderId="0" xfId="24" applyNumberFormat="1"/>
    <xf numFmtId="0" fontId="111" fillId="16" borderId="2" xfId="24" applyFont="1" applyFill="1" applyBorder="1" applyAlignment="1">
      <alignment horizontal="center"/>
    </xf>
    <xf numFmtId="0" fontId="111" fillId="16" borderId="27" xfId="24" applyFont="1" applyFill="1" applyBorder="1" applyAlignment="1">
      <alignment horizontal="center"/>
    </xf>
    <xf numFmtId="0" fontId="53" fillId="0" borderId="23" xfId="24" applyBorder="1"/>
    <xf numFmtId="2" fontId="111" fillId="11" borderId="2" xfId="24" applyNumberFormat="1" applyFont="1" applyFill="1" applyBorder="1" applyAlignment="1">
      <alignment horizontal="center"/>
    </xf>
    <xf numFmtId="165" fontId="148" fillId="0" borderId="23" xfId="25" applyFont="1" applyFill="1" applyBorder="1"/>
    <xf numFmtId="165" fontId="148" fillId="0" borderId="48" xfId="25" applyFont="1" applyFill="1" applyBorder="1"/>
    <xf numFmtId="0" fontId="93" fillId="0" borderId="0" xfId="24" applyFont="1"/>
    <xf numFmtId="2" fontId="111" fillId="0" borderId="24" xfId="24" applyNumberFormat="1" applyFont="1" applyBorder="1" applyAlignment="1">
      <alignment horizontal="center"/>
    </xf>
    <xf numFmtId="4" fontId="53" fillId="12" borderId="14" xfId="24" applyNumberFormat="1" applyFill="1" applyBorder="1"/>
    <xf numFmtId="4" fontId="53" fillId="0" borderId="2" xfId="24" quotePrefix="1" applyNumberFormat="1" applyBorder="1"/>
    <xf numFmtId="4" fontId="53" fillId="0" borderId="27" xfId="24" quotePrefix="1" applyNumberFormat="1" applyBorder="1"/>
    <xf numFmtId="1" fontId="53" fillId="16" borderId="2" xfId="24" applyNumberFormat="1" applyFill="1" applyBorder="1"/>
    <xf numFmtId="2" fontId="53" fillId="0" borderId="2" xfId="24" applyNumberFormat="1" applyBorder="1"/>
    <xf numFmtId="165" fontId="82" fillId="0" borderId="23" xfId="25" applyFont="1" applyFill="1" applyBorder="1"/>
    <xf numFmtId="165" fontId="82" fillId="0" borderId="48" xfId="25" applyFont="1" applyFill="1" applyBorder="1"/>
    <xf numFmtId="2" fontId="111" fillId="16" borderId="24" xfId="24" applyNumberFormat="1" applyFont="1" applyFill="1" applyBorder="1" applyAlignment="1">
      <alignment horizontal="center"/>
    </xf>
    <xf numFmtId="176" fontId="0" fillId="0" borderId="0" xfId="1" applyNumberFormat="1" applyFont="1"/>
    <xf numFmtId="0" fontId="111" fillId="0" borderId="3" xfId="24" applyFont="1" applyBorder="1"/>
    <xf numFmtId="165" fontId="53" fillId="0" borderId="0" xfId="1"/>
    <xf numFmtId="43" fontId="53" fillId="0" borderId="0" xfId="24" applyNumberFormat="1"/>
    <xf numFmtId="0" fontId="149" fillId="0" borderId="0" xfId="0" applyFont="1" applyAlignment="1">
      <alignment horizontal="center"/>
    </xf>
    <xf numFmtId="4" fontId="53" fillId="0" borderId="17" xfId="24" applyNumberFormat="1" applyBorder="1"/>
    <xf numFmtId="43" fontId="53" fillId="0" borderId="17" xfId="24" applyNumberFormat="1" applyBorder="1"/>
    <xf numFmtId="185" fontId="53" fillId="0" borderId="0" xfId="24" applyNumberFormat="1"/>
    <xf numFmtId="0" fontId="149" fillId="0" borderId="0" xfId="0" applyFont="1"/>
    <xf numFmtId="4" fontId="53" fillId="12" borderId="0" xfId="24" applyNumberFormat="1" applyFill="1"/>
    <xf numFmtId="4" fontId="53" fillId="38" borderId="0" xfId="24" applyNumberFormat="1" applyFill="1"/>
    <xf numFmtId="0" fontId="43" fillId="23" borderId="17" xfId="14" applyFont="1" applyFill="1" applyBorder="1"/>
    <xf numFmtId="0" fontId="90" fillId="23" borderId="17" xfId="14" applyFill="1" applyBorder="1"/>
    <xf numFmtId="170" fontId="0" fillId="0" borderId="0" xfId="0" applyNumberFormat="1"/>
    <xf numFmtId="0" fontId="43" fillId="35" borderId="17" xfId="14" applyFont="1" applyFill="1" applyBorder="1"/>
    <xf numFmtId="0" fontId="90" fillId="35" borderId="17" xfId="14" applyFill="1" applyBorder="1"/>
    <xf numFmtId="0" fontId="42" fillId="35" borderId="17" xfId="14" applyFont="1" applyFill="1" applyBorder="1"/>
    <xf numFmtId="3" fontId="0" fillId="0" borderId="1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53" fillId="0" borderId="16" xfId="0" applyFont="1" applyBorder="1"/>
    <xf numFmtId="0" fontId="53" fillId="0" borderId="22" xfId="0" applyFont="1" applyBorder="1" applyAlignment="1">
      <alignment horizontal="center"/>
    </xf>
    <xf numFmtId="1" fontId="53" fillId="2" borderId="2" xfId="0" applyNumberFormat="1" applyFont="1" applyFill="1" applyBorder="1" applyAlignment="1">
      <alignment horizontal="center"/>
    </xf>
    <xf numFmtId="0" fontId="53" fillId="0" borderId="7" xfId="0" applyFont="1" applyBorder="1"/>
    <xf numFmtId="167" fontId="53" fillId="0" borderId="2" xfId="0" applyNumberFormat="1" applyFont="1" applyBorder="1" applyAlignment="1">
      <alignment horizontal="center"/>
    </xf>
    <xf numFmtId="0" fontId="53" fillId="0" borderId="21" xfId="0" applyFont="1" applyBorder="1"/>
    <xf numFmtId="0" fontId="53" fillId="0" borderId="2" xfId="0" applyFont="1" applyBorder="1" applyAlignment="1">
      <alignment horizontal="center" wrapText="1"/>
    </xf>
    <xf numFmtId="0" fontId="53" fillId="0" borderId="7" xfId="0" applyFont="1" applyBorder="1" applyAlignment="1">
      <alignment horizontal="center" wrapText="1"/>
    </xf>
    <xf numFmtId="0" fontId="150" fillId="0" borderId="1" xfId="0" applyFont="1" applyBorder="1"/>
    <xf numFmtId="0" fontId="150" fillId="0" borderId="7" xfId="0" applyFont="1" applyBorder="1"/>
    <xf numFmtId="0" fontId="69" fillId="0" borderId="20" xfId="0" applyFont="1" applyBorder="1"/>
    <xf numFmtId="0" fontId="69" fillId="0" borderId="21" xfId="0" applyFont="1" applyBorder="1"/>
    <xf numFmtId="4" fontId="53" fillId="0" borderId="2" xfId="0" applyNumberFormat="1" applyFont="1" applyBorder="1" applyAlignment="1">
      <alignment horizontal="center"/>
    </xf>
    <xf numFmtId="165" fontId="53" fillId="11" borderId="2" xfId="25" applyFont="1" applyFill="1" applyBorder="1" applyAlignment="1">
      <alignment horizontal="center"/>
    </xf>
    <xf numFmtId="165" fontId="111" fillId="11" borderId="2" xfId="25" applyFont="1" applyFill="1" applyBorder="1" applyAlignment="1">
      <alignment horizontal="center"/>
    </xf>
    <xf numFmtId="0" fontId="111" fillId="0" borderId="3" xfId="24" applyFont="1" applyBorder="1" applyAlignment="1">
      <alignment horizontal="center"/>
    </xf>
    <xf numFmtId="0" fontId="111" fillId="11" borderId="3" xfId="24" applyFont="1" applyFill="1" applyBorder="1" applyAlignment="1">
      <alignment horizontal="center"/>
    </xf>
    <xf numFmtId="168" fontId="111" fillId="11" borderId="2" xfId="24" applyNumberFormat="1" applyFont="1" applyFill="1" applyBorder="1" applyAlignment="1">
      <alignment horizontal="center"/>
    </xf>
    <xf numFmtId="0" fontId="111" fillId="11" borderId="2" xfId="24" applyFont="1" applyFill="1" applyBorder="1"/>
    <xf numFmtId="0" fontId="111" fillId="11" borderId="3" xfId="24" applyFont="1" applyFill="1" applyBorder="1"/>
    <xf numFmtId="165" fontId="111" fillId="11" borderId="2" xfId="25" applyFont="1" applyFill="1" applyBorder="1"/>
    <xf numFmtId="165" fontId="111" fillId="11" borderId="3" xfId="25" applyFont="1" applyFill="1" applyBorder="1"/>
    <xf numFmtId="173" fontId="53" fillId="11" borderId="17" xfId="1" applyNumberFormat="1" applyFont="1" applyFill="1" applyBorder="1" applyAlignment="1"/>
    <xf numFmtId="43" fontId="100" fillId="0" borderId="0" xfId="0" applyNumberFormat="1" applyFont="1" applyAlignment="1">
      <alignment vertical="center"/>
    </xf>
    <xf numFmtId="174" fontId="53" fillId="11" borderId="17" xfId="1" applyNumberFormat="1" applyFont="1" applyFill="1" applyBorder="1" applyAlignment="1">
      <alignment horizontal="center"/>
    </xf>
    <xf numFmtId="37" fontId="0" fillId="0" borderId="17" xfId="1" applyNumberFormat="1" applyFont="1" applyBorder="1"/>
    <xf numFmtId="37" fontId="0" fillId="0" borderId="17" xfId="0" applyNumberFormat="1" applyBorder="1"/>
    <xf numFmtId="37" fontId="0" fillId="17" borderId="17" xfId="0" applyNumberFormat="1" applyFill="1" applyBorder="1"/>
    <xf numFmtId="4" fontId="76" fillId="0" borderId="0" xfId="0" applyNumberFormat="1" applyFont="1"/>
    <xf numFmtId="188" fontId="0" fillId="0" borderId="0" xfId="1" applyNumberFormat="1" applyFont="1" applyFill="1" applyBorder="1"/>
    <xf numFmtId="200" fontId="0" fillId="0" borderId="0" xfId="1" applyNumberFormat="1" applyFont="1" applyFill="1" applyBorder="1"/>
    <xf numFmtId="201" fontId="0" fillId="0" borderId="0" xfId="0" applyNumberFormat="1"/>
    <xf numFmtId="0" fontId="40" fillId="0" borderId="0" xfId="14" applyFont="1"/>
    <xf numFmtId="4" fontId="0" fillId="0" borderId="2" xfId="0" applyNumberFormat="1" applyBorder="1" applyAlignment="1">
      <alignment horizontal="right"/>
    </xf>
    <xf numFmtId="165" fontId="0" fillId="10" borderId="52" xfId="1" applyFont="1" applyFill="1" applyBorder="1" applyAlignment="1">
      <alignment horizontal="right" vertical="center"/>
    </xf>
    <xf numFmtId="165" fontId="0" fillId="0" borderId="0" xfId="1" applyFont="1" applyFill="1"/>
    <xf numFmtId="37" fontId="0" fillId="0" borderId="17" xfId="1" applyNumberFormat="1" applyFont="1" applyFill="1" applyBorder="1"/>
    <xf numFmtId="0" fontId="39" fillId="23" borderId="17" xfId="14" applyFont="1" applyFill="1" applyBorder="1"/>
    <xf numFmtId="0" fontId="38" fillId="0" borderId="17" xfId="14" applyFont="1" applyBorder="1"/>
    <xf numFmtId="0" fontId="38" fillId="0" borderId="17" xfId="15" applyFont="1" applyBorder="1"/>
    <xf numFmtId="0" fontId="92" fillId="0" borderId="17" xfId="14" applyFont="1" applyBorder="1"/>
    <xf numFmtId="0" fontId="152" fillId="6" borderId="17" xfId="0" applyFont="1" applyFill="1" applyBorder="1" applyAlignment="1">
      <alignment horizontal="center"/>
    </xf>
    <xf numFmtId="173" fontId="0" fillId="11" borderId="0" xfId="79" applyNumberFormat="1" applyFont="1" applyFill="1" applyBorder="1" applyAlignment="1">
      <alignment horizontal="center"/>
    </xf>
    <xf numFmtId="0" fontId="0" fillId="39" borderId="0" xfId="0" applyFill="1"/>
    <xf numFmtId="0" fontId="0" fillId="40" borderId="0" xfId="0" applyFill="1"/>
    <xf numFmtId="2" fontId="0" fillId="0" borderId="0" xfId="0" applyNumberFormat="1" applyAlignment="1">
      <alignment vertical="center"/>
    </xf>
    <xf numFmtId="0" fontId="112" fillId="0" borderId="0" xfId="0" applyFont="1" applyAlignment="1">
      <alignment vertical="center" wrapText="1"/>
    </xf>
    <xf numFmtId="165" fontId="0" fillId="0" borderId="0" xfId="0" applyNumberFormat="1" applyAlignment="1">
      <alignment horizontal="center"/>
    </xf>
    <xf numFmtId="165" fontId="100" fillId="0" borderId="0" xfId="1" applyFont="1" applyFill="1" applyBorder="1"/>
    <xf numFmtId="165" fontId="55" fillId="12" borderId="0" xfId="1" applyFont="1" applyFill="1" applyBorder="1"/>
    <xf numFmtId="165" fontId="93" fillId="0" borderId="0" xfId="1" applyFont="1" applyFill="1" applyBorder="1"/>
    <xf numFmtId="4" fontId="82" fillId="12" borderId="0" xfId="0" applyNumberFormat="1" applyFont="1" applyFill="1" applyAlignment="1">
      <alignment vertical="center" wrapText="1"/>
    </xf>
    <xf numFmtId="0" fontId="53" fillId="0" borderId="18" xfId="24" applyBorder="1"/>
    <xf numFmtId="0" fontId="0" fillId="2" borderId="17" xfId="21" applyNumberFormat="1" applyFont="1" applyFill="1" applyBorder="1" applyAlignment="1">
      <alignment horizontal="center"/>
    </xf>
    <xf numFmtId="165" fontId="53" fillId="0" borderId="0" xfId="79" applyFont="1" applyFill="1" applyBorder="1"/>
    <xf numFmtId="0" fontId="0" fillId="16" borderId="17" xfId="0" applyFill="1" applyBorder="1" applyAlignment="1">
      <alignment horizontal="center"/>
    </xf>
    <xf numFmtId="0" fontId="0" fillId="41" borderId="17" xfId="0" applyFill="1" applyBorder="1" applyAlignment="1">
      <alignment horizontal="center"/>
    </xf>
    <xf numFmtId="0" fontId="0" fillId="41" borderId="2" xfId="0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168" fontId="53" fillId="16" borderId="2" xfId="0" applyNumberFormat="1" applyFont="1" applyFill="1" applyBorder="1" applyAlignment="1">
      <alignment horizontal="center"/>
    </xf>
    <xf numFmtId="2" fontId="0" fillId="16" borderId="2" xfId="0" applyNumberFormat="1" applyFill="1" applyBorder="1" applyAlignment="1">
      <alignment horizontal="center"/>
    </xf>
    <xf numFmtId="1" fontId="53" fillId="0" borderId="2" xfId="0" applyNumberFormat="1" applyFont="1" applyBorder="1" applyAlignment="1">
      <alignment horizontal="center"/>
    </xf>
    <xf numFmtId="4" fontId="53" fillId="0" borderId="0" xfId="0" applyNumberFormat="1" applyFont="1" applyAlignment="1">
      <alignment horizontal="center"/>
    </xf>
    <xf numFmtId="17" fontId="128" fillId="0" borderId="0" xfId="0" applyNumberFormat="1" applyFont="1" applyAlignment="1">
      <alignment horizontal="center"/>
    </xf>
    <xf numFmtId="2" fontId="0" fillId="16" borderId="17" xfId="0" applyNumberFormat="1" applyFill="1" applyBorder="1" applyAlignment="1">
      <alignment horizontal="center"/>
    </xf>
    <xf numFmtId="0" fontId="53" fillId="11" borderId="2" xfId="0" applyFont="1" applyFill="1" applyBorder="1" applyAlignment="1">
      <alignment horizontal="center" vertical="center"/>
    </xf>
    <xf numFmtId="2" fontId="53" fillId="11" borderId="14" xfId="0" applyNumberFormat="1" applyFont="1" applyFill="1" applyBorder="1" applyAlignment="1">
      <alignment horizontal="center" vertical="center"/>
    </xf>
    <xf numFmtId="179" fontId="0" fillId="11" borderId="23" xfId="0" applyNumberFormat="1" applyFill="1" applyBorder="1" applyAlignment="1">
      <alignment vertical="center"/>
    </xf>
    <xf numFmtId="179" fontId="0" fillId="11" borderId="0" xfId="0" applyNumberFormat="1" applyFill="1" applyAlignment="1">
      <alignment vertical="center"/>
    </xf>
    <xf numFmtId="179" fontId="0" fillId="11" borderId="27" xfId="0" applyNumberFormat="1" applyFill="1" applyBorder="1" applyAlignment="1">
      <alignment vertical="center"/>
    </xf>
    <xf numFmtId="4" fontId="0" fillId="11" borderId="23" xfId="0" applyNumberFormat="1" applyFill="1" applyBorder="1" applyAlignment="1">
      <alignment vertical="center"/>
    </xf>
    <xf numFmtId="4" fontId="0" fillId="11" borderId="0" xfId="0" applyNumberFormat="1" applyFill="1" applyAlignment="1">
      <alignment vertical="center"/>
    </xf>
    <xf numFmtId="4" fontId="0" fillId="11" borderId="27" xfId="0" applyNumberFormat="1" applyFill="1" applyBorder="1" applyAlignment="1">
      <alignment vertical="center"/>
    </xf>
    <xf numFmtId="4" fontId="0" fillId="11" borderId="47" xfId="0" applyNumberFormat="1" applyFill="1" applyBorder="1" applyAlignment="1">
      <alignment vertical="center"/>
    </xf>
    <xf numFmtId="4" fontId="0" fillId="11" borderId="19" xfId="0" applyNumberFormat="1" applyFill="1" applyBorder="1" applyAlignment="1">
      <alignment vertical="center"/>
    </xf>
    <xf numFmtId="4" fontId="0" fillId="11" borderId="83" xfId="0" applyNumberFormat="1" applyFill="1" applyBorder="1" applyAlignment="1">
      <alignment vertical="center"/>
    </xf>
    <xf numFmtId="0" fontId="88" fillId="11" borderId="23" xfId="0" applyFont="1" applyFill="1" applyBorder="1" applyAlignment="1">
      <alignment vertical="center"/>
    </xf>
    <xf numFmtId="0" fontId="57" fillId="11" borderId="0" xfId="0" applyFont="1" applyFill="1" applyAlignment="1">
      <alignment vertical="center"/>
    </xf>
    <xf numFmtId="0" fontId="57" fillId="11" borderId="23" xfId="0" applyFont="1" applyFill="1" applyBorder="1" applyAlignment="1">
      <alignment vertical="center"/>
    </xf>
    <xf numFmtId="0" fontId="0" fillId="11" borderId="0" xfId="0" applyFill="1" applyAlignment="1">
      <alignment vertical="center"/>
    </xf>
    <xf numFmtId="0" fontId="88" fillId="11" borderId="47" xfId="0" applyFont="1" applyFill="1" applyBorder="1" applyAlignment="1">
      <alignment vertical="center"/>
    </xf>
    <xf numFmtId="0" fontId="0" fillId="11" borderId="19" xfId="0" applyFill="1" applyBorder="1" applyAlignment="1">
      <alignment vertical="center"/>
    </xf>
    <xf numFmtId="0" fontId="53" fillId="0" borderId="0" xfId="0" applyFont="1" applyAlignment="1">
      <alignment horizontal="center" vertical="center"/>
    </xf>
    <xf numFmtId="168" fontId="0" fillId="16" borderId="2" xfId="0" applyNumberFormat="1" applyFill="1" applyBorder="1" applyAlignment="1">
      <alignment horizontal="center"/>
    </xf>
    <xf numFmtId="171" fontId="0" fillId="41" borderId="2" xfId="0" applyNumberFormat="1" applyFill="1" applyBorder="1" applyAlignment="1">
      <alignment horizontal="center"/>
    </xf>
    <xf numFmtId="9" fontId="0" fillId="2" borderId="2" xfId="21" applyFont="1" applyFill="1" applyBorder="1" applyAlignment="1">
      <alignment horizontal="center"/>
    </xf>
    <xf numFmtId="0" fontId="0" fillId="41" borderId="2" xfId="21" applyNumberFormat="1" applyFont="1" applyFill="1" applyBorder="1" applyAlignment="1">
      <alignment horizontal="center"/>
    </xf>
    <xf numFmtId="0" fontId="0" fillId="2" borderId="2" xfId="21" applyNumberFormat="1" applyFont="1" applyFill="1" applyBorder="1" applyAlignment="1">
      <alignment horizontal="center"/>
    </xf>
    <xf numFmtId="3" fontId="0" fillId="41" borderId="2" xfId="21" applyNumberFormat="1" applyFont="1" applyFill="1" applyBorder="1" applyAlignment="1">
      <alignment horizontal="center"/>
    </xf>
    <xf numFmtId="3" fontId="0" fillId="2" borderId="2" xfId="21" applyNumberFormat="1" applyFont="1" applyFill="1" applyBorder="1" applyAlignment="1">
      <alignment horizontal="center"/>
    </xf>
    <xf numFmtId="9" fontId="0" fillId="16" borderId="2" xfId="21" applyFont="1" applyFill="1" applyBorder="1" applyAlignment="1">
      <alignment horizontal="center"/>
    </xf>
    <xf numFmtId="4" fontId="0" fillId="41" borderId="2" xfId="21" applyNumberFormat="1" applyFont="1" applyFill="1" applyBorder="1" applyAlignment="1">
      <alignment horizontal="center"/>
    </xf>
    <xf numFmtId="3" fontId="0" fillId="16" borderId="2" xfId="0" applyNumberFormat="1" applyFill="1" applyBorder="1" applyAlignment="1">
      <alignment horizontal="center"/>
    </xf>
    <xf numFmtId="184" fontId="0" fillId="41" borderId="2" xfId="21" applyNumberFormat="1" applyFont="1" applyFill="1" applyBorder="1" applyAlignment="1">
      <alignment horizontal="center"/>
    </xf>
    <xf numFmtId="0" fontId="53" fillId="41" borderId="2" xfId="0" applyFont="1" applyFill="1" applyBorder="1" applyAlignment="1">
      <alignment horizontal="center"/>
    </xf>
    <xf numFmtId="186" fontId="0" fillId="16" borderId="2" xfId="0" applyNumberFormat="1" applyFill="1" applyBorder="1" applyAlignment="1">
      <alignment horizontal="center"/>
    </xf>
    <xf numFmtId="2" fontId="53" fillId="0" borderId="2" xfId="0" applyNumberFormat="1" applyFont="1" applyBorder="1" applyAlignment="1">
      <alignment horizontal="center"/>
    </xf>
    <xf numFmtId="2" fontId="111" fillId="0" borderId="2" xfId="79" applyNumberFormat="1" applyFont="1" applyFill="1" applyBorder="1" applyAlignment="1">
      <alignment horizontal="right"/>
    </xf>
    <xf numFmtId="2" fontId="67" fillId="12" borderId="6" xfId="79" applyNumberFormat="1" applyFont="1" applyFill="1" applyBorder="1" applyAlignment="1">
      <alignment horizontal="right"/>
    </xf>
    <xf numFmtId="168" fontId="53" fillId="0" borderId="0" xfId="24" applyNumberFormat="1"/>
    <xf numFmtId="165" fontId="0" fillId="0" borderId="0" xfId="79" applyFont="1"/>
    <xf numFmtId="0" fontId="83" fillId="0" borderId="0" xfId="24" applyFont="1"/>
    <xf numFmtId="1" fontId="111" fillId="41" borderId="2" xfId="24" applyNumberFormat="1" applyFont="1" applyFill="1" applyBorder="1" applyAlignment="1">
      <alignment horizontal="center"/>
    </xf>
    <xf numFmtId="0" fontId="53" fillId="0" borderId="0" xfId="24" applyAlignment="1">
      <alignment horizontal="center"/>
    </xf>
    <xf numFmtId="0" fontId="0" fillId="2" borderId="41" xfId="21" applyNumberFormat="1" applyFont="1" applyFill="1" applyBorder="1" applyAlignment="1">
      <alignment horizontal="center"/>
    </xf>
    <xf numFmtId="0" fontId="111" fillId="41" borderId="2" xfId="24" applyFont="1" applyFill="1" applyBorder="1" applyAlignment="1">
      <alignment horizontal="center"/>
    </xf>
    <xf numFmtId="0" fontId="0" fillId="2" borderId="24" xfId="21" applyNumberFormat="1" applyFont="1" applyFill="1" applyBorder="1" applyAlignment="1">
      <alignment horizontal="center"/>
    </xf>
    <xf numFmtId="2" fontId="111" fillId="16" borderId="2" xfId="24" applyNumberFormat="1" applyFont="1" applyFill="1" applyBorder="1" applyAlignment="1">
      <alignment horizontal="center"/>
    </xf>
    <xf numFmtId="2" fontId="111" fillId="16" borderId="17" xfId="24" applyNumberFormat="1" applyFont="1" applyFill="1" applyBorder="1" applyAlignment="1">
      <alignment horizontal="center"/>
    </xf>
    <xf numFmtId="0" fontId="53" fillId="0" borderId="1" xfId="0" applyFont="1" applyBorder="1" applyAlignment="1">
      <alignment horizontal="left" indent="2"/>
    </xf>
    <xf numFmtId="1" fontId="53" fillId="11" borderId="2" xfId="24" applyNumberFormat="1" applyFill="1" applyBorder="1" applyAlignment="1">
      <alignment horizontal="right"/>
    </xf>
    <xf numFmtId="1" fontId="53" fillId="11" borderId="41" xfId="24" applyNumberFormat="1" applyFill="1" applyBorder="1" applyAlignment="1">
      <alignment horizontal="right"/>
    </xf>
    <xf numFmtId="1" fontId="53" fillId="11" borderId="3" xfId="24" applyNumberFormat="1" applyFill="1" applyBorder="1" applyAlignment="1">
      <alignment horizontal="right"/>
    </xf>
    <xf numFmtId="171" fontId="53" fillId="0" borderId="0" xfId="24" applyNumberFormat="1"/>
    <xf numFmtId="0" fontId="147" fillId="0" borderId="0" xfId="24" applyFont="1"/>
    <xf numFmtId="0" fontId="53" fillId="0" borderId="3" xfId="24" applyBorder="1"/>
    <xf numFmtId="0" fontId="68" fillId="0" borderId="1" xfId="24" applyFont="1" applyBorder="1"/>
    <xf numFmtId="0" fontId="68" fillId="0" borderId="7" xfId="24" applyFont="1" applyBorder="1"/>
    <xf numFmtId="171" fontId="111" fillId="0" borderId="2" xfId="24" applyNumberFormat="1" applyFont="1" applyBorder="1" applyAlignment="1">
      <alignment horizontal="center"/>
    </xf>
    <xf numFmtId="171" fontId="111" fillId="0" borderId="3" xfId="24" applyNumberFormat="1" applyFont="1" applyBorder="1" applyAlignment="1">
      <alignment horizontal="center"/>
    </xf>
    <xf numFmtId="0" fontId="55" fillId="0" borderId="1" xfId="24" applyFont="1" applyBorder="1"/>
    <xf numFmtId="0" fontId="71" fillId="0" borderId="1" xfId="24" applyFont="1" applyBorder="1"/>
    <xf numFmtId="0" fontId="111" fillId="0" borderId="2" xfId="24" applyFont="1" applyBorder="1" applyAlignment="1">
      <alignment horizontal="center" vertical="center"/>
    </xf>
    <xf numFmtId="0" fontId="111" fillId="0" borderId="3" xfId="24" applyFont="1" applyBorder="1" applyAlignment="1">
      <alignment horizontal="center" vertical="center"/>
    </xf>
    <xf numFmtId="0" fontId="111" fillId="0" borderId="18" xfId="24" applyFont="1" applyBorder="1"/>
    <xf numFmtId="0" fontId="65" fillId="0" borderId="1" xfId="24" applyFont="1" applyBorder="1"/>
    <xf numFmtId="168" fontId="111" fillId="0" borderId="2" xfId="24" applyNumberFormat="1" applyFont="1" applyBorder="1" applyAlignment="1">
      <alignment horizontal="center"/>
    </xf>
    <xf numFmtId="168" fontId="111" fillId="0" borderId="3" xfId="24" applyNumberFormat="1" applyFont="1" applyBorder="1" applyAlignment="1">
      <alignment horizontal="center"/>
    </xf>
    <xf numFmtId="0" fontId="53" fillId="0" borderId="1" xfId="24" applyBorder="1" applyAlignment="1">
      <alignment vertical="center"/>
    </xf>
    <xf numFmtId="0" fontId="53" fillId="0" borderId="0" xfId="24" applyAlignment="1">
      <alignment wrapText="1"/>
    </xf>
    <xf numFmtId="165" fontId="111" fillId="0" borderId="2" xfId="25" applyFont="1" applyFill="1" applyBorder="1" applyAlignment="1">
      <alignment horizontal="center"/>
    </xf>
    <xf numFmtId="165" fontId="111" fillId="0" borderId="3" xfId="25" applyFont="1" applyFill="1" applyBorder="1" applyAlignment="1">
      <alignment horizontal="center"/>
    </xf>
    <xf numFmtId="0" fontId="66" fillId="0" borderId="1" xfId="24" applyFont="1" applyBorder="1"/>
    <xf numFmtId="0" fontId="66" fillId="0" borderId="7" xfId="24" applyFont="1" applyBorder="1"/>
    <xf numFmtId="0" fontId="111" fillId="0" borderId="42" xfId="24" applyFont="1" applyBorder="1" applyAlignment="1">
      <alignment horizontal="center"/>
    </xf>
    <xf numFmtId="0" fontId="111" fillId="0" borderId="24" xfId="24" applyFont="1" applyBorder="1" applyAlignment="1">
      <alignment horizontal="center"/>
    </xf>
    <xf numFmtId="0" fontId="111" fillId="0" borderId="24" xfId="24" applyFont="1" applyBorder="1"/>
    <xf numFmtId="0" fontId="53" fillId="0" borderId="4" xfId="24" applyBorder="1"/>
    <xf numFmtId="0" fontId="53" fillId="0" borderId="5" xfId="24" applyBorder="1"/>
    <xf numFmtId="0" fontId="111" fillId="0" borderId="6" xfId="24" applyFont="1" applyBorder="1"/>
    <xf numFmtId="0" fontId="111" fillId="0" borderId="13" xfId="24" applyFont="1" applyBorder="1"/>
    <xf numFmtId="184" fontId="111" fillId="12" borderId="14" xfId="24" applyNumberFormat="1" applyFont="1" applyFill="1" applyBorder="1" applyAlignment="1">
      <alignment horizontal="center"/>
    </xf>
    <xf numFmtId="4" fontId="111" fillId="0" borderId="2" xfId="24" quotePrefix="1" applyNumberFormat="1" applyFont="1" applyBorder="1" applyAlignment="1">
      <alignment horizontal="center"/>
    </xf>
    <xf numFmtId="2" fontId="111" fillId="0" borderId="2" xfId="24" applyNumberFormat="1" applyFont="1" applyBorder="1" applyAlignment="1">
      <alignment horizontal="center"/>
    </xf>
    <xf numFmtId="2" fontId="116" fillId="12" borderId="6" xfId="24" applyNumberFormat="1" applyFont="1" applyFill="1" applyBorder="1" applyAlignment="1">
      <alignment horizontal="center"/>
    </xf>
    <xf numFmtId="2" fontId="116" fillId="12" borderId="13" xfId="24" applyNumberFormat="1" applyFont="1" applyFill="1" applyBorder="1" applyAlignment="1">
      <alignment horizontal="center"/>
    </xf>
    <xf numFmtId="1" fontId="111" fillId="11" borderId="27" xfId="24" applyNumberFormat="1" applyFont="1" applyFill="1" applyBorder="1" applyAlignment="1">
      <alignment horizontal="center"/>
    </xf>
    <xf numFmtId="0" fontId="111" fillId="11" borderId="27" xfId="24" applyFont="1" applyFill="1" applyBorder="1" applyAlignment="1">
      <alignment horizontal="center"/>
    </xf>
    <xf numFmtId="0" fontId="95" fillId="0" borderId="23" xfId="24" applyFont="1" applyBorder="1"/>
    <xf numFmtId="165" fontId="82" fillId="0" borderId="24" xfId="25" applyFont="1" applyFill="1" applyBorder="1"/>
    <xf numFmtId="165" fontId="117" fillId="11" borderId="2" xfId="25" applyFont="1" applyFill="1" applyBorder="1" applyAlignment="1"/>
    <xf numFmtId="165" fontId="117" fillId="11" borderId="3" xfId="25" applyFont="1" applyFill="1" applyBorder="1" applyAlignment="1"/>
    <xf numFmtId="1" fontId="53" fillId="11" borderId="2" xfId="24" applyNumberFormat="1" applyFill="1" applyBorder="1"/>
    <xf numFmtId="2" fontId="53" fillId="0" borderId="27" xfId="24" applyNumberFormat="1" applyBorder="1"/>
    <xf numFmtId="0" fontId="148" fillId="0" borderId="0" xfId="24" applyFont="1"/>
    <xf numFmtId="0" fontId="0" fillId="10" borderId="2" xfId="0" applyFill="1" applyBorder="1" applyAlignment="1">
      <alignment horizontal="center"/>
    </xf>
    <xf numFmtId="0" fontId="97" fillId="10" borderId="2" xfId="0" applyFont="1" applyFill="1" applyBorder="1" applyAlignment="1">
      <alignment vertical="center"/>
    </xf>
    <xf numFmtId="0" fontId="0" fillId="10" borderId="2" xfId="0" applyFill="1" applyBorder="1" applyAlignment="1">
      <alignment horizontal="center" wrapText="1"/>
    </xf>
    <xf numFmtId="0" fontId="0" fillId="10" borderId="2" xfId="21" applyNumberFormat="1" applyFont="1" applyFill="1" applyBorder="1" applyAlignment="1">
      <alignment horizontal="center"/>
    </xf>
    <xf numFmtId="0" fontId="0" fillId="10" borderId="0" xfId="0" applyFill="1"/>
    <xf numFmtId="0" fontId="69" fillId="10" borderId="2" xfId="0" applyFont="1" applyFill="1" applyBorder="1"/>
    <xf numFmtId="0" fontId="53" fillId="10" borderId="2" xfId="24" applyFill="1" applyBorder="1" applyAlignment="1">
      <alignment horizontal="center"/>
    </xf>
    <xf numFmtId="0" fontId="56" fillId="0" borderId="0" xfId="205" applyFont="1"/>
    <xf numFmtId="0" fontId="59" fillId="0" borderId="0" xfId="205" applyFont="1"/>
    <xf numFmtId="168" fontId="59" fillId="0" borderId="0" xfId="205" applyNumberFormat="1" applyFont="1"/>
    <xf numFmtId="0" fontId="112" fillId="0" borderId="0" xfId="205" applyFont="1"/>
    <xf numFmtId="0" fontId="56" fillId="0" borderId="0" xfId="205" applyFont="1" applyAlignment="1">
      <alignment horizontal="left"/>
    </xf>
    <xf numFmtId="168" fontId="105" fillId="0" borderId="0" xfId="205" applyNumberFormat="1" applyFont="1"/>
    <xf numFmtId="0" fontId="58" fillId="3" borderId="17" xfId="205" applyFont="1" applyFill="1" applyBorder="1"/>
    <xf numFmtId="0" fontId="58" fillId="3" borderId="17" xfId="205" applyFont="1" applyFill="1" applyBorder="1" applyAlignment="1">
      <alignment horizontal="center"/>
    </xf>
    <xf numFmtId="17" fontId="58" fillId="3" borderId="17" xfId="205" applyNumberFormat="1" applyFont="1" applyFill="1" applyBorder="1" applyAlignment="1">
      <alignment horizontal="center"/>
    </xf>
    <xf numFmtId="0" fontId="53" fillId="0" borderId="0" xfId="205"/>
    <xf numFmtId="0" fontId="53" fillId="0" borderId="17" xfId="205" applyBorder="1" applyAlignment="1">
      <alignment wrapText="1"/>
    </xf>
    <xf numFmtId="0" fontId="53" fillId="0" borderId="17" xfId="205" applyBorder="1" applyAlignment="1">
      <alignment horizontal="center"/>
    </xf>
    <xf numFmtId="1" fontId="53" fillId="0" borderId="17" xfId="205" applyNumberFormat="1" applyBorder="1" applyAlignment="1">
      <alignment horizontal="center" vertical="center"/>
    </xf>
    <xf numFmtId="1" fontId="53" fillId="0" borderId="0" xfId="205" applyNumberFormat="1"/>
    <xf numFmtId="0" fontId="53" fillId="0" borderId="17" xfId="205" applyBorder="1" applyAlignment="1">
      <alignment horizontal="left"/>
    </xf>
    <xf numFmtId="9" fontId="53" fillId="0" borderId="17" xfId="21" applyFont="1" applyFill="1" applyBorder="1" applyAlignment="1">
      <alignment horizontal="center"/>
    </xf>
    <xf numFmtId="10" fontId="53" fillId="0" borderId="17" xfId="205" applyNumberFormat="1" applyBorder="1" applyAlignment="1">
      <alignment horizontal="center" vertical="center"/>
    </xf>
    <xf numFmtId="0" fontId="111" fillId="0" borderId="17" xfId="205" applyFont="1" applyBorder="1" applyAlignment="1">
      <alignment horizontal="left"/>
    </xf>
    <xf numFmtId="0" fontId="111" fillId="0" borderId="17" xfId="205" applyFont="1" applyBorder="1" applyAlignment="1">
      <alignment horizontal="center"/>
    </xf>
    <xf numFmtId="2" fontId="53" fillId="0" borderId="0" xfId="205" applyNumberFormat="1"/>
    <xf numFmtId="0" fontId="53" fillId="0" borderId="24" xfId="205" applyBorder="1" applyAlignment="1">
      <alignment wrapText="1"/>
    </xf>
    <xf numFmtId="0" fontId="53" fillId="0" borderId="17" xfId="205" applyBorder="1" applyAlignment="1">
      <alignment horizontal="center" vertical="center"/>
    </xf>
    <xf numFmtId="0" fontId="53" fillId="0" borderId="0" xfId="205" applyAlignment="1">
      <alignment wrapText="1"/>
    </xf>
    <xf numFmtId="0" fontId="53" fillId="0" borderId="0" xfId="205" applyAlignment="1">
      <alignment horizontal="center" vertical="center"/>
    </xf>
    <xf numFmtId="1" fontId="53" fillId="0" borderId="0" xfId="205" applyNumberFormat="1" applyAlignment="1">
      <alignment horizontal="center" vertical="center"/>
    </xf>
    <xf numFmtId="0" fontId="55" fillId="0" borderId="0" xfId="205" applyFont="1" applyAlignment="1">
      <alignment horizontal="center"/>
    </xf>
    <xf numFmtId="0" fontId="55" fillId="0" borderId="0" xfId="205" applyFont="1"/>
    <xf numFmtId="0" fontId="58" fillId="3" borderId="17" xfId="205" applyFont="1" applyFill="1" applyBorder="1" applyAlignment="1">
      <alignment horizontal="left"/>
    </xf>
    <xf numFmtId="20" fontId="55" fillId="0" borderId="0" xfId="205" applyNumberFormat="1" applyFont="1" applyAlignment="1">
      <alignment horizontal="center"/>
    </xf>
    <xf numFmtId="0" fontId="53" fillId="0" borderId="0" xfId="205" applyAlignment="1">
      <alignment horizontal="center"/>
    </xf>
    <xf numFmtId="0" fontId="55" fillId="0" borderId="2" xfId="205" applyFont="1" applyBorder="1" applyAlignment="1">
      <alignment horizontal="left"/>
    </xf>
    <xf numFmtId="0" fontId="53" fillId="0" borderId="2" xfId="205" applyBorder="1" applyAlignment="1">
      <alignment horizontal="center"/>
    </xf>
    <xf numFmtId="3" fontId="53" fillId="0" borderId="2" xfId="205" applyNumberFormat="1" applyBorder="1" applyAlignment="1">
      <alignment horizontal="right"/>
    </xf>
    <xf numFmtId="3" fontId="53" fillId="0" borderId="0" xfId="205" applyNumberFormat="1"/>
    <xf numFmtId="4" fontId="53" fillId="0" borderId="0" xfId="205" applyNumberFormat="1"/>
    <xf numFmtId="183" fontId="53" fillId="0" borderId="0" xfId="205" applyNumberFormat="1"/>
    <xf numFmtId="0" fontId="53" fillId="21" borderId="0" xfId="205" applyFill="1"/>
    <xf numFmtId="4" fontId="53" fillId="21" borderId="0" xfId="205" applyNumberFormat="1" applyFill="1"/>
    <xf numFmtId="0" fontId="55" fillId="22" borderId="2" xfId="205" applyFont="1" applyFill="1" applyBorder="1" applyAlignment="1">
      <alignment horizontal="left"/>
    </xf>
    <xf numFmtId="0" fontId="53" fillId="22" borderId="2" xfId="205" applyFill="1" applyBorder="1" applyAlignment="1">
      <alignment horizontal="center"/>
    </xf>
    <xf numFmtId="3" fontId="53" fillId="22" borderId="2" xfId="205" applyNumberFormat="1" applyFill="1" applyBorder="1" applyAlignment="1">
      <alignment horizontal="right"/>
    </xf>
    <xf numFmtId="185" fontId="53" fillId="0" borderId="0" xfId="205" applyNumberFormat="1"/>
    <xf numFmtId="0" fontId="115" fillId="0" borderId="2" xfId="205" applyFont="1" applyBorder="1" applyAlignment="1">
      <alignment horizontal="left"/>
    </xf>
    <xf numFmtId="0" fontId="111" fillId="0" borderId="2" xfId="205" applyFont="1" applyBorder="1" applyAlignment="1">
      <alignment horizontal="center"/>
    </xf>
    <xf numFmtId="3" fontId="53" fillId="17" borderId="2" xfId="205" applyNumberFormat="1" applyFill="1" applyBorder="1" applyAlignment="1">
      <alignment horizontal="right"/>
    </xf>
    <xf numFmtId="3" fontId="53" fillId="22" borderId="41" xfId="205" applyNumberFormat="1" applyFill="1" applyBorder="1" applyAlignment="1">
      <alignment horizontal="right"/>
    </xf>
    <xf numFmtId="0" fontId="55" fillId="0" borderId="17" xfId="205" applyFont="1" applyBorder="1" applyAlignment="1">
      <alignment horizontal="left"/>
    </xf>
    <xf numFmtId="0" fontId="55" fillId="0" borderId="17" xfId="205" applyFont="1" applyBorder="1" applyAlignment="1">
      <alignment horizontal="center"/>
    </xf>
    <xf numFmtId="3" fontId="55" fillId="0" borderId="17" xfId="205" applyNumberFormat="1" applyFont="1" applyBorder="1" applyAlignment="1">
      <alignment horizontal="right"/>
    </xf>
    <xf numFmtId="3" fontId="53" fillId="64" borderId="0" xfId="205" applyNumberFormat="1" applyFill="1"/>
    <xf numFmtId="0" fontId="55" fillId="0" borderId="63" xfId="205" applyFont="1" applyBorder="1" applyAlignment="1">
      <alignment horizontal="center"/>
    </xf>
    <xf numFmtId="0" fontId="53" fillId="0" borderId="25" xfId="205" applyBorder="1" applyAlignment="1">
      <alignment horizontal="center"/>
    </xf>
    <xf numFmtId="0" fontId="53" fillId="0" borderId="26" xfId="205" applyBorder="1" applyAlignment="1">
      <alignment horizontal="center"/>
    </xf>
    <xf numFmtId="0" fontId="58" fillId="3" borderId="10" xfId="205" applyFont="1" applyFill="1" applyBorder="1" applyAlignment="1">
      <alignment horizontal="left"/>
    </xf>
    <xf numFmtId="0" fontId="58" fillId="3" borderId="11" xfId="205" applyFont="1" applyFill="1" applyBorder="1" applyAlignment="1">
      <alignment horizontal="center"/>
    </xf>
    <xf numFmtId="17" fontId="58" fillId="3" borderId="29" xfId="205" applyNumberFormat="1" applyFont="1" applyFill="1" applyBorder="1" applyAlignment="1">
      <alignment horizontal="center"/>
    </xf>
    <xf numFmtId="0" fontId="55" fillId="0" borderId="4" xfId="205" applyFont="1" applyBorder="1" applyAlignment="1">
      <alignment horizontal="left" vertical="center" wrapText="1"/>
    </xf>
    <xf numFmtId="0" fontId="55" fillId="0" borderId="6" xfId="205" applyFont="1" applyBorder="1" applyAlignment="1">
      <alignment horizontal="center" vertical="center"/>
    </xf>
    <xf numFmtId="4" fontId="80" fillId="12" borderId="6" xfId="205" applyNumberFormat="1" applyFont="1" applyFill="1" applyBorder="1" applyAlignment="1">
      <alignment horizontal="center" vertical="center"/>
    </xf>
    <xf numFmtId="0" fontId="55" fillId="0" borderId="0" xfId="205" applyFont="1" applyAlignment="1">
      <alignment horizontal="left" vertical="center" wrapText="1"/>
    </xf>
    <xf numFmtId="0" fontId="55" fillId="0" borderId="0" xfId="205" applyFont="1" applyAlignment="1">
      <alignment horizontal="center" vertical="center"/>
    </xf>
    <xf numFmtId="4" fontId="80" fillId="0" borderId="0" xfId="205" applyNumberFormat="1" applyFont="1" applyAlignment="1">
      <alignment horizontal="center" vertical="center"/>
    </xf>
    <xf numFmtId="1" fontId="111" fillId="0" borderId="17" xfId="205" applyNumberFormat="1" applyFont="1" applyBorder="1" applyAlignment="1">
      <alignment horizontal="center"/>
    </xf>
    <xf numFmtId="167" fontId="111" fillId="0" borderId="17" xfId="205" applyNumberFormat="1" applyFont="1" applyBorder="1" applyAlignment="1">
      <alignment horizontal="center"/>
    </xf>
    <xf numFmtId="9" fontId="111" fillId="0" borderId="17" xfId="21" applyFont="1" applyFill="1" applyBorder="1" applyAlignment="1">
      <alignment horizontal="center"/>
    </xf>
    <xf numFmtId="10" fontId="111" fillId="0" borderId="17" xfId="21" applyNumberFormat="1" applyFont="1" applyFill="1" applyBorder="1" applyAlignment="1">
      <alignment horizontal="center"/>
    </xf>
    <xf numFmtId="168" fontId="111" fillId="0" borderId="17" xfId="205" applyNumberFormat="1" applyFont="1" applyBorder="1" applyAlignment="1">
      <alignment horizontal="center"/>
    </xf>
    <xf numFmtId="0" fontId="58" fillId="0" borderId="2" xfId="205" applyFont="1" applyBorder="1" applyAlignment="1">
      <alignment horizontal="left"/>
    </xf>
    <xf numFmtId="0" fontId="58" fillId="0" borderId="2" xfId="205" applyFont="1" applyBorder="1" applyAlignment="1">
      <alignment horizontal="center"/>
    </xf>
    <xf numFmtId="0" fontId="55" fillId="12" borderId="2" xfId="205" applyFont="1" applyFill="1" applyBorder="1" applyAlignment="1">
      <alignment horizontal="left"/>
    </xf>
    <xf numFmtId="0" fontId="53" fillId="12" borderId="2" xfId="205" applyFill="1" applyBorder="1" applyAlignment="1">
      <alignment horizontal="center"/>
    </xf>
    <xf numFmtId="3" fontId="53" fillId="12" borderId="2" xfId="205" applyNumberFormat="1" applyFill="1" applyBorder="1" applyAlignment="1">
      <alignment horizontal="right"/>
    </xf>
    <xf numFmtId="193" fontId="53" fillId="0" borderId="0" xfId="205" applyNumberFormat="1"/>
    <xf numFmtId="2" fontId="111" fillId="0" borderId="17" xfId="205" applyNumberFormat="1" applyFont="1" applyBorder="1" applyAlignment="1">
      <alignment horizontal="center"/>
    </xf>
    <xf numFmtId="10" fontId="111" fillId="0" borderId="17" xfId="205" applyNumberFormat="1" applyFont="1" applyBorder="1" applyAlignment="1">
      <alignment horizontal="center"/>
    </xf>
    <xf numFmtId="197" fontId="53" fillId="0" borderId="0" xfId="205" applyNumberFormat="1"/>
    <xf numFmtId="0" fontId="53" fillId="11" borderId="6" xfId="0" applyFont="1" applyFill="1" applyBorder="1" applyAlignment="1">
      <alignment horizontal="center" vertical="center"/>
    </xf>
    <xf numFmtId="168" fontId="55" fillId="0" borderId="0" xfId="0" applyNumberFormat="1" applyFont="1" applyAlignment="1">
      <alignment horizontal="center" vertical="center"/>
    </xf>
    <xf numFmtId="169" fontId="110" fillId="0" borderId="2" xfId="259" applyNumberFormat="1" applyFont="1" applyBorder="1" applyAlignment="1">
      <alignment horizontal="right"/>
    </xf>
    <xf numFmtId="170" fontId="0" fillId="22" borderId="42" xfId="0" applyNumberFormat="1" applyFill="1" applyBorder="1" applyAlignment="1">
      <alignment horizontal="right"/>
    </xf>
    <xf numFmtId="4" fontId="111" fillId="22" borderId="24" xfId="0" applyNumberFormat="1" applyFont="1" applyFill="1" applyBorder="1" applyAlignment="1">
      <alignment horizontal="right"/>
    </xf>
    <xf numFmtId="2" fontId="0" fillId="17" borderId="0" xfId="0" applyNumberFormat="1" applyFill="1"/>
    <xf numFmtId="169" fontId="0" fillId="0" borderId="2" xfId="0" applyNumberFormat="1" applyBorder="1" applyAlignment="1">
      <alignment horizontal="right"/>
    </xf>
    <xf numFmtId="2" fontId="0" fillId="0" borderId="24" xfId="0" applyNumberFormat="1" applyBorder="1" applyAlignment="1">
      <alignment horizontal="right"/>
    </xf>
    <xf numFmtId="169" fontId="0" fillId="0" borderId="54" xfId="0" applyNumberFormat="1" applyBorder="1" applyAlignment="1">
      <alignment horizontal="right"/>
    </xf>
    <xf numFmtId="4" fontId="0" fillId="0" borderId="48" xfId="0" applyNumberFormat="1" applyBorder="1" applyAlignment="1">
      <alignment horizontal="right"/>
    </xf>
    <xf numFmtId="0" fontId="0" fillId="0" borderId="48" xfId="0" applyBorder="1"/>
    <xf numFmtId="206" fontId="0" fillId="0" borderId="0" xfId="21" applyNumberFormat="1" applyFont="1"/>
    <xf numFmtId="0" fontId="115" fillId="0" borderId="17" xfId="0" applyFont="1" applyBorder="1" applyAlignment="1">
      <alignment horizontal="left"/>
    </xf>
    <xf numFmtId="184" fontId="115" fillId="0" borderId="17" xfId="0" applyNumberFormat="1" applyFont="1" applyBorder="1"/>
    <xf numFmtId="170" fontId="115" fillId="0" borderId="17" xfId="0" applyNumberFormat="1" applyFont="1" applyBorder="1"/>
    <xf numFmtId="0" fontId="115" fillId="12" borderId="17" xfId="0" applyFont="1" applyFill="1" applyBorder="1" applyAlignment="1">
      <alignment horizontal="left"/>
    </xf>
    <xf numFmtId="10" fontId="115" fillId="12" borderId="17" xfId="21" applyNumberFormat="1" applyFont="1" applyFill="1" applyBorder="1" applyAlignment="1"/>
    <xf numFmtId="0" fontId="58" fillId="12" borderId="0" xfId="0" applyFont="1" applyFill="1" applyAlignment="1">
      <alignment horizontal="left"/>
    </xf>
    <xf numFmtId="0" fontId="58" fillId="12" borderId="0" xfId="0" applyFont="1" applyFill="1" applyAlignment="1">
      <alignment horizontal="center"/>
    </xf>
    <xf numFmtId="16" fontId="58" fillId="12" borderId="0" xfId="0" applyNumberFormat="1" applyFont="1" applyFill="1" applyAlignment="1">
      <alignment horizontal="center"/>
    </xf>
    <xf numFmtId="0" fontId="115" fillId="0" borderId="17" xfId="0" applyFont="1" applyBorder="1"/>
    <xf numFmtId="170" fontId="115" fillId="12" borderId="17" xfId="0" applyNumberFormat="1" applyFont="1" applyFill="1" applyBorder="1"/>
    <xf numFmtId="0" fontId="115" fillId="12" borderId="17" xfId="0" applyFont="1" applyFill="1" applyBorder="1"/>
    <xf numFmtId="2" fontId="55" fillId="0" borderId="17" xfId="0" applyNumberFormat="1" applyFont="1" applyBorder="1"/>
    <xf numFmtId="202" fontId="0" fillId="0" borderId="0" xfId="0" applyNumberFormat="1"/>
    <xf numFmtId="0" fontId="115" fillId="0" borderId="17" xfId="0" applyFont="1" applyBorder="1" applyAlignment="1">
      <alignment horizontal="center"/>
    </xf>
    <xf numFmtId="0" fontId="111" fillId="0" borderId="0" xfId="0" applyFont="1"/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16" fontId="115" fillId="0" borderId="0" xfId="0" applyNumberFormat="1" applyFont="1" applyAlignment="1">
      <alignment horizontal="center"/>
    </xf>
    <xf numFmtId="0" fontId="115" fillId="12" borderId="17" xfId="0" applyFont="1" applyFill="1" applyBorder="1" applyAlignment="1">
      <alignment horizontal="center"/>
    </xf>
    <xf numFmtId="0" fontId="111" fillId="12" borderId="0" xfId="0" applyFont="1" applyFill="1"/>
    <xf numFmtId="0" fontId="115" fillId="12" borderId="0" xfId="0" applyFont="1" applyFill="1" applyAlignment="1">
      <alignment horizontal="left"/>
    </xf>
    <xf numFmtId="0" fontId="115" fillId="12" borderId="0" xfId="0" applyFont="1" applyFill="1" applyAlignment="1">
      <alignment horizontal="center"/>
    </xf>
    <xf numFmtId="16" fontId="115" fillId="12" borderId="0" xfId="0" applyNumberFormat="1" applyFont="1" applyFill="1" applyAlignment="1">
      <alignment horizontal="center"/>
    </xf>
    <xf numFmtId="17" fontId="115" fillId="12" borderId="0" xfId="0" applyNumberFormat="1" applyFont="1" applyFill="1" applyAlignment="1">
      <alignment horizontal="center"/>
    </xf>
    <xf numFmtId="10" fontId="55" fillId="0" borderId="0" xfId="21" applyNumberFormat="1" applyFont="1" applyBorder="1"/>
    <xf numFmtId="170" fontId="55" fillId="0" borderId="0" xfId="0" applyNumberFormat="1" applyFont="1" applyAlignment="1">
      <alignment horizontal="center" vertical="center"/>
    </xf>
    <xf numFmtId="2" fontId="115" fillId="0" borderId="17" xfId="0" applyNumberFormat="1" applyFont="1" applyBorder="1" applyAlignment="1">
      <alignment horizontal="center"/>
    </xf>
    <xf numFmtId="2" fontId="115" fillId="12" borderId="17" xfId="0" applyNumberFormat="1" applyFont="1" applyFill="1" applyBorder="1" applyAlignment="1">
      <alignment horizontal="center"/>
    </xf>
    <xf numFmtId="43" fontId="115" fillId="0" borderId="17" xfId="0" applyNumberFormat="1" applyFont="1" applyBorder="1" applyAlignment="1">
      <alignment horizontal="center"/>
    </xf>
    <xf numFmtId="43" fontId="115" fillId="12" borderId="17" xfId="0" applyNumberFormat="1" applyFont="1" applyFill="1" applyBorder="1" applyAlignment="1">
      <alignment horizontal="center"/>
    </xf>
    <xf numFmtId="0" fontId="139" fillId="10" borderId="0" xfId="1" applyNumberFormat="1" applyFont="1" applyFill="1" applyBorder="1" applyAlignment="1">
      <alignment horizontal="right"/>
    </xf>
    <xf numFmtId="17" fontId="53" fillId="0" borderId="0" xfId="0" applyNumberFormat="1" applyFont="1"/>
    <xf numFmtId="10" fontId="0" fillId="0" borderId="0" xfId="21" applyNumberFormat="1" applyFont="1" applyFill="1"/>
    <xf numFmtId="0" fontId="123" fillId="0" borderId="0" xfId="0" applyFont="1" applyAlignment="1">
      <alignment horizontal="left"/>
    </xf>
    <xf numFmtId="9" fontId="0" fillId="0" borderId="0" xfId="21" applyFont="1"/>
    <xf numFmtId="0" fontId="35" fillId="0" borderId="0" xfId="259"/>
    <xf numFmtId="0" fontId="53" fillId="0" borderId="0" xfId="0" applyFont="1" applyAlignment="1">
      <alignment horizontal="right"/>
    </xf>
    <xf numFmtId="165" fontId="35" fillId="0" borderId="0" xfId="1" applyFont="1" applyFill="1" applyBorder="1" applyAlignment="1"/>
    <xf numFmtId="0" fontId="92" fillId="0" borderId="0" xfId="259" applyFont="1"/>
    <xf numFmtId="43" fontId="53" fillId="0" borderId="17" xfId="0" applyNumberFormat="1" applyFont="1" applyBorder="1"/>
    <xf numFmtId="2" fontId="53" fillId="10" borderId="17" xfId="0" applyNumberFormat="1" applyFont="1" applyFill="1" applyBorder="1"/>
    <xf numFmtId="0" fontId="171" fillId="0" borderId="0" xfId="0" applyFont="1"/>
    <xf numFmtId="4" fontId="0" fillId="0" borderId="0" xfId="0" applyNumberFormat="1" applyAlignment="1">
      <alignment horizontal="center"/>
    </xf>
    <xf numFmtId="17" fontId="35" fillId="0" borderId="0" xfId="259" applyNumberFormat="1"/>
    <xf numFmtId="0" fontId="172" fillId="0" borderId="46" xfId="0" applyFont="1" applyBorder="1" applyAlignment="1">
      <alignment horizontal="right" wrapText="1"/>
    </xf>
    <xf numFmtId="2" fontId="131" fillId="0" borderId="40" xfId="0" applyNumberFormat="1" applyFont="1" applyBorder="1" applyAlignment="1">
      <alignment horizontal="right" vertical="center"/>
    </xf>
    <xf numFmtId="2" fontId="131" fillId="0" borderId="25" xfId="0" applyNumberFormat="1" applyFont="1" applyBorder="1" applyAlignment="1">
      <alignment horizontal="right" vertical="center"/>
    </xf>
    <xf numFmtId="2" fontId="131" fillId="0" borderId="80" xfId="0" applyNumberFormat="1" applyFont="1" applyBorder="1" applyAlignment="1">
      <alignment horizontal="right" vertical="center"/>
    </xf>
    <xf numFmtId="17" fontId="93" fillId="0" borderId="0" xfId="0" applyNumberFormat="1" applyFont="1"/>
    <xf numFmtId="2" fontId="131" fillId="0" borderId="26" xfId="0" applyNumberFormat="1" applyFont="1" applyBorder="1" applyAlignment="1">
      <alignment horizontal="right" vertical="center"/>
    </xf>
    <xf numFmtId="0" fontId="123" fillId="0" borderId="23" xfId="0" applyFont="1" applyBorder="1" applyAlignment="1">
      <alignment horizontal="right"/>
    </xf>
    <xf numFmtId="0" fontId="123" fillId="0" borderId="0" xfId="0" applyFont="1" applyAlignment="1">
      <alignment horizontal="right"/>
    </xf>
    <xf numFmtId="3" fontId="0" fillId="10" borderId="0" xfId="0" applyNumberFormat="1" applyFill="1" applyAlignment="1">
      <alignment horizontal="right"/>
    </xf>
    <xf numFmtId="10" fontId="53" fillId="10" borderId="0" xfId="21" applyNumberFormat="1" applyFont="1" applyFill="1"/>
    <xf numFmtId="165" fontId="53" fillId="0" borderId="17" xfId="1" applyFont="1" applyBorder="1" applyAlignment="1">
      <alignment horizontal="left"/>
    </xf>
    <xf numFmtId="165" fontId="0" fillId="0" borderId="17" xfId="1" applyFont="1" applyBorder="1" applyAlignment="1">
      <alignment horizontal="left"/>
    </xf>
    <xf numFmtId="173" fontId="139" fillId="0" borderId="25" xfId="1" applyNumberFormat="1" applyFont="1" applyFill="1" applyBorder="1" applyAlignment="1">
      <alignment horizontal="right"/>
    </xf>
    <xf numFmtId="166" fontId="139" fillId="0" borderId="0" xfId="1" applyNumberFormat="1" applyFont="1" applyFill="1" applyBorder="1"/>
    <xf numFmtId="166" fontId="139" fillId="0" borderId="19" xfId="1" applyNumberFormat="1" applyFont="1" applyFill="1" applyBorder="1"/>
    <xf numFmtId="2" fontId="138" fillId="0" borderId="40" xfId="0" applyNumberFormat="1" applyFont="1" applyBorder="1" applyAlignment="1">
      <alignment horizontal="right" vertical="center"/>
    </xf>
    <xf numFmtId="0" fontId="123" fillId="0" borderId="19" xfId="0" applyFont="1" applyBorder="1"/>
    <xf numFmtId="17" fontId="123" fillId="0" borderId="19" xfId="0" applyNumberFormat="1" applyFont="1" applyBorder="1"/>
    <xf numFmtId="0" fontId="173" fillId="0" borderId="63" xfId="0" applyFont="1" applyBorder="1" applyAlignment="1">
      <alignment horizontal="right"/>
    </xf>
    <xf numFmtId="0" fontId="173" fillId="0" borderId="23" xfId="0" applyFont="1" applyBorder="1" applyAlignment="1">
      <alignment horizontal="right"/>
    </xf>
    <xf numFmtId="0" fontId="173" fillId="0" borderId="47" xfId="0" applyFont="1" applyBorder="1" applyAlignment="1">
      <alignment horizontal="right"/>
    </xf>
    <xf numFmtId="0" fontId="174" fillId="0" borderId="0" xfId="0" applyFont="1"/>
    <xf numFmtId="0" fontId="175" fillId="0" borderId="0" xfId="0" applyFont="1"/>
    <xf numFmtId="0" fontId="139" fillId="0" borderId="0" xfId="0" applyFont="1"/>
    <xf numFmtId="191" fontId="139" fillId="0" borderId="0" xfId="1" applyNumberFormat="1" applyFont="1" applyFill="1" applyBorder="1"/>
    <xf numFmtId="2" fontId="138" fillId="0" borderId="80" xfId="0" applyNumberFormat="1" applyFont="1" applyBorder="1" applyAlignment="1">
      <alignment horizontal="right" vertical="center"/>
    </xf>
    <xf numFmtId="173" fontId="139" fillId="0" borderId="26" xfId="1" applyNumberFormat="1" applyFont="1" applyFill="1" applyBorder="1" applyAlignment="1">
      <alignment horizontal="right"/>
    </xf>
    <xf numFmtId="166" fontId="139" fillId="0" borderId="27" xfId="1" applyNumberFormat="1" applyFont="1" applyFill="1" applyBorder="1"/>
    <xf numFmtId="166" fontId="139" fillId="0" borderId="83" xfId="1" applyNumberFormat="1" applyFont="1" applyFill="1" applyBorder="1"/>
    <xf numFmtId="200" fontId="0" fillId="0" borderId="17" xfId="0" applyNumberFormat="1" applyBorder="1"/>
    <xf numFmtId="0" fontId="115" fillId="0" borderId="17" xfId="0" applyFont="1" applyBorder="1" applyAlignment="1">
      <alignment horizontal="right"/>
    </xf>
    <xf numFmtId="179" fontId="55" fillId="0" borderId="17" xfId="0" applyNumberFormat="1" applyFont="1" applyBorder="1" applyAlignment="1">
      <alignment horizontal="right"/>
    </xf>
    <xf numFmtId="2" fontId="115" fillId="0" borderId="17" xfId="0" applyNumberFormat="1" applyFont="1" applyBorder="1" applyAlignment="1">
      <alignment horizontal="right"/>
    </xf>
    <xf numFmtId="3" fontId="115" fillId="0" borderId="17" xfId="0" applyNumberFormat="1" applyFont="1" applyBorder="1" applyAlignment="1">
      <alignment horizontal="right"/>
    </xf>
    <xf numFmtId="179" fontId="115" fillId="0" borderId="17" xfId="0" applyNumberFormat="1" applyFont="1" applyBorder="1" applyAlignment="1">
      <alignment horizontal="right"/>
    </xf>
    <xf numFmtId="10" fontId="115" fillId="12" borderId="17" xfId="21" applyNumberFormat="1" applyFont="1" applyFill="1" applyBorder="1" applyAlignment="1">
      <alignment horizontal="right"/>
    </xf>
    <xf numFmtId="167" fontId="115" fillId="0" borderId="17" xfId="0" applyNumberFormat="1" applyFont="1" applyBorder="1" applyAlignment="1">
      <alignment horizontal="right"/>
    </xf>
    <xf numFmtId="167" fontId="115" fillId="12" borderId="17" xfId="0" applyNumberFormat="1" applyFont="1" applyFill="1" applyBorder="1" applyAlignment="1">
      <alignment horizontal="right"/>
    </xf>
    <xf numFmtId="0" fontId="115" fillId="12" borderId="17" xfId="0" applyFont="1" applyFill="1" applyBorder="1" applyAlignment="1">
      <alignment horizontal="right"/>
    </xf>
    <xf numFmtId="2" fontId="55" fillId="0" borderId="17" xfId="0" applyNumberFormat="1" applyFont="1" applyBorder="1" applyAlignment="1">
      <alignment horizontal="right"/>
    </xf>
    <xf numFmtId="0" fontId="58" fillId="3" borderId="9" xfId="0" applyFont="1" applyFill="1" applyBorder="1"/>
    <xf numFmtId="0" fontId="58" fillId="3" borderId="96" xfId="0" applyFont="1" applyFill="1" applyBorder="1" applyAlignment="1">
      <alignment horizontal="center"/>
    </xf>
    <xf numFmtId="17" fontId="58" fillId="3" borderId="8" xfId="0" applyNumberFormat="1" applyFont="1" applyFill="1" applyBorder="1" applyAlignment="1">
      <alignment horizontal="center"/>
    </xf>
    <xf numFmtId="17" fontId="58" fillId="3" borderId="9" xfId="0" applyNumberFormat="1" applyFont="1" applyFill="1" applyBorder="1" applyAlignment="1">
      <alignment horizontal="center"/>
    </xf>
    <xf numFmtId="17" fontId="58" fillId="3" borderId="97" xfId="0" applyNumberFormat="1" applyFont="1" applyFill="1" applyBorder="1" applyAlignment="1">
      <alignment horizontal="center"/>
    </xf>
    <xf numFmtId="179" fontId="111" fillId="0" borderId="1" xfId="0" applyNumberFormat="1" applyFont="1" applyBorder="1" applyAlignment="1">
      <alignment horizontal="right"/>
    </xf>
    <xf numFmtId="0" fontId="0" fillId="0" borderId="48" xfId="0" applyBorder="1" applyAlignment="1">
      <alignment horizontal="center"/>
    </xf>
    <xf numFmtId="179" fontId="0" fillId="0" borderId="0" xfId="0" applyNumberFormat="1" applyAlignment="1">
      <alignment horizontal="right"/>
    </xf>
    <xf numFmtId="179" fontId="0" fillId="0" borderId="17" xfId="0" applyNumberFormat="1" applyBorder="1" applyAlignment="1">
      <alignment horizontal="right"/>
    </xf>
    <xf numFmtId="10" fontId="0" fillId="0" borderId="0" xfId="21" applyNumberFormat="1" applyFont="1" applyAlignment="1">
      <alignment horizontal="right"/>
    </xf>
    <xf numFmtId="179" fontId="111" fillId="0" borderId="14" xfId="0" applyNumberFormat="1" applyFont="1" applyBorder="1" applyAlignment="1">
      <alignment horizontal="right"/>
    </xf>
    <xf numFmtId="179" fontId="111" fillId="0" borderId="2" xfId="0" applyNumberFormat="1" applyFont="1" applyBorder="1" applyAlignment="1">
      <alignment horizontal="right"/>
    </xf>
    <xf numFmtId="179" fontId="0" fillId="0" borderId="9" xfId="0" applyNumberForma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55" fillId="0" borderId="0" xfId="0" applyNumberFormat="1" applyFont="1" applyAlignment="1">
      <alignment horizontal="right"/>
    </xf>
    <xf numFmtId="167" fontId="98" fillId="0" borderId="0" xfId="0" applyNumberFormat="1" applyFont="1"/>
    <xf numFmtId="179" fontId="0" fillId="0" borderId="45" xfId="0" applyNumberFormat="1" applyBorder="1" applyAlignment="1">
      <alignment horizontal="right"/>
    </xf>
    <xf numFmtId="179" fontId="0" fillId="0" borderId="24" xfId="0" applyNumberFormat="1" applyBorder="1" applyAlignment="1">
      <alignment horizontal="right"/>
    </xf>
    <xf numFmtId="179" fontId="0" fillId="0" borderId="50" xfId="0" applyNumberFormat="1" applyBorder="1" applyAlignment="1">
      <alignment horizontal="right"/>
    </xf>
    <xf numFmtId="168" fontId="55" fillId="0" borderId="7" xfId="0" applyNumberFormat="1" applyFont="1" applyBorder="1" applyAlignment="1">
      <alignment horizontal="right"/>
    </xf>
    <xf numFmtId="168" fontId="55" fillId="0" borderId="27" xfId="0" applyNumberFormat="1" applyFont="1" applyBorder="1" applyAlignment="1">
      <alignment horizontal="right"/>
    </xf>
    <xf numFmtId="179" fontId="55" fillId="0" borderId="2" xfId="0" applyNumberFormat="1" applyFont="1" applyBorder="1" applyAlignment="1">
      <alignment horizontal="right"/>
    </xf>
    <xf numFmtId="179" fontId="55" fillId="0" borderId="3" xfId="0" applyNumberFormat="1" applyFont="1" applyBorder="1" applyAlignment="1">
      <alignment horizontal="right"/>
    </xf>
    <xf numFmtId="179" fontId="55" fillId="0" borderId="6" xfId="0" applyNumberFormat="1" applyFont="1" applyBorder="1" applyAlignment="1">
      <alignment horizontal="right"/>
    </xf>
    <xf numFmtId="179" fontId="55" fillId="0" borderId="13" xfId="0" applyNumberFormat="1" applyFont="1" applyBorder="1" applyAlignment="1">
      <alignment horizontal="right"/>
    </xf>
    <xf numFmtId="17" fontId="55" fillId="0" borderId="7" xfId="0" applyNumberFormat="1" applyFont="1" applyBorder="1" applyAlignment="1">
      <alignment horizontal="center"/>
    </xf>
    <xf numFmtId="17" fontId="55" fillId="0" borderId="2" xfId="0" applyNumberFormat="1" applyFont="1" applyBorder="1" applyAlignment="1">
      <alignment horizontal="center"/>
    </xf>
    <xf numFmtId="17" fontId="55" fillId="0" borderId="27" xfId="0" applyNumberFormat="1" applyFont="1" applyBorder="1" applyAlignment="1">
      <alignment horizontal="center"/>
    </xf>
    <xf numFmtId="0" fontId="130" fillId="0" borderId="1" xfId="0" applyFont="1" applyBorder="1"/>
    <xf numFmtId="0" fontId="176" fillId="0" borderId="0" xfId="0" applyFont="1"/>
    <xf numFmtId="0" fontId="130" fillId="0" borderId="20" xfId="0" applyFont="1" applyBorder="1" applyAlignment="1">
      <alignment horizontal="left"/>
    </xf>
    <xf numFmtId="0" fontId="130" fillId="0" borderId="45" xfId="0" applyFont="1" applyBorder="1"/>
    <xf numFmtId="0" fontId="130" fillId="0" borderId="20" xfId="0" applyFont="1" applyBorder="1"/>
    <xf numFmtId="0" fontId="55" fillId="0" borderId="20" xfId="0" applyFont="1" applyBorder="1"/>
    <xf numFmtId="0" fontId="177" fillId="0" borderId="0" xfId="0" applyFont="1"/>
    <xf numFmtId="0" fontId="146" fillId="0" borderId="47" xfId="0" applyFont="1" applyBorder="1"/>
    <xf numFmtId="0" fontId="55" fillId="0" borderId="19" xfId="0" applyFont="1" applyBorder="1"/>
    <xf numFmtId="0" fontId="55" fillId="0" borderId="16" xfId="0" applyFont="1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4" fontId="55" fillId="0" borderId="0" xfId="0" applyNumberFormat="1" applyFont="1" applyAlignment="1">
      <alignment horizontal="right"/>
    </xf>
    <xf numFmtId="0" fontId="55" fillId="4" borderId="60" xfId="0" applyFont="1" applyFill="1" applyBorder="1" applyAlignment="1">
      <alignment horizontal="center" vertical="center"/>
    </xf>
    <xf numFmtId="4" fontId="55" fillId="4" borderId="53" xfId="0" applyNumberFormat="1" applyFont="1" applyFill="1" applyBorder="1" applyAlignment="1">
      <alignment horizontal="center" vertical="center"/>
    </xf>
    <xf numFmtId="0" fontId="55" fillId="0" borderId="19" xfId="0" applyFont="1" applyBorder="1" applyAlignment="1">
      <alignment horizontal="center"/>
    </xf>
    <xf numFmtId="4" fontId="55" fillId="0" borderId="19" xfId="0" applyNumberFormat="1" applyFont="1" applyBorder="1" applyAlignment="1">
      <alignment horizontal="right"/>
    </xf>
    <xf numFmtId="165" fontId="55" fillId="12" borderId="53" xfId="1" applyFont="1" applyFill="1" applyBorder="1" applyAlignment="1">
      <alignment horizontal="center" vertical="center"/>
    </xf>
    <xf numFmtId="0" fontId="177" fillId="0" borderId="0" xfId="0" applyFont="1" applyAlignment="1">
      <alignment horizontal="left"/>
    </xf>
    <xf numFmtId="0" fontId="178" fillId="0" borderId="0" xfId="0" applyFont="1"/>
    <xf numFmtId="206" fontId="0" fillId="0" borderId="2" xfId="0" applyNumberFormat="1" applyBorder="1" applyAlignment="1">
      <alignment horizontal="center"/>
    </xf>
    <xf numFmtId="0" fontId="179" fillId="0" borderId="0" xfId="0" applyFont="1"/>
    <xf numFmtId="2" fontId="53" fillId="0" borderId="3" xfId="0" applyNumberFormat="1" applyFont="1" applyBorder="1" applyAlignment="1">
      <alignment horizontal="center"/>
    </xf>
    <xf numFmtId="10" fontId="53" fillId="0" borderId="2" xfId="21" applyNumberFormat="1" applyFont="1" applyBorder="1" applyAlignment="1">
      <alignment horizontal="center"/>
    </xf>
    <xf numFmtId="0" fontId="53" fillId="0" borderId="6" xfId="0" applyFont="1" applyBorder="1" applyAlignment="1">
      <alignment horizontal="center"/>
    </xf>
    <xf numFmtId="2" fontId="53" fillId="0" borderId="6" xfId="0" applyNumberFormat="1" applyFont="1" applyBorder="1" applyAlignment="1">
      <alignment horizontal="center"/>
    </xf>
    <xf numFmtId="206" fontId="0" fillId="0" borderId="3" xfId="0" applyNumberFormat="1" applyBorder="1" applyAlignment="1">
      <alignment horizontal="center"/>
    </xf>
    <xf numFmtId="0" fontId="53" fillId="0" borderId="4" xfId="0" applyFont="1" applyBorder="1" applyAlignment="1">
      <alignment horizontal="right"/>
    </xf>
    <xf numFmtId="192" fontId="0" fillId="0" borderId="0" xfId="0" applyNumberFormat="1"/>
    <xf numFmtId="10" fontId="53" fillId="0" borderId="0" xfId="21" applyNumberFormat="1" applyFont="1" applyFill="1"/>
    <xf numFmtId="3" fontId="0" fillId="10" borderId="0" xfId="0" applyNumberFormat="1" applyFill="1"/>
    <xf numFmtId="3" fontId="139" fillId="10" borderId="25" xfId="0" applyNumberFormat="1" applyFont="1" applyFill="1" applyBorder="1"/>
    <xf numFmtId="3" fontId="139" fillId="10" borderId="26" xfId="0" applyNumberFormat="1" applyFont="1" applyFill="1" applyBorder="1"/>
    <xf numFmtId="2" fontId="131" fillId="0" borderId="0" xfId="0" applyNumberFormat="1" applyFont="1" applyAlignment="1">
      <alignment horizontal="right" vertical="center"/>
    </xf>
    <xf numFmtId="0" fontId="53" fillId="0" borderId="0" xfId="0" applyFont="1" applyAlignment="1">
      <alignment horizontal="left"/>
    </xf>
    <xf numFmtId="165" fontId="53" fillId="0" borderId="24" xfId="1" applyFont="1" applyFill="1" applyBorder="1" applyAlignment="1">
      <alignment horizontal="right"/>
    </xf>
    <xf numFmtId="4" fontId="0" fillId="0" borderId="4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24" xfId="0" applyBorder="1" applyAlignment="1">
      <alignment horizontal="right"/>
    </xf>
    <xf numFmtId="0" fontId="115" fillId="0" borderId="17" xfId="0" applyFont="1" applyBorder="1" applyAlignment="1">
      <alignment horizontal="left" wrapText="1"/>
    </xf>
    <xf numFmtId="0" fontId="115" fillId="0" borderId="17" xfId="0" applyFont="1" applyBorder="1" applyAlignment="1">
      <alignment horizontal="center" wrapText="1"/>
    </xf>
    <xf numFmtId="170" fontId="115" fillId="0" borderId="17" xfId="0" applyNumberFormat="1" applyFont="1" applyBorder="1" applyAlignment="1">
      <alignment horizontal="right" wrapText="1"/>
    </xf>
    <xf numFmtId="0" fontId="111" fillId="0" borderId="0" xfId="0" applyFont="1" applyAlignment="1">
      <alignment wrapText="1"/>
    </xf>
    <xf numFmtId="0" fontId="115" fillId="0" borderId="0" xfId="0" applyFont="1" applyAlignment="1">
      <alignment horizontal="left" wrapText="1"/>
    </xf>
    <xf numFmtId="0" fontId="115" fillId="0" borderId="0" xfId="0" applyFont="1" applyAlignment="1">
      <alignment horizontal="center" wrapText="1"/>
    </xf>
    <xf numFmtId="16" fontId="115" fillId="0" borderId="0" xfId="0" applyNumberFormat="1" applyFont="1" applyAlignment="1">
      <alignment horizontal="center" wrapText="1"/>
    </xf>
    <xf numFmtId="0" fontId="115" fillId="12" borderId="17" xfId="0" applyFont="1" applyFill="1" applyBorder="1" applyAlignment="1">
      <alignment horizontal="left" wrapText="1"/>
    </xf>
    <xf numFmtId="0" fontId="115" fillId="12" borderId="17" xfId="0" applyFont="1" applyFill="1" applyBorder="1" applyAlignment="1">
      <alignment horizontal="center" wrapText="1"/>
    </xf>
    <xf numFmtId="170" fontId="115" fillId="12" borderId="17" xfId="0" applyNumberFormat="1" applyFont="1" applyFill="1" applyBorder="1" applyAlignment="1">
      <alignment horizontal="right" wrapText="1"/>
    </xf>
    <xf numFmtId="207" fontId="0" fillId="0" borderId="0" xfId="21" applyNumberFormat="1" applyFont="1"/>
    <xf numFmtId="206" fontId="0" fillId="0" borderId="0" xfId="21" applyNumberFormat="1" applyFont="1" applyAlignment="1">
      <alignment horizontal="right"/>
    </xf>
    <xf numFmtId="0" fontId="53" fillId="40" borderId="0" xfId="0" applyFont="1" applyFill="1"/>
    <xf numFmtId="4" fontId="0" fillId="0" borderId="2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0" fontId="53" fillId="34" borderId="17" xfId="0" applyFont="1" applyFill="1" applyBorder="1"/>
    <xf numFmtId="180" fontId="0" fillId="34" borderId="17" xfId="21" applyNumberFormat="1" applyFont="1" applyFill="1" applyBorder="1"/>
    <xf numFmtId="0" fontId="53" fillId="36" borderId="17" xfId="0" applyFont="1" applyFill="1" applyBorder="1"/>
    <xf numFmtId="0" fontId="0" fillId="36" borderId="17" xfId="0" applyFill="1" applyBorder="1"/>
    <xf numFmtId="208" fontId="55" fillId="4" borderId="6" xfId="0" applyNumberFormat="1" applyFont="1" applyFill="1" applyBorder="1" applyAlignment="1">
      <alignment horizontal="center"/>
    </xf>
    <xf numFmtId="208" fontId="55" fillId="4" borderId="13" xfId="0" applyNumberFormat="1" applyFont="1" applyFill="1" applyBorder="1" applyAlignment="1">
      <alignment horizontal="center"/>
    </xf>
    <xf numFmtId="209" fontId="55" fillId="4" borderId="6" xfId="0" applyNumberFormat="1" applyFont="1" applyFill="1" applyBorder="1" applyAlignment="1">
      <alignment horizontal="center"/>
    </xf>
    <xf numFmtId="209" fontId="55" fillId="4" borderId="13" xfId="0" applyNumberFormat="1" applyFont="1" applyFill="1" applyBorder="1" applyAlignment="1">
      <alignment horizontal="center"/>
    </xf>
    <xf numFmtId="210" fontId="55" fillId="4" borderId="6" xfId="0" applyNumberFormat="1" applyFont="1" applyFill="1" applyBorder="1" applyAlignment="1">
      <alignment horizontal="center"/>
    </xf>
    <xf numFmtId="210" fontId="55" fillId="4" borderId="13" xfId="0" applyNumberFormat="1" applyFont="1" applyFill="1" applyBorder="1" applyAlignment="1">
      <alignment horizontal="center"/>
    </xf>
    <xf numFmtId="168" fontId="0" fillId="36" borderId="17" xfId="0" applyNumberFormat="1" applyFill="1" applyBorder="1"/>
    <xf numFmtId="180" fontId="0" fillId="36" borderId="17" xfId="0" applyNumberFormat="1" applyFill="1" applyBorder="1"/>
    <xf numFmtId="206" fontId="0" fillId="0" borderId="0" xfId="0" applyNumberFormat="1"/>
    <xf numFmtId="0" fontId="55" fillId="0" borderId="0" xfId="0" applyFont="1" applyAlignment="1">
      <alignment horizontal="left"/>
    </xf>
    <xf numFmtId="0" fontId="178" fillId="0" borderId="0" xfId="0" applyFont="1" applyAlignment="1">
      <alignment horizontal="left"/>
    </xf>
    <xf numFmtId="17" fontId="58" fillId="3" borderId="56" xfId="0" applyNumberFormat="1" applyFont="1" applyFill="1" applyBorder="1" applyAlignment="1">
      <alignment horizontal="center" vertical="center"/>
    </xf>
    <xf numFmtId="0" fontId="110" fillId="0" borderId="17" xfId="15" applyFont="1" applyBorder="1"/>
    <xf numFmtId="0" fontId="110" fillId="0" borderId="17" xfId="15" applyFont="1" applyBorder="1" applyAlignment="1">
      <alignment horizontal="left" indent="1"/>
    </xf>
    <xf numFmtId="173" fontId="0" fillId="11" borderId="17" xfId="79" applyNumberFormat="1" applyFont="1" applyFill="1" applyBorder="1" applyAlignment="1">
      <alignment horizontal="center"/>
    </xf>
    <xf numFmtId="173" fontId="53" fillId="0" borderId="17" xfId="1" applyNumberFormat="1" applyFont="1" applyFill="1" applyBorder="1" applyAlignment="1"/>
    <xf numFmtId="3" fontId="0" fillId="0" borderId="17" xfId="0" applyNumberFormat="1" applyBorder="1"/>
    <xf numFmtId="173" fontId="53" fillId="11" borderId="17" xfId="79" applyNumberFormat="1" applyFont="1" applyFill="1" applyBorder="1" applyAlignment="1">
      <alignment horizontal="center"/>
    </xf>
    <xf numFmtId="173" fontId="111" fillId="11" borderId="17" xfId="79" applyNumberFormat="1" applyFont="1" applyFill="1" applyBorder="1" applyAlignment="1">
      <alignment horizontal="center"/>
    </xf>
    <xf numFmtId="0" fontId="73" fillId="0" borderId="41" xfId="24" applyFont="1" applyBorder="1" applyAlignment="1">
      <alignment horizontal="center" wrapText="1"/>
    </xf>
    <xf numFmtId="171" fontId="111" fillId="41" borderId="2" xfId="24" applyNumberFormat="1" applyFont="1" applyFill="1" applyBorder="1" applyAlignment="1">
      <alignment horizontal="center"/>
    </xf>
    <xf numFmtId="168" fontId="111" fillId="41" borderId="2" xfId="24" applyNumberFormat="1" applyFont="1" applyFill="1" applyBorder="1" applyAlignment="1">
      <alignment horizontal="center"/>
    </xf>
    <xf numFmtId="165" fontId="69" fillId="16" borderId="17" xfId="1" applyFont="1" applyFill="1" applyBorder="1"/>
    <xf numFmtId="165" fontId="69" fillId="23" borderId="17" xfId="1" applyFont="1" applyFill="1" applyBorder="1"/>
    <xf numFmtId="165" fontId="0" fillId="34" borderId="17" xfId="1" applyFont="1" applyFill="1" applyBorder="1"/>
    <xf numFmtId="169" fontId="0" fillId="34" borderId="42" xfId="0" applyNumberFormat="1" applyFill="1" applyBorder="1"/>
    <xf numFmtId="165" fontId="0" fillId="36" borderId="17" xfId="1" applyFont="1" applyFill="1" applyBorder="1"/>
    <xf numFmtId="182" fontId="53" fillId="0" borderId="0" xfId="0" applyNumberFormat="1" applyFont="1" applyAlignment="1">
      <alignment horizontal="center"/>
    </xf>
    <xf numFmtId="171" fontId="53" fillId="0" borderId="0" xfId="0" applyNumberFormat="1" applyFont="1" applyAlignment="1">
      <alignment horizontal="center"/>
    </xf>
    <xf numFmtId="168" fontId="111" fillId="0" borderId="0" xfId="0" applyNumberFormat="1" applyFont="1" applyAlignment="1">
      <alignment horizontal="center"/>
    </xf>
    <xf numFmtId="0" fontId="111" fillId="0" borderId="0" xfId="0" applyFont="1" applyAlignment="1">
      <alignment horizontal="center"/>
    </xf>
    <xf numFmtId="166" fontId="53" fillId="0" borderId="0" xfId="0" applyNumberFormat="1" applyFont="1"/>
    <xf numFmtId="2" fontId="53" fillId="0" borderId="0" xfId="0" applyNumberFormat="1" applyFont="1" applyAlignment="1">
      <alignment horizontal="center"/>
    </xf>
    <xf numFmtId="4" fontId="53" fillId="0" borderId="0" xfId="0" quotePrefix="1" applyNumberFormat="1" applyFont="1" applyAlignment="1">
      <alignment horizontal="right"/>
    </xf>
    <xf numFmtId="2" fontId="53" fillId="0" borderId="0" xfId="0" applyNumberFormat="1" applyFont="1" applyAlignment="1">
      <alignment horizontal="right"/>
    </xf>
    <xf numFmtId="181" fontId="34" fillId="0" borderId="17" xfId="21" applyNumberFormat="1" applyFont="1" applyBorder="1"/>
    <xf numFmtId="0" fontId="0" fillId="0" borderId="17" xfId="0" applyBorder="1" applyAlignment="1">
      <alignment horizontal="center" vertical="center"/>
    </xf>
    <xf numFmtId="0" fontId="67" fillId="12" borderId="1" xfId="0" applyFont="1" applyFill="1" applyBorder="1"/>
    <xf numFmtId="0" fontId="67" fillId="12" borderId="7" xfId="0" applyFont="1" applyFill="1" applyBorder="1" applyAlignment="1">
      <alignment horizontal="center"/>
    </xf>
    <xf numFmtId="2" fontId="67" fillId="12" borderId="2" xfId="0" applyNumberFormat="1" applyFont="1" applyFill="1" applyBorder="1" applyAlignment="1">
      <alignment horizontal="center"/>
    </xf>
    <xf numFmtId="4" fontId="53" fillId="0" borderId="17" xfId="0" applyNumberFormat="1" applyFont="1" applyBorder="1" applyAlignment="1">
      <alignment horizontal="center"/>
    </xf>
    <xf numFmtId="0" fontId="53" fillId="0" borderId="17" xfId="0" applyFont="1" applyBorder="1" applyAlignment="1">
      <alignment horizontal="center" vertical="center"/>
    </xf>
    <xf numFmtId="0" fontId="146" fillId="0" borderId="19" xfId="0" applyFont="1" applyBorder="1"/>
    <xf numFmtId="0" fontId="55" fillId="4" borderId="51" xfId="0" applyFont="1" applyFill="1" applyBorder="1" applyAlignment="1">
      <alignment horizontal="center" vertical="center"/>
    </xf>
    <xf numFmtId="0" fontId="55" fillId="4" borderId="40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57" fillId="12" borderId="1" xfId="0" applyFont="1" applyFill="1" applyBorder="1"/>
    <xf numFmtId="0" fontId="33" fillId="0" borderId="17" xfId="14" applyFont="1" applyBorder="1" applyAlignment="1">
      <alignment wrapText="1"/>
    </xf>
    <xf numFmtId="0" fontId="55" fillId="12" borderId="17" xfId="0" applyFont="1" applyFill="1" applyBorder="1" applyAlignment="1">
      <alignment horizontal="left" vertical="center" wrapText="1"/>
    </xf>
    <xf numFmtId="0" fontId="55" fillId="12" borderId="4" xfId="0" applyFont="1" applyFill="1" applyBorder="1" applyAlignment="1">
      <alignment horizontal="left" vertical="center" wrapText="1"/>
    </xf>
    <xf numFmtId="0" fontId="55" fillId="12" borderId="6" xfId="0" applyFont="1" applyFill="1" applyBorder="1" applyAlignment="1">
      <alignment horizontal="center" vertical="center"/>
    </xf>
    <xf numFmtId="2" fontId="55" fillId="12" borderId="6" xfId="0" applyNumberFormat="1" applyFont="1" applyFill="1" applyBorder="1" applyAlignment="1">
      <alignment horizontal="center" vertical="center"/>
    </xf>
    <xf numFmtId="2" fontId="55" fillId="12" borderId="41" xfId="0" applyNumberFormat="1" applyFont="1" applyFill="1" applyBorder="1" applyAlignment="1">
      <alignment horizontal="center" vertical="center"/>
    </xf>
    <xf numFmtId="0" fontId="55" fillId="12" borderId="0" xfId="0" applyFont="1" applyFill="1" applyAlignment="1">
      <alignment horizontal="left" vertical="center" wrapText="1"/>
    </xf>
    <xf numFmtId="0" fontId="55" fillId="12" borderId="0" xfId="0" applyFont="1" applyFill="1" applyAlignment="1">
      <alignment horizontal="center" vertical="center"/>
    </xf>
    <xf numFmtId="0" fontId="181" fillId="0" borderId="0" xfId="205" applyFont="1" applyAlignment="1">
      <alignment horizontal="left"/>
    </xf>
    <xf numFmtId="0" fontId="118" fillId="0" borderId="0" xfId="205" applyFont="1"/>
    <xf numFmtId="168" fontId="118" fillId="0" borderId="0" xfId="205" applyNumberFormat="1" applyFont="1"/>
    <xf numFmtId="206" fontId="55" fillId="4" borderId="6" xfId="0" applyNumberFormat="1" applyFont="1" applyFill="1" applyBorder="1" applyAlignment="1">
      <alignment horizontal="center"/>
    </xf>
    <xf numFmtId="0" fontId="91" fillId="0" borderId="0" xfId="0" applyFont="1" applyAlignment="1">
      <alignment wrapText="1"/>
    </xf>
    <xf numFmtId="1" fontId="111" fillId="16" borderId="3" xfId="24" applyNumberFormat="1" applyFont="1" applyFill="1" applyBorder="1" applyAlignment="1">
      <alignment horizontal="center"/>
    </xf>
    <xf numFmtId="0" fontId="111" fillId="16" borderId="3" xfId="24" applyFont="1" applyFill="1" applyBorder="1" applyAlignment="1">
      <alignment horizontal="center"/>
    </xf>
    <xf numFmtId="0" fontId="149" fillId="0" borderId="27" xfId="0" applyFont="1" applyBorder="1"/>
    <xf numFmtId="2" fontId="111" fillId="16" borderId="70" xfId="24" applyNumberFormat="1" applyFont="1" applyFill="1" applyBorder="1" applyAlignment="1">
      <alignment horizontal="center"/>
    </xf>
    <xf numFmtId="2" fontId="111" fillId="0" borderId="70" xfId="24" applyNumberFormat="1" applyFont="1" applyBorder="1" applyAlignment="1">
      <alignment horizontal="center"/>
    </xf>
    <xf numFmtId="4" fontId="53" fillId="12" borderId="15" xfId="24" applyNumberFormat="1" applyFill="1" applyBorder="1"/>
    <xf numFmtId="1" fontId="53" fillId="16" borderId="3" xfId="24" applyNumberFormat="1" applyFill="1" applyBorder="1"/>
    <xf numFmtId="2" fontId="53" fillId="0" borderId="3" xfId="24" applyNumberFormat="1" applyBorder="1"/>
    <xf numFmtId="17" fontId="58" fillId="0" borderId="0" xfId="0" applyNumberFormat="1" applyFont="1" applyAlignment="1">
      <alignment horizontal="center"/>
    </xf>
    <xf numFmtId="10" fontId="53" fillId="0" borderId="0" xfId="21" applyNumberFormat="1" applyFont="1" applyFill="1" applyBorder="1" applyAlignment="1">
      <alignment horizontal="center"/>
    </xf>
    <xf numFmtId="165" fontId="111" fillId="0" borderId="0" xfId="25" applyFont="1" applyFill="1" applyBorder="1" applyAlignment="1">
      <alignment horizontal="center"/>
    </xf>
    <xf numFmtId="2" fontId="111" fillId="0" borderId="0" xfId="24" applyNumberFormat="1" applyFont="1" applyAlignment="1">
      <alignment horizontal="center"/>
    </xf>
    <xf numFmtId="43" fontId="53" fillId="0" borderId="0" xfId="0" applyNumberFormat="1" applyFont="1" applyAlignment="1">
      <alignment horizontal="center"/>
    </xf>
    <xf numFmtId="165" fontId="53" fillId="0" borderId="0" xfId="25" applyFont="1" applyFill="1" applyBorder="1" applyAlignment="1">
      <alignment horizontal="center"/>
    </xf>
    <xf numFmtId="4" fontId="53" fillId="0" borderId="0" xfId="0" applyNumberFormat="1" applyFont="1" applyAlignment="1">
      <alignment horizontal="right"/>
    </xf>
    <xf numFmtId="1" fontId="53" fillId="0" borderId="0" xfId="24" applyNumberFormat="1" applyAlignment="1">
      <alignment horizontal="right"/>
    </xf>
    <xf numFmtId="2" fontId="67" fillId="0" borderId="0" xfId="0" applyNumberFormat="1" applyFont="1" applyAlignment="1">
      <alignment horizontal="right"/>
    </xf>
    <xf numFmtId="0" fontId="73" fillId="0" borderId="0" xfId="24" applyFont="1" applyAlignment="1">
      <alignment horizontal="center" wrapText="1"/>
    </xf>
    <xf numFmtId="10" fontId="53" fillId="11" borderId="3" xfId="21" applyNumberFormat="1" applyFont="1" applyFill="1" applyBorder="1" applyAlignment="1">
      <alignment horizontal="center"/>
    </xf>
    <xf numFmtId="165" fontId="111" fillId="11" borderId="3" xfId="25" applyFont="1" applyFill="1" applyBorder="1" applyAlignment="1">
      <alignment horizontal="center"/>
    </xf>
    <xf numFmtId="0" fontId="53" fillId="10" borderId="3" xfId="24" applyFill="1" applyBorder="1" applyAlignment="1">
      <alignment horizontal="center"/>
    </xf>
    <xf numFmtId="165" fontId="53" fillId="11" borderId="3" xfId="25" applyFont="1" applyFill="1" applyBorder="1" applyAlignment="1">
      <alignment horizontal="center"/>
    </xf>
    <xf numFmtId="0" fontId="67" fillId="0" borderId="8" xfId="0" applyFont="1" applyBorder="1"/>
    <xf numFmtId="0" fontId="0" fillId="0" borderId="9" xfId="0" applyBorder="1" applyAlignment="1">
      <alignment horizontal="center"/>
    </xf>
    <xf numFmtId="0" fontId="181" fillId="0" borderId="2" xfId="0" applyFont="1" applyBorder="1" applyAlignment="1">
      <alignment horizontal="right"/>
    </xf>
    <xf numFmtId="10" fontId="0" fillId="0" borderId="0" xfId="21" applyNumberFormat="1" applyFont="1" applyFill="1" applyBorder="1"/>
    <xf numFmtId="3" fontId="96" fillId="0" borderId="0" xfId="0" applyNumberFormat="1" applyFont="1"/>
    <xf numFmtId="44" fontId="59" fillId="0" borderId="0" xfId="1" applyNumberFormat="1" applyFont="1" applyBorder="1"/>
    <xf numFmtId="44" fontId="0" fillId="0" borderId="0" xfId="1" applyNumberFormat="1" applyFont="1" applyBorder="1"/>
    <xf numFmtId="44" fontId="0" fillId="0" borderId="0" xfId="1" applyNumberFormat="1" applyFont="1" applyFill="1" applyBorder="1"/>
    <xf numFmtId="44" fontId="0" fillId="12" borderId="0" xfId="1" applyNumberFormat="1" applyFont="1" applyFill="1" applyBorder="1"/>
    <xf numFmtId="44" fontId="58" fillId="3" borderId="0" xfId="1" applyNumberFormat="1" applyFont="1" applyFill="1" applyBorder="1" applyAlignment="1">
      <alignment horizontal="center" vertical="center" wrapText="1"/>
    </xf>
    <xf numFmtId="44" fontId="55" fillId="0" borderId="0" xfId="1" applyNumberFormat="1" applyFont="1" applyFill="1" applyBorder="1" applyAlignment="1">
      <alignment horizontal="center" vertical="center"/>
    </xf>
    <xf numFmtId="44" fontId="55" fillId="12" borderId="0" xfId="1" applyNumberFormat="1" applyFont="1" applyFill="1" applyBorder="1" applyAlignment="1">
      <alignment horizontal="center" vertical="center"/>
    </xf>
    <xf numFmtId="44" fontId="55" fillId="0" borderId="0" xfId="1" applyNumberFormat="1" applyFont="1" applyFill="1" applyBorder="1" applyAlignment="1">
      <alignment vertical="center" wrapText="1"/>
    </xf>
    <xf numFmtId="44" fontId="55" fillId="0" borderId="0" xfId="1" applyNumberFormat="1" applyFont="1" applyFill="1" applyBorder="1" applyAlignment="1">
      <alignment horizontal="left" vertical="center" wrapText="1"/>
    </xf>
    <xf numFmtId="44" fontId="55" fillId="0" borderId="0" xfId="1" applyNumberFormat="1" applyFont="1" applyFill="1" applyBorder="1"/>
    <xf numFmtId="44" fontId="55" fillId="0" borderId="0" xfId="1" applyNumberFormat="1" applyFont="1" applyBorder="1" applyAlignment="1">
      <alignment horizontal="center"/>
    </xf>
    <xf numFmtId="0" fontId="88" fillId="0" borderId="0" xfId="0" applyFont="1" applyAlignment="1">
      <alignment wrapText="1"/>
    </xf>
    <xf numFmtId="0" fontId="55" fillId="66" borderId="17" xfId="0" applyFont="1" applyFill="1" applyBorder="1" applyAlignment="1">
      <alignment horizontal="center"/>
    </xf>
    <xf numFmtId="173" fontId="0" fillId="66" borderId="17" xfId="1" applyNumberFormat="1" applyFont="1" applyFill="1" applyBorder="1" applyAlignment="1">
      <alignment horizontal="center"/>
    </xf>
    <xf numFmtId="0" fontId="0" fillId="66" borderId="0" xfId="0" applyFill="1"/>
    <xf numFmtId="0" fontId="67" fillId="66" borderId="17" xfId="0" applyFont="1" applyFill="1" applyBorder="1"/>
    <xf numFmtId="0" fontId="67" fillId="66" borderId="21" xfId="0" applyFont="1" applyFill="1" applyBorder="1" applyAlignment="1">
      <alignment horizontal="center"/>
    </xf>
    <xf numFmtId="165" fontId="0" fillId="66" borderId="17" xfId="1" applyFont="1" applyFill="1" applyBorder="1"/>
    <xf numFmtId="0" fontId="53" fillId="66" borderId="17" xfId="0" applyFont="1" applyFill="1" applyBorder="1"/>
    <xf numFmtId="165" fontId="100" fillId="0" borderId="0" xfId="0" applyNumberFormat="1" applyFont="1" applyAlignment="1">
      <alignment vertical="center"/>
    </xf>
    <xf numFmtId="0" fontId="93" fillId="0" borderId="0" xfId="0" applyFont="1" applyAlignment="1">
      <alignment wrapText="1"/>
    </xf>
    <xf numFmtId="0" fontId="182" fillId="0" borderId="0" xfId="0" applyFont="1"/>
    <xf numFmtId="187" fontId="57" fillId="0" borderId="0" xfId="0" applyNumberFormat="1" applyFont="1"/>
    <xf numFmtId="201" fontId="57" fillId="0" borderId="0" xfId="0" applyNumberFormat="1" applyFont="1"/>
    <xf numFmtId="0" fontId="53" fillId="0" borderId="0" xfId="0" applyFont="1" applyAlignment="1">
      <alignment wrapText="1"/>
    </xf>
    <xf numFmtId="0" fontId="81" fillId="12" borderId="17" xfId="0" applyFont="1" applyFill="1" applyBorder="1" applyAlignment="1">
      <alignment horizontal="left" indent="3"/>
    </xf>
    <xf numFmtId="0" fontId="53" fillId="12" borderId="17" xfId="0" applyFont="1" applyFill="1" applyBorder="1"/>
    <xf numFmtId="211" fontId="0" fillId="11" borderId="0" xfId="79" applyNumberFormat="1" applyFont="1" applyFill="1" applyBorder="1" applyAlignment="1">
      <alignment horizontal="center"/>
    </xf>
    <xf numFmtId="37" fontId="93" fillId="0" borderId="17" xfId="1" applyNumberFormat="1" applyFont="1" applyBorder="1"/>
    <xf numFmtId="37" fontId="0" fillId="0" borderId="17" xfId="1" applyNumberFormat="1" applyFont="1" applyBorder="1" applyAlignment="1">
      <alignment horizontal="center"/>
    </xf>
    <xf numFmtId="165" fontId="0" fillId="0" borderId="17" xfId="1" applyFont="1" applyBorder="1" applyAlignment="1">
      <alignment horizontal="center"/>
    </xf>
    <xf numFmtId="165" fontId="0" fillId="0" borderId="0" xfId="1" applyFont="1" applyAlignment="1">
      <alignment horizontal="center"/>
    </xf>
    <xf numFmtId="3" fontId="0" fillId="0" borderId="0" xfId="0" applyNumberFormat="1" applyAlignment="1">
      <alignment horizontal="center"/>
    </xf>
    <xf numFmtId="0" fontId="55" fillId="0" borderId="17" xfId="0" applyFont="1" applyBorder="1" applyAlignment="1">
      <alignment horizontal="left" vertical="center"/>
    </xf>
    <xf numFmtId="3" fontId="55" fillId="0" borderId="17" xfId="0" applyNumberFormat="1" applyFont="1" applyBorder="1" applyAlignment="1">
      <alignment vertical="center"/>
    </xf>
    <xf numFmtId="0" fontId="55" fillId="0" borderId="0" xfId="0" applyFont="1" applyAlignment="1">
      <alignment horizontal="left" vertical="center"/>
    </xf>
    <xf numFmtId="2" fontId="55" fillId="0" borderId="0" xfId="0" applyNumberFormat="1" applyFont="1" applyAlignment="1">
      <alignment vertical="center"/>
    </xf>
    <xf numFmtId="43" fontId="53" fillId="0" borderId="0" xfId="205" applyNumberFormat="1"/>
    <xf numFmtId="165" fontId="0" fillId="41" borderId="98" xfId="1" applyFont="1" applyFill="1" applyBorder="1"/>
    <xf numFmtId="0" fontId="53" fillId="0" borderId="17" xfId="205" applyBorder="1"/>
    <xf numFmtId="179" fontId="53" fillId="0" borderId="0" xfId="205" applyNumberFormat="1"/>
    <xf numFmtId="4" fontId="53" fillId="0" borderId="17" xfId="205" applyNumberFormat="1" applyBorder="1"/>
    <xf numFmtId="17" fontId="53" fillId="0" borderId="17" xfId="205" applyNumberFormat="1" applyBorder="1"/>
    <xf numFmtId="0" fontId="65" fillId="0" borderId="0" xfId="205" applyFont="1"/>
    <xf numFmtId="175" fontId="0" fillId="0" borderId="17" xfId="1" applyNumberFormat="1" applyFont="1" applyBorder="1"/>
    <xf numFmtId="0" fontId="53" fillId="0" borderId="0" xfId="205" applyAlignment="1">
      <alignment horizontal="center" vertical="center" wrapText="1"/>
    </xf>
    <xf numFmtId="0" fontId="53" fillId="0" borderId="17" xfId="205" applyBorder="1" applyAlignment="1">
      <alignment horizontal="center" vertical="center" wrapText="1"/>
    </xf>
    <xf numFmtId="0" fontId="183" fillId="0" borderId="0" xfId="205" applyFont="1"/>
    <xf numFmtId="2" fontId="53" fillId="41" borderId="17" xfId="205" applyNumberFormat="1" applyFill="1" applyBorder="1"/>
    <xf numFmtId="10" fontId="53" fillId="0" borderId="17" xfId="205" applyNumberFormat="1" applyBorder="1"/>
    <xf numFmtId="2" fontId="53" fillId="0" borderId="17" xfId="205" applyNumberFormat="1" applyBorder="1"/>
    <xf numFmtId="10" fontId="53" fillId="10" borderId="17" xfId="21" applyNumberFormat="1" applyFill="1" applyBorder="1"/>
    <xf numFmtId="0" fontId="171" fillId="0" borderId="0" xfId="205" applyFont="1"/>
    <xf numFmtId="0" fontId="131" fillId="0" borderId="46" xfId="0" applyFont="1" applyBorder="1" applyAlignment="1">
      <alignment horizontal="left" wrapText="1"/>
    </xf>
    <xf numFmtId="0" fontId="123" fillId="0" borderId="63" xfId="0" applyFont="1" applyBorder="1" applyAlignment="1">
      <alignment horizontal="left"/>
    </xf>
    <xf numFmtId="0" fontId="123" fillId="0" borderId="23" xfId="0" applyFont="1" applyBorder="1" applyAlignment="1">
      <alignment horizontal="left"/>
    </xf>
    <xf numFmtId="0" fontId="123" fillId="0" borderId="23" xfId="0" applyFont="1" applyBorder="1" applyAlignment="1">
      <alignment horizontal="left" indent="2"/>
    </xf>
    <xf numFmtId="0" fontId="123" fillId="0" borderId="47" xfId="0" applyFont="1" applyBorder="1" applyAlignment="1">
      <alignment horizontal="left"/>
    </xf>
    <xf numFmtId="2" fontId="0" fillId="0" borderId="53" xfId="0" applyNumberFormat="1" applyBorder="1"/>
    <xf numFmtId="0" fontId="53" fillId="11" borderId="2" xfId="24" applyFill="1" applyBorder="1" applyAlignment="1">
      <alignment horizontal="center"/>
    </xf>
    <xf numFmtId="165" fontId="0" fillId="0" borderId="7" xfId="1" applyFont="1" applyFill="1" applyBorder="1"/>
    <xf numFmtId="165" fontId="0" fillId="0" borderId="2" xfId="1" applyFont="1" applyFill="1" applyBorder="1"/>
    <xf numFmtId="164" fontId="0" fillId="0" borderId="0" xfId="0" applyNumberFormat="1"/>
    <xf numFmtId="178" fontId="55" fillId="0" borderId="0" xfId="1" applyNumberFormat="1" applyFont="1" applyFill="1" applyBorder="1"/>
    <xf numFmtId="43" fontId="0" fillId="0" borderId="17" xfId="0" applyNumberFormat="1" applyBorder="1" applyAlignment="1">
      <alignment horizontal="right" vertical="center"/>
    </xf>
    <xf numFmtId="43" fontId="0" fillId="67" borderId="17" xfId="0" applyNumberFormat="1" applyFill="1" applyBorder="1" applyAlignment="1">
      <alignment horizontal="right" vertical="center"/>
    </xf>
    <xf numFmtId="43" fontId="53" fillId="0" borderId="2" xfId="0" applyNumberFormat="1" applyFont="1" applyBorder="1" applyAlignment="1">
      <alignment horizontal="center"/>
    </xf>
    <xf numFmtId="43" fontId="53" fillId="11" borderId="2" xfId="0" applyNumberFormat="1" applyFont="1" applyFill="1" applyBorder="1"/>
    <xf numFmtId="166" fontId="92" fillId="0" borderId="17" xfId="1" applyNumberFormat="1" applyFont="1" applyBorder="1"/>
    <xf numFmtId="3" fontId="91" fillId="0" borderId="17" xfId="0" applyNumberFormat="1" applyFont="1" applyBorder="1"/>
    <xf numFmtId="0" fontId="55" fillId="0" borderId="35" xfId="0" applyFont="1" applyBorder="1" applyAlignment="1">
      <alignment horizontal="left"/>
    </xf>
    <xf numFmtId="170" fontId="0" fillId="22" borderId="2" xfId="0" applyNumberFormat="1" applyFill="1" applyBorder="1" applyAlignment="1">
      <alignment horizontal="right"/>
    </xf>
    <xf numFmtId="170" fontId="0" fillId="22" borderId="41" xfId="0" applyNumberFormat="1" applyFill="1" applyBorder="1" applyAlignment="1">
      <alignment horizontal="right"/>
    </xf>
    <xf numFmtId="170" fontId="55" fillId="0" borderId="17" xfId="0" applyNumberFormat="1" applyFont="1" applyBorder="1" applyAlignment="1">
      <alignment horizontal="right"/>
    </xf>
    <xf numFmtId="188" fontId="53" fillId="21" borderId="17" xfId="1" applyNumberFormat="1" applyFont="1" applyFill="1" applyBorder="1" applyAlignment="1">
      <alignment horizontal="right"/>
    </xf>
    <xf numFmtId="188" fontId="53" fillId="21" borderId="17" xfId="1" applyNumberFormat="1" applyFont="1" applyFill="1" applyBorder="1" applyAlignment="1">
      <alignment horizontal="center"/>
    </xf>
    <xf numFmtId="188" fontId="53" fillId="11" borderId="17" xfId="1" applyNumberFormat="1" applyFont="1" applyFill="1" applyBorder="1" applyAlignment="1">
      <alignment horizontal="center"/>
    </xf>
    <xf numFmtId="167" fontId="0" fillId="11" borderId="0" xfId="1" applyNumberFormat="1" applyFont="1" applyFill="1" applyBorder="1" applyAlignment="1">
      <alignment horizontal="center"/>
    </xf>
    <xf numFmtId="43" fontId="100" fillId="0" borderId="0" xfId="205" applyNumberFormat="1" applyFont="1"/>
    <xf numFmtId="0" fontId="100" fillId="0" borderId="0" xfId="205" applyFont="1" applyAlignment="1">
      <alignment horizontal="center"/>
    </xf>
    <xf numFmtId="0" fontId="100" fillId="0" borderId="0" xfId="205" applyFont="1"/>
    <xf numFmtId="165" fontId="53" fillId="0" borderId="0" xfId="205" applyNumberFormat="1"/>
    <xf numFmtId="0" fontId="82" fillId="0" borderId="0" xfId="205" applyFont="1"/>
    <xf numFmtId="0" fontId="82" fillId="0" borderId="0" xfId="205" applyFont="1" applyAlignment="1">
      <alignment vertical="center" wrapText="1"/>
    </xf>
    <xf numFmtId="173" fontId="53" fillId="0" borderId="0" xfId="205" applyNumberFormat="1"/>
    <xf numFmtId="0" fontId="146" fillId="0" borderId="0" xfId="205" applyFont="1"/>
    <xf numFmtId="165" fontId="53" fillId="0" borderId="0" xfId="1" applyFont="1" applyFill="1" applyBorder="1" applyAlignment="1"/>
    <xf numFmtId="168" fontId="53" fillId="0" borderId="0" xfId="205" applyNumberFormat="1"/>
    <xf numFmtId="0" fontId="67" fillId="0" borderId="17" xfId="205" applyFont="1" applyBorder="1" applyAlignment="1">
      <alignment horizontal="center"/>
    </xf>
    <xf numFmtId="168" fontId="53" fillId="0" borderId="17" xfId="205" applyNumberFormat="1" applyBorder="1" applyAlignment="1">
      <alignment horizontal="right" indent="1"/>
    </xf>
    <xf numFmtId="168" fontId="53" fillId="12" borderId="17" xfId="205" applyNumberFormat="1" applyFill="1" applyBorder="1" applyAlignment="1">
      <alignment horizontal="right" indent="1"/>
    </xf>
    <xf numFmtId="0" fontId="67" fillId="12" borderId="17" xfId="205" applyFont="1" applyFill="1" applyBorder="1" applyAlignment="1">
      <alignment horizontal="center"/>
    </xf>
    <xf numFmtId="165" fontId="53" fillId="0" borderId="17" xfId="1" applyFont="1" applyFill="1" applyBorder="1" applyAlignment="1"/>
    <xf numFmtId="165" fontId="53" fillId="12" borderId="17" xfId="1" applyFont="1" applyFill="1" applyBorder="1" applyAlignment="1"/>
    <xf numFmtId="0" fontId="93" fillId="0" borderId="0" xfId="205" applyFont="1"/>
    <xf numFmtId="174" fontId="53" fillId="0" borderId="17" xfId="1" applyNumberFormat="1" applyFont="1" applyFill="1" applyBorder="1" applyAlignment="1"/>
    <xf numFmtId="0" fontId="77" fillId="0" borderId="0" xfId="205" applyFont="1"/>
    <xf numFmtId="0" fontId="77" fillId="0" borderId="17" xfId="205" applyFont="1" applyBorder="1" applyAlignment="1">
      <alignment horizontal="center"/>
    </xf>
    <xf numFmtId="173" fontId="53" fillId="21" borderId="17" xfId="205" applyNumberFormat="1" applyFill="1" applyBorder="1" applyAlignment="1">
      <alignment horizontal="center"/>
    </xf>
    <xf numFmtId="0" fontId="53" fillId="21" borderId="17" xfId="205" applyFill="1" applyBorder="1" applyAlignment="1">
      <alignment horizontal="center"/>
    </xf>
    <xf numFmtId="0" fontId="67" fillId="21" borderId="17" xfId="205" applyFont="1" applyFill="1" applyBorder="1" applyAlignment="1">
      <alignment horizontal="center"/>
    </xf>
    <xf numFmtId="173" fontId="53" fillId="21" borderId="17" xfId="1" applyNumberFormat="1" applyFont="1" applyFill="1" applyBorder="1" applyAlignment="1">
      <alignment horizontal="center"/>
    </xf>
    <xf numFmtId="0" fontId="69" fillId="21" borderId="17" xfId="205" applyFont="1" applyFill="1" applyBorder="1" applyAlignment="1">
      <alignment horizontal="center"/>
    </xf>
    <xf numFmtId="0" fontId="77" fillId="21" borderId="17" xfId="205" applyFont="1" applyFill="1" applyBorder="1" applyAlignment="1">
      <alignment horizontal="center"/>
    </xf>
    <xf numFmtId="188" fontId="53" fillId="21" borderId="17" xfId="205" applyNumberFormat="1" applyFill="1" applyBorder="1" applyAlignment="1">
      <alignment horizontal="center"/>
    </xf>
    <xf numFmtId="165" fontId="100" fillId="21" borderId="17" xfId="205" applyNumberFormat="1" applyFont="1" applyFill="1" applyBorder="1" applyAlignment="1">
      <alignment horizontal="center"/>
    </xf>
    <xf numFmtId="165" fontId="53" fillId="21" borderId="17" xfId="1" applyFont="1" applyFill="1" applyBorder="1" applyAlignment="1">
      <alignment horizontal="center"/>
    </xf>
    <xf numFmtId="173" fontId="53" fillId="0" borderId="17" xfId="205" applyNumberFormat="1" applyBorder="1" applyAlignment="1">
      <alignment horizontal="center"/>
    </xf>
    <xf numFmtId="0" fontId="68" fillId="0" borderId="17" xfId="205" applyFont="1" applyBorder="1" applyAlignment="1">
      <alignment horizontal="center"/>
    </xf>
    <xf numFmtId="3" fontId="93" fillId="0" borderId="0" xfId="205" applyNumberFormat="1" applyFont="1"/>
    <xf numFmtId="170" fontId="53" fillId="0" borderId="0" xfId="205" applyNumberFormat="1" applyAlignment="1">
      <alignment horizontal="center"/>
    </xf>
    <xf numFmtId="3" fontId="111" fillId="11" borderId="17" xfId="205" applyNumberFormat="1" applyFont="1" applyFill="1" applyBorder="1"/>
    <xf numFmtId="0" fontId="53" fillId="0" borderId="84" xfId="205" applyBorder="1" applyAlignment="1">
      <alignment horizontal="center"/>
    </xf>
    <xf numFmtId="173" fontId="53" fillId="0" borderId="59" xfId="1" applyNumberFormat="1" applyFont="1" applyFill="1" applyBorder="1" applyAlignment="1"/>
    <xf numFmtId="0" fontId="67" fillId="0" borderId="59" xfId="205" applyFont="1" applyBorder="1" applyAlignment="1">
      <alignment horizontal="center"/>
    </xf>
    <xf numFmtId="17" fontId="58" fillId="3" borderId="14" xfId="205" applyNumberFormat="1" applyFont="1" applyFill="1" applyBorder="1" applyAlignment="1">
      <alignment horizontal="center"/>
    </xf>
    <xf numFmtId="0" fontId="58" fillId="3" borderId="25" xfId="205" applyFont="1" applyFill="1" applyBorder="1" applyAlignment="1">
      <alignment horizontal="center"/>
    </xf>
    <xf numFmtId="0" fontId="58" fillId="3" borderId="63" xfId="205" applyFont="1" applyFill="1" applyBorder="1"/>
    <xf numFmtId="17" fontId="53" fillId="0" borderId="0" xfId="205" applyNumberFormat="1" applyAlignment="1">
      <alignment horizontal="center"/>
    </xf>
    <xf numFmtId="0" fontId="66" fillId="0" borderId="0" xfId="205" applyFont="1" applyAlignment="1">
      <alignment horizontal="center"/>
    </xf>
    <xf numFmtId="0" fontId="66" fillId="0" borderId="0" xfId="205" applyFont="1"/>
    <xf numFmtId="14" fontId="100" fillId="0" borderId="0" xfId="205" applyNumberFormat="1" applyFont="1"/>
    <xf numFmtId="0" fontId="76" fillId="0" borderId="0" xfId="205" applyFont="1" applyAlignment="1">
      <alignment horizontal="center"/>
    </xf>
    <xf numFmtId="0" fontId="90" fillId="0" borderId="17" xfId="14" applyBorder="1" applyAlignment="1">
      <alignment vertical="center"/>
    </xf>
    <xf numFmtId="0" fontId="104" fillId="0" borderId="0" xfId="0" applyFont="1" applyAlignment="1">
      <alignment horizontal="center"/>
    </xf>
    <xf numFmtId="2" fontId="103" fillId="0" borderId="0" xfId="14" applyNumberFormat="1" applyFont="1"/>
    <xf numFmtId="0" fontId="67" fillId="6" borderId="45" xfId="0" applyFont="1" applyFill="1" applyBorder="1"/>
    <xf numFmtId="173" fontId="0" fillId="0" borderId="48" xfId="1" applyNumberFormat="1" applyFont="1" applyFill="1" applyBorder="1" applyAlignment="1">
      <alignment horizontal="center"/>
    </xf>
    <xf numFmtId="173" fontId="0" fillId="0" borderId="49" xfId="1" applyNumberFormat="1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/>
    <xf numFmtId="17" fontId="58" fillId="3" borderId="51" xfId="0" applyNumberFormat="1" applyFont="1" applyFill="1" applyBorder="1" applyAlignment="1">
      <alignment horizontal="center" vertical="center"/>
    </xf>
    <xf numFmtId="17" fontId="58" fillId="3" borderId="80" xfId="0" applyNumberFormat="1" applyFont="1" applyFill="1" applyBorder="1" applyAlignment="1">
      <alignment horizontal="center" vertical="center"/>
    </xf>
    <xf numFmtId="165" fontId="69" fillId="35" borderId="17" xfId="1" applyFont="1" applyFill="1" applyBorder="1" applyAlignment="1">
      <alignment horizontal="right"/>
    </xf>
    <xf numFmtId="169" fontId="0" fillId="35" borderId="17" xfId="0" applyNumberFormat="1" applyFill="1" applyBorder="1" applyAlignment="1">
      <alignment horizontal="right"/>
    </xf>
    <xf numFmtId="0" fontId="0" fillId="0" borderId="0" xfId="0" applyAlignment="1">
      <alignment horizontal="left" indent="1"/>
    </xf>
    <xf numFmtId="0" fontId="53" fillId="0" borderId="17" xfId="0" applyFont="1" applyBorder="1" applyAlignment="1">
      <alignment wrapText="1"/>
    </xf>
    <xf numFmtId="0" fontId="55" fillId="0" borderId="17" xfId="0" applyFont="1" applyBorder="1" applyAlignment="1">
      <alignment wrapText="1"/>
    </xf>
    <xf numFmtId="0" fontId="80" fillId="0" borderId="0" xfId="0" applyFont="1"/>
    <xf numFmtId="0" fontId="0" fillId="27" borderId="0" xfId="0" applyFill="1" applyAlignment="1">
      <alignment vertical="center"/>
    </xf>
    <xf numFmtId="167" fontId="0" fillId="16" borderId="2" xfId="0" applyNumberFormat="1" applyFill="1" applyBorder="1" applyAlignment="1">
      <alignment horizontal="center"/>
    </xf>
    <xf numFmtId="182" fontId="0" fillId="16" borderId="2" xfId="0" applyNumberFormat="1" applyFill="1" applyBorder="1" applyAlignment="1">
      <alignment horizontal="center"/>
    </xf>
    <xf numFmtId="4" fontId="0" fillId="0" borderId="2" xfId="0" quotePrefix="1" applyNumberFormat="1" applyBorder="1" applyAlignment="1">
      <alignment horizontal="right"/>
    </xf>
    <xf numFmtId="168" fontId="111" fillId="16" borderId="2" xfId="24" applyNumberFormat="1" applyFont="1" applyFill="1" applyBorder="1" applyAlignment="1">
      <alignment horizontal="center"/>
    </xf>
    <xf numFmtId="167" fontId="111" fillId="16" borderId="2" xfId="24" applyNumberFormat="1" applyFont="1" applyFill="1" applyBorder="1" applyAlignment="1">
      <alignment horizontal="center"/>
    </xf>
    <xf numFmtId="167" fontId="111" fillId="16" borderId="3" xfId="24" applyNumberFormat="1" applyFont="1" applyFill="1" applyBorder="1" applyAlignment="1">
      <alignment horizontal="center"/>
    </xf>
    <xf numFmtId="168" fontId="111" fillId="16" borderId="3" xfId="24" applyNumberFormat="1" applyFont="1" applyFill="1" applyBorder="1" applyAlignment="1">
      <alignment horizontal="center"/>
    </xf>
    <xf numFmtId="182" fontId="111" fillId="16" borderId="2" xfId="24" applyNumberFormat="1" applyFont="1" applyFill="1" applyBorder="1" applyAlignment="1">
      <alignment horizontal="center"/>
    </xf>
    <xf numFmtId="182" fontId="111" fillId="16" borderId="3" xfId="24" applyNumberFormat="1" applyFont="1" applyFill="1" applyBorder="1" applyAlignment="1">
      <alignment horizontal="center"/>
    </xf>
    <xf numFmtId="0" fontId="53" fillId="11" borderId="2" xfId="0" applyFont="1" applyFill="1" applyBorder="1" applyAlignment="1">
      <alignment horizontal="right"/>
    </xf>
    <xf numFmtId="171" fontId="111" fillId="11" borderId="2" xfId="0" applyNumberFormat="1" applyFont="1" applyFill="1" applyBorder="1" applyAlignment="1">
      <alignment horizontal="right"/>
    </xf>
    <xf numFmtId="171" fontId="111" fillId="0" borderId="2" xfId="0" applyNumberFormat="1" applyFont="1" applyBorder="1" applyAlignment="1">
      <alignment horizontal="right"/>
    </xf>
    <xf numFmtId="173" fontId="111" fillId="16" borderId="2" xfId="1" applyNumberFormat="1" applyFont="1" applyFill="1" applyBorder="1" applyAlignment="1">
      <alignment horizontal="center"/>
    </xf>
    <xf numFmtId="173" fontId="111" fillId="16" borderId="3" xfId="1" applyNumberFormat="1" applyFont="1" applyFill="1" applyBorder="1" applyAlignment="1">
      <alignment horizontal="center"/>
    </xf>
    <xf numFmtId="168" fontId="53" fillId="0" borderId="0" xfId="0" applyNumberFormat="1" applyFont="1" applyAlignment="1">
      <alignment horizontal="center"/>
    </xf>
    <xf numFmtId="167" fontId="53" fillId="0" borderId="0" xfId="0" applyNumberFormat="1" applyFont="1" applyAlignment="1">
      <alignment horizontal="center"/>
    </xf>
    <xf numFmtId="3" fontId="53" fillId="0" borderId="0" xfId="0" applyNumberFormat="1" applyFont="1" applyAlignment="1">
      <alignment horizontal="center"/>
    </xf>
    <xf numFmtId="3" fontId="53" fillId="0" borderId="0" xfId="0" quotePrefix="1" applyNumberFormat="1" applyFont="1" applyAlignment="1">
      <alignment horizontal="center"/>
    </xf>
    <xf numFmtId="1" fontId="53" fillId="0" borderId="0" xfId="0" applyNumberFormat="1" applyFont="1" applyAlignment="1">
      <alignment horizontal="center"/>
    </xf>
    <xf numFmtId="0" fontId="0" fillId="0" borderId="84" xfId="0" applyBorder="1"/>
    <xf numFmtId="17" fontId="128" fillId="30" borderId="25" xfId="0" applyNumberFormat="1" applyFont="1" applyFill="1" applyBorder="1" applyAlignment="1">
      <alignment horizontal="center"/>
    </xf>
    <xf numFmtId="17" fontId="128" fillId="30" borderId="26" xfId="0" applyNumberFormat="1" applyFont="1" applyFill="1" applyBorder="1" applyAlignment="1">
      <alignment horizontal="center"/>
    </xf>
    <xf numFmtId="0" fontId="0" fillId="41" borderId="3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0" fontId="53" fillId="0" borderId="64" xfId="0" applyFont="1" applyBorder="1"/>
    <xf numFmtId="0" fontId="69" fillId="0" borderId="44" xfId="0" applyFont="1" applyBorder="1" applyAlignment="1">
      <alignment vertical="center"/>
    </xf>
    <xf numFmtId="0" fontId="55" fillId="0" borderId="3" xfId="0" applyFont="1" applyBorder="1" applyAlignment="1">
      <alignment horizontal="center"/>
    </xf>
    <xf numFmtId="1" fontId="53" fillId="0" borderId="3" xfId="0" applyNumberFormat="1" applyFont="1" applyBorder="1" applyAlignment="1">
      <alignment horizontal="center"/>
    </xf>
    <xf numFmtId="2" fontId="67" fillId="12" borderId="3" xfId="0" applyNumberFormat="1" applyFont="1" applyFill="1" applyBorder="1" applyAlignment="1">
      <alignment horizontal="center"/>
    </xf>
    <xf numFmtId="4" fontId="53" fillId="0" borderId="18" xfId="0" applyNumberFormat="1" applyFont="1" applyBorder="1" applyAlignment="1">
      <alignment horizontal="center"/>
    </xf>
    <xf numFmtId="0" fontId="53" fillId="0" borderId="8" xfId="0" applyFont="1" applyBorder="1"/>
    <xf numFmtId="0" fontId="53" fillId="0" borderId="9" xfId="0" applyFont="1" applyBorder="1" applyAlignment="1">
      <alignment horizontal="center" vertical="center"/>
    </xf>
    <xf numFmtId="4" fontId="53" fillId="0" borderId="9" xfId="0" applyNumberFormat="1" applyFont="1" applyBorder="1" applyAlignment="1">
      <alignment horizontal="center"/>
    </xf>
    <xf numFmtId="4" fontId="53" fillId="0" borderId="55" xfId="0" applyNumberFormat="1" applyFont="1" applyBorder="1" applyAlignment="1">
      <alignment horizontal="center"/>
    </xf>
    <xf numFmtId="4" fontId="53" fillId="0" borderId="14" xfId="0" applyNumberFormat="1" applyFont="1" applyBorder="1" applyAlignment="1">
      <alignment horizontal="center"/>
    </xf>
    <xf numFmtId="4" fontId="53" fillId="0" borderId="2" xfId="0" quotePrefix="1" applyNumberFormat="1" applyFont="1" applyBorder="1" applyAlignment="1">
      <alignment horizontal="center"/>
    </xf>
    <xf numFmtId="4" fontId="53" fillId="0" borderId="3" xfId="0" quotePrefix="1" applyNumberFormat="1" applyFont="1" applyBorder="1" applyAlignment="1">
      <alignment horizontal="center"/>
    </xf>
    <xf numFmtId="2" fontId="144" fillId="0" borderId="17" xfId="0" applyNumberFormat="1" applyFont="1" applyBorder="1" applyAlignment="1">
      <alignment horizontal="right" vertical="center" wrapText="1"/>
    </xf>
    <xf numFmtId="2" fontId="53" fillId="0" borderId="17" xfId="0" applyNumberFormat="1" applyFont="1" applyBorder="1" applyAlignment="1">
      <alignment vertical="center" wrapText="1"/>
    </xf>
    <xf numFmtId="166" fontId="110" fillId="0" borderId="17" xfId="1" applyNumberFormat="1" applyFont="1" applyBorder="1"/>
    <xf numFmtId="166" fontId="0" fillId="0" borderId="17" xfId="1" applyNumberFormat="1" applyFont="1" applyBorder="1"/>
    <xf numFmtId="0" fontId="153" fillId="0" borderId="0" xfId="0" applyFont="1" applyAlignment="1">
      <alignment horizontal="left" vertical="center"/>
    </xf>
    <xf numFmtId="166" fontId="91" fillId="0" borderId="17" xfId="1" applyNumberFormat="1" applyFont="1" applyBorder="1"/>
    <xf numFmtId="166" fontId="91" fillId="0" borderId="17" xfId="0" applyNumberFormat="1" applyFont="1" applyBorder="1"/>
    <xf numFmtId="166" fontId="91" fillId="0" borderId="41" xfId="0" applyNumberFormat="1" applyFont="1" applyBorder="1"/>
    <xf numFmtId="41" fontId="0" fillId="0" borderId="0" xfId="0" applyNumberFormat="1"/>
    <xf numFmtId="166" fontId="0" fillId="0" borderId="0" xfId="1" applyNumberFormat="1" applyFont="1"/>
    <xf numFmtId="3" fontId="0" fillId="17" borderId="17" xfId="0" applyNumberFormat="1" applyFill="1" applyBorder="1"/>
    <xf numFmtId="3" fontId="0" fillId="18" borderId="17" xfId="0" applyNumberFormat="1" applyFill="1" applyBorder="1"/>
    <xf numFmtId="0" fontId="110" fillId="0" borderId="17" xfId="0" applyFont="1" applyBorder="1"/>
    <xf numFmtId="3" fontId="91" fillId="17" borderId="17" xfId="0" applyNumberFormat="1" applyFont="1" applyFill="1" applyBorder="1"/>
    <xf numFmtId="166" fontId="91" fillId="18" borderId="0" xfId="1" applyNumberFormat="1" applyFont="1" applyFill="1"/>
    <xf numFmtId="0" fontId="0" fillId="18" borderId="0" xfId="0" applyFill="1"/>
    <xf numFmtId="3" fontId="91" fillId="18" borderId="17" xfId="0" applyNumberFormat="1" applyFont="1" applyFill="1" applyBorder="1"/>
    <xf numFmtId="43" fontId="91" fillId="0" borderId="17" xfId="0" applyNumberFormat="1" applyFont="1" applyBorder="1"/>
    <xf numFmtId="166" fontId="91" fillId="17" borderId="17" xfId="1" applyNumberFormat="1" applyFont="1" applyFill="1" applyBorder="1"/>
    <xf numFmtId="3" fontId="91" fillId="0" borderId="0" xfId="0" applyNumberFormat="1" applyFont="1"/>
    <xf numFmtId="43" fontId="0" fillId="17" borderId="0" xfId="0" applyNumberFormat="1" applyFill="1"/>
    <xf numFmtId="166" fontId="0" fillId="0" borderId="0" xfId="0" applyNumberFormat="1"/>
    <xf numFmtId="166" fontId="91" fillId="0" borderId="0" xfId="1" applyNumberFormat="1" applyFont="1"/>
    <xf numFmtId="0" fontId="110" fillId="17" borderId="17" xfId="0" applyFont="1" applyFill="1" applyBorder="1"/>
    <xf numFmtId="0" fontId="131" fillId="0" borderId="17" xfId="0" applyFont="1" applyBorder="1"/>
    <xf numFmtId="213" fontId="91" fillId="0" borderId="0" xfId="0" applyNumberFormat="1" applyFont="1"/>
    <xf numFmtId="173" fontId="53" fillId="11" borderId="0" xfId="1" applyNumberFormat="1" applyFont="1" applyFill="1" applyBorder="1" applyAlignment="1">
      <alignment horizontal="center"/>
    </xf>
    <xf numFmtId="17" fontId="58" fillId="3" borderId="15" xfId="0" applyNumberFormat="1" applyFont="1" applyFill="1" applyBorder="1" applyAlignment="1">
      <alignment horizontal="center"/>
    </xf>
    <xf numFmtId="0" fontId="0" fillId="0" borderId="64" xfId="0" applyBorder="1"/>
    <xf numFmtId="173" fontId="0" fillId="0" borderId="27" xfId="1" applyNumberFormat="1" applyFont="1" applyFill="1" applyBorder="1" applyAlignment="1">
      <alignment horizontal="center"/>
    </xf>
    <xf numFmtId="173" fontId="0" fillId="0" borderId="27" xfId="4" applyNumberFormat="1" applyFont="1" applyFill="1" applyBorder="1" applyAlignment="1">
      <alignment horizontal="center"/>
    </xf>
    <xf numFmtId="173" fontId="0" fillId="11" borderId="18" xfId="79" applyNumberFormat="1" applyFont="1" applyFill="1" applyBorder="1" applyAlignment="1">
      <alignment horizontal="center"/>
    </xf>
    <xf numFmtId="173" fontId="53" fillId="11" borderId="18" xfId="79" applyNumberFormat="1" applyFont="1" applyFill="1" applyBorder="1" applyAlignment="1">
      <alignment horizontal="center"/>
    </xf>
    <xf numFmtId="174" fontId="0" fillId="11" borderId="27" xfId="1" applyNumberFormat="1" applyFont="1" applyFill="1" applyBorder="1" applyAlignment="1">
      <alignment horizontal="center"/>
    </xf>
    <xf numFmtId="174" fontId="100" fillId="0" borderId="27" xfId="1" applyNumberFormat="1" applyFont="1" applyFill="1" applyBorder="1" applyAlignment="1">
      <alignment horizontal="center"/>
    </xf>
    <xf numFmtId="0" fontId="0" fillId="0" borderId="64" xfId="0" applyBorder="1" applyAlignment="1">
      <alignment horizontal="center"/>
    </xf>
    <xf numFmtId="167" fontId="0" fillId="11" borderId="27" xfId="1" applyNumberFormat="1" applyFont="1" applyFill="1" applyBorder="1" applyAlignment="1">
      <alignment horizontal="center"/>
    </xf>
    <xf numFmtId="165" fontId="100" fillId="0" borderId="0" xfId="0" applyNumberFormat="1" applyFont="1" applyAlignment="1">
      <alignment horizontal="center"/>
    </xf>
    <xf numFmtId="165" fontId="100" fillId="0" borderId="27" xfId="0" applyNumberFormat="1" applyFont="1" applyBorder="1" applyAlignment="1">
      <alignment horizontal="center"/>
    </xf>
    <xf numFmtId="165" fontId="0" fillId="0" borderId="27" xfId="1" applyFont="1" applyFill="1" applyBorder="1" applyAlignment="1">
      <alignment horizontal="center"/>
    </xf>
    <xf numFmtId="0" fontId="0" fillId="0" borderId="45" xfId="0" applyBorder="1"/>
    <xf numFmtId="2" fontId="55" fillId="0" borderId="0" xfId="0" applyNumberFormat="1" applyFont="1" applyAlignment="1">
      <alignment horizontal="right"/>
    </xf>
    <xf numFmtId="2" fontId="55" fillId="0" borderId="27" xfId="0" applyNumberFormat="1" applyFont="1" applyBorder="1" applyAlignment="1">
      <alignment horizontal="right"/>
    </xf>
    <xf numFmtId="173" fontId="0" fillId="11" borderId="27" xfId="1" applyNumberFormat="1" applyFont="1" applyFill="1" applyBorder="1" applyAlignment="1">
      <alignment horizontal="center"/>
    </xf>
    <xf numFmtId="174" fontId="0" fillId="0" borderId="27" xfId="1" applyNumberFormat="1" applyFont="1" applyFill="1" applyBorder="1" applyAlignment="1">
      <alignment horizontal="center"/>
    </xf>
    <xf numFmtId="0" fontId="0" fillId="0" borderId="27" xfId="0" quotePrefix="1" applyBorder="1" applyAlignment="1">
      <alignment horizontal="center"/>
    </xf>
    <xf numFmtId="167" fontId="0" fillId="0" borderId="64" xfId="0" applyNumberFormat="1" applyBorder="1" applyAlignment="1">
      <alignment horizontal="center"/>
    </xf>
    <xf numFmtId="173" fontId="53" fillId="11" borderId="27" xfId="1" applyNumberFormat="1" applyFont="1" applyFill="1" applyBorder="1" applyAlignment="1">
      <alignment horizontal="center"/>
    </xf>
    <xf numFmtId="173" fontId="93" fillId="11" borderId="27" xfId="1" applyNumberFormat="1" applyFont="1" applyFill="1" applyBorder="1" applyAlignment="1">
      <alignment horizontal="center"/>
    </xf>
    <xf numFmtId="173" fontId="0" fillId="11" borderId="27" xfId="79" applyNumberFormat="1" applyFont="1" applyFill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0" fillId="0" borderId="44" xfId="0" applyBorder="1"/>
    <xf numFmtId="173" fontId="0" fillId="0" borderId="99" xfId="1" applyNumberFormat="1" applyFont="1" applyFill="1" applyBorder="1" applyAlignment="1">
      <alignment horizontal="center"/>
    </xf>
    <xf numFmtId="165" fontId="0" fillId="0" borderId="64" xfId="1" applyFont="1" applyFill="1" applyBorder="1" applyAlignment="1">
      <alignment horizontal="center"/>
    </xf>
    <xf numFmtId="0" fontId="67" fillId="12" borderId="20" xfId="0" applyFont="1" applyFill="1" applyBorder="1"/>
    <xf numFmtId="165" fontId="0" fillId="12" borderId="18" xfId="1" applyFont="1" applyFill="1" applyBorder="1" applyAlignment="1">
      <alignment horizontal="center"/>
    </xf>
    <xf numFmtId="165" fontId="0" fillId="0" borderId="18" xfId="1" applyFont="1" applyFill="1" applyBorder="1"/>
    <xf numFmtId="0" fontId="0" fillId="12" borderId="20" xfId="0" applyFill="1" applyBorder="1"/>
    <xf numFmtId="168" fontId="0" fillId="12" borderId="18" xfId="0" applyNumberFormat="1" applyFill="1" applyBorder="1"/>
    <xf numFmtId="0" fontId="0" fillId="0" borderId="20" xfId="0" applyBorder="1"/>
    <xf numFmtId="168" fontId="0" fillId="0" borderId="18" xfId="0" applyNumberFormat="1" applyBorder="1"/>
    <xf numFmtId="0" fontId="0" fillId="0" borderId="8" xfId="0" applyBorder="1"/>
    <xf numFmtId="0" fontId="67" fillId="0" borderId="9" xfId="0" applyFont="1" applyBorder="1" applyAlignment="1">
      <alignment horizontal="center"/>
    </xf>
    <xf numFmtId="2" fontId="0" fillId="0" borderId="9" xfId="0" applyNumberFormat="1" applyBorder="1"/>
    <xf numFmtId="2" fontId="0" fillId="0" borderId="55" xfId="0" applyNumberFormat="1" applyBorder="1"/>
    <xf numFmtId="173" fontId="0" fillId="11" borderId="27" xfId="4" applyNumberFormat="1" applyFont="1" applyFill="1" applyBorder="1" applyAlignment="1">
      <alignment horizontal="center"/>
    </xf>
    <xf numFmtId="211" fontId="0" fillId="11" borderId="27" xfId="79" applyNumberFormat="1" applyFont="1" applyFill="1" applyBorder="1" applyAlignment="1">
      <alignment horizontal="center"/>
    </xf>
    <xf numFmtId="17" fontId="58" fillId="3" borderId="26" xfId="0" applyNumberFormat="1" applyFont="1" applyFill="1" applyBorder="1" applyAlignment="1">
      <alignment horizontal="center"/>
    </xf>
    <xf numFmtId="0" fontId="69" fillId="7" borderId="20" xfId="0" applyFont="1" applyFill="1" applyBorder="1"/>
    <xf numFmtId="173" fontId="111" fillId="0" borderId="18" xfId="1" applyNumberFormat="1" applyFont="1" applyFill="1" applyBorder="1" applyAlignment="1">
      <alignment horizontal="center"/>
    </xf>
    <xf numFmtId="0" fontId="81" fillId="0" borderId="20" xfId="0" applyFont="1" applyBorder="1" applyAlignment="1">
      <alignment horizontal="left" indent="3"/>
    </xf>
    <xf numFmtId="173" fontId="53" fillId="11" borderId="18" xfId="1" applyNumberFormat="1" applyFont="1" applyFill="1" applyBorder="1" applyAlignment="1">
      <alignment horizontal="center"/>
    </xf>
    <xf numFmtId="173" fontId="0" fillId="11" borderId="18" xfId="1" applyNumberFormat="1" applyFont="1" applyFill="1" applyBorder="1" applyAlignment="1">
      <alignment horizontal="center"/>
    </xf>
    <xf numFmtId="174" fontId="53" fillId="11" borderId="18" xfId="1" applyNumberFormat="1" applyFont="1" applyFill="1" applyBorder="1" applyAlignment="1">
      <alignment horizontal="center"/>
    </xf>
    <xf numFmtId="174" fontId="70" fillId="0" borderId="18" xfId="1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173" fontId="70" fillId="11" borderId="18" xfId="1" applyNumberFormat="1" applyFont="1" applyFill="1" applyBorder="1" applyAlignment="1">
      <alignment horizontal="center"/>
    </xf>
    <xf numFmtId="0" fontId="57" fillId="0" borderId="20" xfId="0" applyFont="1" applyBorder="1"/>
    <xf numFmtId="165" fontId="100" fillId="0" borderId="18" xfId="0" applyNumberFormat="1" applyFont="1" applyBorder="1" applyAlignment="1">
      <alignment horizontal="center"/>
    </xf>
    <xf numFmtId="165" fontId="70" fillId="0" borderId="18" xfId="1" applyFont="1" applyFill="1" applyBorder="1" applyAlignment="1">
      <alignment horizontal="center"/>
    </xf>
    <xf numFmtId="0" fontId="0" fillId="0" borderId="18" xfId="0" quotePrefix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73" fontId="70" fillId="0" borderId="18" xfId="1" applyNumberFormat="1" applyFont="1" applyFill="1" applyBorder="1" applyAlignment="1">
      <alignment horizontal="center"/>
    </xf>
    <xf numFmtId="165" fontId="0" fillId="0" borderId="18" xfId="1" applyFont="1" applyFill="1" applyBorder="1" applyAlignment="1">
      <alignment horizontal="center"/>
    </xf>
    <xf numFmtId="165" fontId="70" fillId="12" borderId="18" xfId="1" applyFont="1" applyFill="1" applyBorder="1" applyAlignment="1">
      <alignment horizontal="center"/>
    </xf>
    <xf numFmtId="165" fontId="57" fillId="0" borderId="18" xfId="1" applyFont="1" applyFill="1" applyBorder="1"/>
    <xf numFmtId="165" fontId="70" fillId="0" borderId="18" xfId="1" applyFont="1" applyFill="1" applyBorder="1"/>
    <xf numFmtId="168" fontId="0" fillId="12" borderId="18" xfId="0" applyNumberFormat="1" applyFill="1" applyBorder="1" applyAlignment="1">
      <alignment horizontal="right" indent="1"/>
    </xf>
    <xf numFmtId="168" fontId="0" fillId="0" borderId="18" xfId="0" applyNumberFormat="1" applyBorder="1" applyAlignment="1">
      <alignment horizontal="right" indent="1"/>
    </xf>
    <xf numFmtId="0" fontId="0" fillId="0" borderId="9" xfId="0" applyBorder="1" applyAlignment="1">
      <alignment horizontal="right" indent="1"/>
    </xf>
    <xf numFmtId="0" fontId="0" fillId="0" borderId="55" xfId="0" applyBorder="1" applyAlignment="1">
      <alignment horizontal="right" indent="1"/>
    </xf>
    <xf numFmtId="174" fontId="0" fillId="11" borderId="18" xfId="1" applyNumberFormat="1" applyFont="1" applyFill="1" applyBorder="1" applyAlignment="1">
      <alignment horizontal="center"/>
    </xf>
    <xf numFmtId="174" fontId="100" fillId="0" borderId="18" xfId="1" applyNumberFormat="1" applyFont="1" applyFill="1" applyBorder="1" applyAlignment="1">
      <alignment horizontal="center"/>
    </xf>
    <xf numFmtId="174" fontId="53" fillId="0" borderId="18" xfId="1" applyNumberFormat="1" applyFont="1" applyFill="1" applyBorder="1" applyAlignment="1">
      <alignment horizontal="center"/>
    </xf>
    <xf numFmtId="3" fontId="70" fillId="0" borderId="18" xfId="1" applyNumberFormat="1" applyFont="1" applyFill="1" applyBorder="1" applyAlignment="1">
      <alignment horizontal="center"/>
    </xf>
    <xf numFmtId="173" fontId="57" fillId="0" borderId="18" xfId="1" applyNumberFormat="1" applyFont="1" applyFill="1" applyBorder="1" applyAlignment="1">
      <alignment horizontal="center"/>
    </xf>
    <xf numFmtId="4" fontId="57" fillId="0" borderId="18" xfId="1" applyNumberFormat="1" applyFont="1" applyFill="1" applyBorder="1" applyAlignment="1">
      <alignment horizontal="center"/>
    </xf>
    <xf numFmtId="2" fontId="0" fillId="0" borderId="9" xfId="0" applyNumberFormat="1" applyBorder="1" applyAlignment="1">
      <alignment horizontal="right" indent="1"/>
    </xf>
    <xf numFmtId="2" fontId="0" fillId="0" borderId="55" xfId="0" applyNumberFormat="1" applyBorder="1" applyAlignment="1">
      <alignment horizontal="right" indent="1"/>
    </xf>
    <xf numFmtId="17" fontId="58" fillId="3" borderId="15" xfId="205" applyNumberFormat="1" applyFont="1" applyFill="1" applyBorder="1" applyAlignment="1">
      <alignment horizontal="center"/>
    </xf>
    <xf numFmtId="0" fontId="67" fillId="6" borderId="67" xfId="205" applyFont="1" applyFill="1" applyBorder="1"/>
    <xf numFmtId="0" fontId="53" fillId="0" borderId="64" xfId="205" applyBorder="1"/>
    <xf numFmtId="0" fontId="69" fillId="7" borderId="20" xfId="205" applyFont="1" applyFill="1" applyBorder="1"/>
    <xf numFmtId="0" fontId="111" fillId="0" borderId="18" xfId="205" applyFont="1" applyBorder="1"/>
    <xf numFmtId="0" fontId="53" fillId="0" borderId="20" xfId="205" applyBorder="1"/>
    <xf numFmtId="0" fontId="81" fillId="0" borderId="20" xfId="205" applyFont="1" applyBorder="1" applyAlignment="1">
      <alignment horizontal="left" indent="3"/>
    </xf>
    <xf numFmtId="0" fontId="77" fillId="0" borderId="20" xfId="205" applyFont="1" applyBorder="1"/>
    <xf numFmtId="173" fontId="53" fillId="0" borderId="18" xfId="1" applyNumberFormat="1" applyFont="1" applyFill="1" applyBorder="1" applyAlignment="1"/>
    <xf numFmtId="0" fontId="53" fillId="0" borderId="18" xfId="205" applyBorder="1"/>
    <xf numFmtId="0" fontId="67" fillId="6" borderId="20" xfId="205" applyFont="1" applyFill="1" applyBorder="1"/>
    <xf numFmtId="0" fontId="53" fillId="0" borderId="18" xfId="205" applyBorder="1" applyAlignment="1">
      <alignment horizontal="center"/>
    </xf>
    <xf numFmtId="165" fontId="100" fillId="0" borderId="18" xfId="1" applyFont="1" applyFill="1" applyBorder="1" applyAlignment="1"/>
    <xf numFmtId="165" fontId="53" fillId="0" borderId="18" xfId="1" applyFont="1" applyFill="1" applyBorder="1" applyAlignment="1"/>
    <xf numFmtId="173" fontId="53" fillId="0" borderId="18" xfId="205" applyNumberFormat="1" applyBorder="1" applyAlignment="1">
      <alignment horizontal="center"/>
    </xf>
    <xf numFmtId="0" fontId="55" fillId="0" borderId="20" xfId="205" applyFont="1" applyBorder="1"/>
    <xf numFmtId="0" fontId="53" fillId="21" borderId="20" xfId="205" applyFill="1" applyBorder="1"/>
    <xf numFmtId="165" fontId="53" fillId="21" borderId="18" xfId="1" applyFont="1" applyFill="1" applyBorder="1" applyAlignment="1">
      <alignment horizontal="center"/>
    </xf>
    <xf numFmtId="0" fontId="53" fillId="65" borderId="20" xfId="205" applyFill="1" applyBorder="1"/>
    <xf numFmtId="165" fontId="100" fillId="21" borderId="18" xfId="205" applyNumberFormat="1" applyFont="1" applyFill="1" applyBorder="1" applyAlignment="1">
      <alignment horizontal="center"/>
    </xf>
    <xf numFmtId="0" fontId="69" fillId="21" borderId="20" xfId="205" applyFont="1" applyFill="1" applyBorder="1"/>
    <xf numFmtId="188" fontId="53" fillId="21" borderId="18" xfId="205" applyNumberFormat="1" applyFill="1" applyBorder="1" applyAlignment="1">
      <alignment horizontal="center"/>
    </xf>
    <xf numFmtId="0" fontId="77" fillId="21" borderId="20" xfId="205" applyFont="1" applyFill="1" applyBorder="1"/>
    <xf numFmtId="174" fontId="77" fillId="21" borderId="18" xfId="1" applyNumberFormat="1" applyFont="1" applyFill="1" applyBorder="1" applyAlignment="1"/>
    <xf numFmtId="173" fontId="53" fillId="21" borderId="18" xfId="205" applyNumberFormat="1" applyFill="1" applyBorder="1" applyAlignment="1">
      <alignment horizontal="center"/>
    </xf>
    <xf numFmtId="173" fontId="53" fillId="21" borderId="18" xfId="1" applyNumberFormat="1" applyFont="1" applyFill="1" applyBorder="1" applyAlignment="1">
      <alignment horizontal="center"/>
    </xf>
    <xf numFmtId="0" fontId="55" fillId="21" borderId="20" xfId="205" applyFont="1" applyFill="1" applyBorder="1"/>
    <xf numFmtId="174" fontId="77" fillId="0" borderId="18" xfId="1" applyNumberFormat="1" applyFont="1" applyFill="1" applyBorder="1" applyAlignment="1"/>
    <xf numFmtId="174" fontId="53" fillId="0" borderId="18" xfId="1" applyNumberFormat="1" applyFont="1" applyFill="1" applyBorder="1" applyAlignment="1"/>
    <xf numFmtId="167" fontId="53" fillId="0" borderId="18" xfId="205" applyNumberFormat="1" applyBorder="1" applyAlignment="1">
      <alignment horizontal="center"/>
    </xf>
    <xf numFmtId="173" fontId="53" fillId="11" borderId="18" xfId="1" applyNumberFormat="1" applyFont="1" applyFill="1" applyBorder="1" applyAlignment="1"/>
    <xf numFmtId="0" fontId="67" fillId="12" borderId="20" xfId="205" applyFont="1" applyFill="1" applyBorder="1"/>
    <xf numFmtId="0" fontId="67" fillId="0" borderId="20" xfId="205" applyFont="1" applyBorder="1"/>
    <xf numFmtId="0" fontId="53" fillId="0" borderId="23" xfId="205" applyBorder="1"/>
    <xf numFmtId="0" fontId="67" fillId="0" borderId="0" xfId="205" applyFont="1" applyAlignment="1">
      <alignment horizontal="center"/>
    </xf>
    <xf numFmtId="0" fontId="53" fillId="0" borderId="27" xfId="205" applyBorder="1"/>
    <xf numFmtId="0" fontId="53" fillId="12" borderId="20" xfId="205" applyFill="1" applyBorder="1"/>
    <xf numFmtId="168" fontId="53" fillId="12" borderId="18" xfId="205" applyNumberFormat="1" applyFill="1" applyBorder="1" applyAlignment="1">
      <alignment horizontal="right" indent="1"/>
    </xf>
    <xf numFmtId="168" fontId="53" fillId="0" borderId="18" xfId="205" applyNumberFormat="1" applyBorder="1" applyAlignment="1">
      <alignment horizontal="right" indent="1"/>
    </xf>
    <xf numFmtId="0" fontId="53" fillId="0" borderId="8" xfId="205" applyBorder="1"/>
    <xf numFmtId="0" fontId="67" fillId="0" borderId="9" xfId="205" applyFont="1" applyBorder="1" applyAlignment="1">
      <alignment horizontal="center"/>
    </xf>
    <xf numFmtId="0" fontId="53" fillId="0" borderId="9" xfId="205" applyBorder="1" applyAlignment="1">
      <alignment horizontal="right" indent="1"/>
    </xf>
    <xf numFmtId="0" fontId="53" fillId="0" borderId="55" xfId="205" applyBorder="1" applyAlignment="1">
      <alignment horizontal="right" indent="1"/>
    </xf>
    <xf numFmtId="2" fontId="0" fillId="0" borderId="24" xfId="0" applyNumberFormat="1" applyBorder="1" applyAlignment="1">
      <alignment horizontal="right" indent="1"/>
    </xf>
    <xf numFmtId="0" fontId="77" fillId="0" borderId="20" xfId="0" applyFont="1" applyBorder="1"/>
    <xf numFmtId="173" fontId="0" fillId="0" borderId="18" xfId="1" applyNumberFormat="1" applyFont="1" applyFill="1" applyBorder="1" applyAlignment="1">
      <alignment horizontal="center"/>
    </xf>
    <xf numFmtId="165" fontId="77" fillId="0" borderId="18" xfId="0" applyNumberFormat="1" applyFont="1" applyBorder="1" applyAlignment="1">
      <alignment horizontal="center"/>
    </xf>
    <xf numFmtId="165" fontId="77" fillId="0" borderId="18" xfId="1" applyFont="1" applyFill="1" applyBorder="1" applyAlignment="1">
      <alignment horizontal="center"/>
    </xf>
    <xf numFmtId="43" fontId="0" fillId="0" borderId="18" xfId="1" applyNumberFormat="1" applyFont="1" applyFill="1" applyBorder="1" applyAlignment="1">
      <alignment horizontal="center"/>
    </xf>
    <xf numFmtId="173" fontId="0" fillId="11" borderId="18" xfId="0" applyNumberFormat="1" applyFill="1" applyBorder="1" applyAlignment="1">
      <alignment horizontal="center"/>
    </xf>
    <xf numFmtId="173" fontId="0" fillId="0" borderId="18" xfId="0" applyNumberFormat="1" applyBorder="1" applyAlignment="1">
      <alignment horizontal="center"/>
    </xf>
    <xf numFmtId="174" fontId="77" fillId="0" borderId="18" xfId="1" applyNumberFormat="1" applyFont="1" applyFill="1" applyBorder="1" applyAlignment="1">
      <alignment horizontal="center"/>
    </xf>
    <xf numFmtId="173" fontId="111" fillId="11" borderId="18" xfId="1" applyNumberFormat="1" applyFont="1" applyFill="1" applyBorder="1" applyAlignment="1">
      <alignment horizontal="center"/>
    </xf>
    <xf numFmtId="173" fontId="0" fillId="0" borderId="18" xfId="9" applyNumberFormat="1" applyFont="1" applyFill="1" applyBorder="1" applyAlignment="1">
      <alignment horizontal="center"/>
    </xf>
    <xf numFmtId="173" fontId="86" fillId="0" borderId="18" xfId="1" applyNumberFormat="1" applyFont="1" applyFill="1" applyBorder="1" applyAlignment="1">
      <alignment horizontal="center"/>
    </xf>
    <xf numFmtId="0" fontId="53" fillId="37" borderId="20" xfId="0" applyFont="1" applyFill="1" applyBorder="1"/>
    <xf numFmtId="173" fontId="86" fillId="37" borderId="18" xfId="1" applyNumberFormat="1" applyFont="1" applyFill="1" applyBorder="1" applyAlignment="1">
      <alignment horizontal="center"/>
    </xf>
    <xf numFmtId="0" fontId="67" fillId="0" borderId="23" xfId="0" applyFont="1" applyBorder="1"/>
    <xf numFmtId="165" fontId="0" fillId="0" borderId="27" xfId="1" applyFont="1" applyFill="1" applyBorder="1"/>
    <xf numFmtId="168" fontId="0" fillId="0" borderId="9" xfId="0" applyNumberFormat="1" applyBorder="1" applyAlignment="1">
      <alignment horizontal="right" indent="1"/>
    </xf>
    <xf numFmtId="168" fontId="0" fillId="0" borderId="55" xfId="0" applyNumberFormat="1" applyBorder="1" applyAlignment="1">
      <alignment horizontal="right" indent="1"/>
    </xf>
    <xf numFmtId="17" fontId="58" fillId="3" borderId="11" xfId="0" applyNumberFormat="1" applyFont="1" applyFill="1" applyBorder="1" applyAlignment="1">
      <alignment horizontal="center"/>
    </xf>
    <xf numFmtId="17" fontId="58" fillId="3" borderId="56" xfId="0" applyNumberFormat="1" applyFont="1" applyFill="1" applyBorder="1" applyAlignment="1">
      <alignment horizontal="center"/>
    </xf>
    <xf numFmtId="0" fontId="55" fillId="0" borderId="23" xfId="0" applyFont="1" applyBorder="1"/>
    <xf numFmtId="164" fontId="55" fillId="0" borderId="27" xfId="0" applyNumberFormat="1" applyFont="1" applyBorder="1"/>
    <xf numFmtId="174" fontId="100" fillId="11" borderId="18" xfId="1" applyNumberFormat="1" applyFont="1" applyFill="1" applyBorder="1" applyAlignment="1">
      <alignment horizontal="center"/>
    </xf>
    <xf numFmtId="165" fontId="0" fillId="0" borderId="70" xfId="1" applyFont="1" applyFill="1" applyBorder="1"/>
    <xf numFmtId="0" fontId="67" fillId="35" borderId="20" xfId="0" applyFont="1" applyFill="1" applyBorder="1"/>
    <xf numFmtId="165" fontId="0" fillId="0" borderId="70" xfId="1" applyFont="1" applyFill="1" applyBorder="1" applyAlignment="1">
      <alignment horizontal="center"/>
    </xf>
    <xf numFmtId="173" fontId="111" fillId="0" borderId="3" xfId="1" applyNumberFormat="1" applyFont="1" applyFill="1" applyBorder="1" applyAlignment="1">
      <alignment horizontal="center"/>
    </xf>
    <xf numFmtId="175" fontId="0" fillId="0" borderId="9" xfId="1" applyNumberFormat="1" applyFont="1" applyFill="1" applyBorder="1"/>
    <xf numFmtId="175" fontId="0" fillId="0" borderId="55" xfId="1" applyNumberFormat="1" applyFont="1" applyFill="1" applyBorder="1"/>
    <xf numFmtId="0" fontId="53" fillId="0" borderId="18" xfId="0" applyFont="1" applyBorder="1" applyAlignment="1">
      <alignment horizontal="center"/>
    </xf>
    <xf numFmtId="1" fontId="53" fillId="0" borderId="18" xfId="0" applyNumberFormat="1" applyFont="1" applyBorder="1" applyAlignment="1">
      <alignment horizontal="center"/>
    </xf>
    <xf numFmtId="173" fontId="53" fillId="0" borderId="24" xfId="1" applyNumberFormat="1" applyFont="1" applyFill="1" applyBorder="1" applyAlignment="1">
      <alignment horizontal="center"/>
    </xf>
    <xf numFmtId="173" fontId="53" fillId="0" borderId="70" xfId="1" applyNumberFormat="1" applyFont="1" applyFill="1" applyBorder="1" applyAlignment="1">
      <alignment horizontal="center"/>
    </xf>
    <xf numFmtId="165" fontId="53" fillId="0" borderId="17" xfId="1" applyFont="1" applyFill="1" applyBorder="1" applyAlignment="1">
      <alignment horizontal="center"/>
    </xf>
    <xf numFmtId="165" fontId="53" fillId="0" borderId="18" xfId="1" applyFont="1" applyFill="1" applyBorder="1" applyAlignment="1">
      <alignment horizontal="center"/>
    </xf>
    <xf numFmtId="165" fontId="53" fillId="0" borderId="17" xfId="1" applyFont="1" applyFill="1" applyBorder="1"/>
    <xf numFmtId="165" fontId="53" fillId="0" borderId="18" xfId="1" applyFont="1" applyFill="1" applyBorder="1"/>
    <xf numFmtId="173" fontId="53" fillId="0" borderId="41" xfId="1" applyNumberFormat="1" applyFont="1" applyFill="1" applyBorder="1" applyAlignment="1">
      <alignment horizontal="center"/>
    </xf>
    <xf numFmtId="173" fontId="53" fillId="0" borderId="3" xfId="1" applyNumberFormat="1" applyFont="1" applyFill="1" applyBorder="1" applyAlignment="1">
      <alignment horizontal="center"/>
    </xf>
    <xf numFmtId="173" fontId="53" fillId="0" borderId="18" xfId="1" applyNumberFormat="1" applyFont="1" applyFill="1" applyBorder="1" applyAlignment="1">
      <alignment horizontal="center"/>
    </xf>
    <xf numFmtId="165" fontId="53" fillId="0" borderId="21" xfId="1" applyFont="1" applyFill="1" applyBorder="1" applyAlignment="1">
      <alignment horizontal="center"/>
    </xf>
    <xf numFmtId="165" fontId="53" fillId="0" borderId="21" xfId="1" applyFont="1" applyFill="1" applyBorder="1"/>
    <xf numFmtId="173" fontId="53" fillId="11" borderId="48" xfId="1" applyNumberFormat="1" applyFont="1" applyFill="1" applyBorder="1" applyAlignment="1">
      <alignment horizontal="center"/>
    </xf>
    <xf numFmtId="173" fontId="53" fillId="11" borderId="70" xfId="1" applyNumberFormat="1" applyFont="1" applyFill="1" applyBorder="1" applyAlignment="1">
      <alignment horizontal="center"/>
    </xf>
    <xf numFmtId="174" fontId="53" fillId="11" borderId="48" xfId="1" applyNumberFormat="1" applyFont="1" applyFill="1" applyBorder="1" applyAlignment="1">
      <alignment horizontal="center"/>
    </xf>
    <xf numFmtId="174" fontId="53" fillId="11" borderId="70" xfId="1" applyNumberFormat="1" applyFont="1" applyFill="1" applyBorder="1" applyAlignment="1">
      <alignment horizontal="center"/>
    </xf>
    <xf numFmtId="4" fontId="0" fillId="12" borderId="2" xfId="21" applyNumberFormat="1" applyFont="1" applyFill="1" applyBorder="1" applyAlignment="1">
      <alignment horizontal="center"/>
    </xf>
    <xf numFmtId="171" fontId="111" fillId="16" borderId="2" xfId="24" applyNumberFormat="1" applyFont="1" applyFill="1" applyBorder="1" applyAlignment="1">
      <alignment horizontal="center"/>
    </xf>
    <xf numFmtId="9" fontId="184" fillId="0" borderId="0" xfId="21" applyFont="1" applyAlignment="1">
      <alignment horizontal="right" vertical="center"/>
    </xf>
    <xf numFmtId="0" fontId="0" fillId="70" borderId="0" xfId="0" applyFill="1" applyAlignment="1">
      <alignment vertical="center"/>
    </xf>
    <xf numFmtId="0" fontId="58" fillId="70" borderId="16" xfId="0" applyFont="1" applyFill="1" applyBorder="1" applyAlignment="1">
      <alignment horizontal="center" vertical="center"/>
    </xf>
    <xf numFmtId="0" fontId="58" fillId="70" borderId="14" xfId="0" applyFont="1" applyFill="1" applyBorder="1" applyAlignment="1">
      <alignment horizontal="center" vertical="center"/>
    </xf>
    <xf numFmtId="17" fontId="58" fillId="70" borderId="29" xfId="0" applyNumberFormat="1" applyFont="1" applyFill="1" applyBorder="1" applyAlignment="1">
      <alignment horizontal="center"/>
    </xf>
    <xf numFmtId="17" fontId="58" fillId="70" borderId="43" xfId="0" applyNumberFormat="1" applyFont="1" applyFill="1" applyBorder="1" applyAlignment="1">
      <alignment horizontal="center"/>
    </xf>
    <xf numFmtId="0" fontId="0" fillId="70" borderId="1" xfId="0" applyFill="1" applyBorder="1" applyAlignment="1">
      <alignment vertical="center"/>
    </xf>
    <xf numFmtId="0" fontId="0" fillId="70" borderId="2" xfId="0" applyFill="1" applyBorder="1" applyAlignment="1">
      <alignment horizontal="center" vertical="center"/>
    </xf>
    <xf numFmtId="2" fontId="0" fillId="70" borderId="2" xfId="0" applyNumberFormat="1" applyFill="1" applyBorder="1" applyAlignment="1">
      <alignment horizontal="center" vertical="center"/>
    </xf>
    <xf numFmtId="2" fontId="0" fillId="70" borderId="3" xfId="0" applyNumberFormat="1" applyFill="1" applyBorder="1" applyAlignment="1">
      <alignment horizontal="center" vertical="center"/>
    </xf>
    <xf numFmtId="0" fontId="57" fillId="70" borderId="1" xfId="0" applyFont="1" applyFill="1" applyBorder="1" applyAlignment="1">
      <alignment vertical="center"/>
    </xf>
    <xf numFmtId="0" fontId="57" fillId="70" borderId="2" xfId="0" applyFont="1" applyFill="1" applyBorder="1" applyAlignment="1">
      <alignment horizontal="center" vertical="center"/>
    </xf>
    <xf numFmtId="0" fontId="53" fillId="70" borderId="2" xfId="0" applyFont="1" applyFill="1" applyBorder="1" applyAlignment="1">
      <alignment horizontal="center" vertical="center"/>
    </xf>
    <xf numFmtId="0" fontId="0" fillId="70" borderId="4" xfId="0" applyFill="1" applyBorder="1" applyAlignment="1">
      <alignment vertical="center"/>
    </xf>
    <xf numFmtId="0" fontId="0" fillId="70" borderId="6" xfId="0" applyFill="1" applyBorder="1" applyAlignment="1">
      <alignment horizontal="center" vertical="center"/>
    </xf>
    <xf numFmtId="2" fontId="0" fillId="70" borderId="6" xfId="0" applyNumberFormat="1" applyFill="1" applyBorder="1" applyAlignment="1">
      <alignment horizontal="center" vertical="center"/>
    </xf>
    <xf numFmtId="2" fontId="0" fillId="70" borderId="13" xfId="0" applyNumberFormat="1" applyFill="1" applyBorder="1" applyAlignment="1">
      <alignment horizontal="center" vertical="center"/>
    </xf>
    <xf numFmtId="2" fontId="53" fillId="16" borderId="9" xfId="0" applyNumberFormat="1" applyFont="1" applyFill="1" applyBorder="1" applyAlignment="1">
      <alignment horizontal="center"/>
    </xf>
    <xf numFmtId="2" fontId="53" fillId="0" borderId="0" xfId="0" applyNumberFormat="1" applyFont="1" applyAlignment="1">
      <alignment horizontal="center" vertical="center"/>
    </xf>
    <xf numFmtId="17" fontId="55" fillId="0" borderId="0" xfId="0" applyNumberFormat="1" applyFont="1" applyAlignment="1">
      <alignment horizontal="center" vertical="center"/>
    </xf>
    <xf numFmtId="177" fontId="53" fillId="0" borderId="0" xfId="0" applyNumberFormat="1" applyFont="1" applyAlignment="1">
      <alignment vertical="center"/>
    </xf>
    <xf numFmtId="4" fontId="53" fillId="0" borderId="0" xfId="0" applyNumberFormat="1" applyFont="1" applyAlignment="1">
      <alignment vertical="center"/>
    </xf>
    <xf numFmtId="2" fontId="53" fillId="0" borderId="0" xfId="0" applyNumberFormat="1" applyFont="1" applyAlignment="1">
      <alignment vertical="center"/>
    </xf>
    <xf numFmtId="17" fontId="171" fillId="0" borderId="0" xfId="0" applyNumberFormat="1" applyFont="1" applyAlignment="1">
      <alignment horizontal="center"/>
    </xf>
    <xf numFmtId="2" fontId="93" fillId="0" borderId="0" xfId="0" applyNumberFormat="1" applyFont="1" applyAlignment="1">
      <alignment horizontal="left" vertical="center"/>
    </xf>
    <xf numFmtId="0" fontId="57" fillId="0" borderId="81" xfId="0" applyFont="1" applyBorder="1"/>
    <xf numFmtId="0" fontId="57" fillId="0" borderId="41" xfId="0" applyFont="1" applyBorder="1"/>
    <xf numFmtId="2" fontId="108" fillId="0" borderId="17" xfId="0" applyNumberFormat="1" applyFont="1" applyBorder="1"/>
    <xf numFmtId="0" fontId="0" fillId="71" borderId="1" xfId="0" applyFill="1" applyBorder="1" applyAlignment="1">
      <alignment vertical="center"/>
    </xf>
    <xf numFmtId="0" fontId="0" fillId="71" borderId="23" xfId="0" applyFill="1" applyBorder="1" applyAlignment="1">
      <alignment vertical="center"/>
    </xf>
    <xf numFmtId="0" fontId="23" fillId="0" borderId="17" xfId="15" applyFont="1" applyBorder="1"/>
    <xf numFmtId="0" fontId="186" fillId="0" borderId="14" xfId="0" applyFont="1" applyBorder="1"/>
    <xf numFmtId="0" fontId="186" fillId="0" borderId="2" xfId="0" applyFont="1" applyBorder="1"/>
    <xf numFmtId="2" fontId="186" fillId="0" borderId="17" xfId="0" applyNumberFormat="1" applyFont="1" applyBorder="1"/>
    <xf numFmtId="2" fontId="187" fillId="0" borderId="17" xfId="0" applyNumberFormat="1" applyFont="1" applyBorder="1"/>
    <xf numFmtId="0" fontId="185" fillId="0" borderId="17" xfId="0" applyFont="1" applyBorder="1" applyAlignment="1">
      <alignment vertical="center" wrapText="1"/>
    </xf>
    <xf numFmtId="0" fontId="53" fillId="11" borderId="47" xfId="0" applyFont="1" applyFill="1" applyBorder="1" applyAlignment="1">
      <alignment vertical="center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5" fontId="0" fillId="16" borderId="17" xfId="1" applyFont="1" applyFill="1" applyBorder="1"/>
    <xf numFmtId="175" fontId="0" fillId="23" borderId="17" xfId="1" applyNumberFormat="1" applyFont="1" applyFill="1" applyBorder="1"/>
    <xf numFmtId="175" fontId="0" fillId="35" borderId="17" xfId="1" applyNumberFormat="1" applyFont="1" applyFill="1" applyBorder="1"/>
    <xf numFmtId="168" fontId="57" fillId="0" borderId="59" xfId="0" applyNumberFormat="1" applyFont="1" applyBorder="1"/>
    <xf numFmtId="168" fontId="0" fillId="0" borderId="59" xfId="0" applyNumberFormat="1" applyBorder="1"/>
    <xf numFmtId="168" fontId="57" fillId="0" borderId="2" xfId="0" applyNumberFormat="1" applyFont="1" applyBorder="1"/>
    <xf numFmtId="168" fontId="57" fillId="0" borderId="41" xfId="0" applyNumberFormat="1" applyFont="1" applyBorder="1"/>
    <xf numFmtId="168" fontId="111" fillId="0" borderId="17" xfId="0" applyNumberFormat="1" applyFont="1" applyBorder="1"/>
    <xf numFmtId="168" fontId="111" fillId="0" borderId="59" xfId="0" applyNumberFormat="1" applyFont="1" applyBorder="1"/>
    <xf numFmtId="168" fontId="57" fillId="12" borderId="29" xfId="0" applyNumberFormat="1" applyFont="1" applyFill="1" applyBorder="1"/>
    <xf numFmtId="168" fontId="57" fillId="12" borderId="60" xfId="0" applyNumberFormat="1" applyFont="1" applyFill="1" applyBorder="1"/>
    <xf numFmtId="168" fontId="57" fillId="0" borderId="29" xfId="0" applyNumberFormat="1" applyFont="1" applyBorder="1"/>
    <xf numFmtId="168" fontId="57" fillId="0" borderId="60" xfId="0" applyNumberFormat="1" applyFont="1" applyBorder="1" applyAlignment="1">
      <alignment horizontal="right"/>
    </xf>
    <xf numFmtId="168" fontId="57" fillId="0" borderId="40" xfId="1" applyNumberFormat="1" applyFont="1" applyFill="1" applyBorder="1" applyAlignment="1">
      <alignment horizontal="right"/>
    </xf>
    <xf numFmtId="168" fontId="57" fillId="12" borderId="6" xfId="0" applyNumberFormat="1" applyFont="1" applyFill="1" applyBorder="1"/>
    <xf numFmtId="168" fontId="57" fillId="12" borderId="61" xfId="0" applyNumberFormat="1" applyFont="1" applyFill="1" applyBorder="1" applyAlignment="1">
      <alignment horizontal="right"/>
    </xf>
    <xf numFmtId="168" fontId="57" fillId="0" borderId="0" xfId="0" applyNumberFormat="1" applyFont="1" applyAlignment="1">
      <alignment horizontal="right"/>
    </xf>
    <xf numFmtId="168" fontId="57" fillId="12" borderId="51" xfId="0" applyNumberFormat="1" applyFont="1" applyFill="1" applyBorder="1"/>
    <xf numFmtId="168" fontId="57" fillId="12" borderId="40" xfId="0" applyNumberFormat="1" applyFont="1" applyFill="1" applyBorder="1"/>
    <xf numFmtId="168" fontId="53" fillId="0" borderId="60" xfId="0" applyNumberFormat="1" applyFont="1" applyBorder="1"/>
    <xf numFmtId="168" fontId="57" fillId="12" borderId="2" xfId="0" applyNumberFormat="1" applyFont="1" applyFill="1" applyBorder="1"/>
    <xf numFmtId="175" fontId="110" fillId="0" borderId="17" xfId="1" applyNumberFormat="1" applyFont="1" applyFill="1" applyBorder="1" applyAlignment="1">
      <alignment horizontal="right"/>
    </xf>
    <xf numFmtId="175" fontId="110" fillId="0" borderId="17" xfId="1" applyNumberFormat="1" applyFont="1" applyBorder="1"/>
    <xf numFmtId="175" fontId="92" fillId="0" borderId="17" xfId="1" applyNumberFormat="1" applyFont="1" applyBorder="1"/>
    <xf numFmtId="175" fontId="92" fillId="0" borderId="17" xfId="1" applyNumberFormat="1" applyFont="1" applyFill="1" applyBorder="1" applyAlignment="1">
      <alignment horizontal="right"/>
    </xf>
    <xf numFmtId="175" fontId="57" fillId="0" borderId="0" xfId="1" applyNumberFormat="1" applyFont="1"/>
    <xf numFmtId="175" fontId="90" fillId="15" borderId="17" xfId="1" applyNumberFormat="1" applyFont="1" applyFill="1" applyBorder="1"/>
    <xf numFmtId="175" fontId="110" fillId="15" borderId="17" xfId="1" applyNumberFormat="1" applyFont="1" applyFill="1" applyBorder="1"/>
    <xf numFmtId="175" fontId="110" fillId="15" borderId="17" xfId="1" applyNumberFormat="1" applyFont="1" applyFill="1" applyBorder="1" applyAlignment="1">
      <alignment horizontal="right"/>
    </xf>
    <xf numFmtId="175" fontId="44" fillId="0" borderId="0" xfId="1" applyNumberFormat="1" applyFont="1"/>
    <xf numFmtId="175" fontId="44" fillId="33" borderId="17" xfId="1" applyNumberFormat="1" applyFont="1" applyFill="1" applyBorder="1"/>
    <xf numFmtId="175" fontId="188" fillId="21" borderId="0" xfId="1" applyNumberFormat="1" applyFont="1" applyFill="1"/>
    <xf numFmtId="175" fontId="53" fillId="0" borderId="0" xfId="1" applyNumberFormat="1" applyFont="1"/>
    <xf numFmtId="175" fontId="90" fillId="0" borderId="0" xfId="1" applyNumberFormat="1" applyFont="1" applyAlignment="1">
      <alignment horizontal="right"/>
    </xf>
    <xf numFmtId="175" fontId="90" fillId="0" borderId="17" xfId="1" applyNumberFormat="1" applyFont="1" applyFill="1" applyBorder="1" applyAlignment="1">
      <alignment horizontal="right"/>
    </xf>
    <xf numFmtId="175" fontId="90" fillId="0" borderId="0" xfId="1" applyNumberFormat="1" applyFont="1"/>
    <xf numFmtId="175" fontId="92" fillId="0" borderId="0" xfId="1" applyNumberFormat="1" applyFont="1"/>
    <xf numFmtId="175" fontId="90" fillId="0" borderId="17" xfId="1" applyNumberFormat="1" applyFont="1" applyBorder="1" applyAlignment="1">
      <alignment horizontal="right"/>
    </xf>
    <xf numFmtId="175" fontId="90" fillId="0" borderId="17" xfId="1" applyNumberFormat="1" applyFont="1" applyBorder="1" applyAlignment="1">
      <alignment vertical="center"/>
    </xf>
    <xf numFmtId="0" fontId="171" fillId="0" borderId="65" xfId="0" applyFont="1" applyBorder="1" applyAlignment="1">
      <alignment vertical="center"/>
    </xf>
    <xf numFmtId="0" fontId="171" fillId="0" borderId="63" xfId="0" applyFont="1" applyBorder="1" applyAlignment="1">
      <alignment vertical="center"/>
    </xf>
    <xf numFmtId="0" fontId="98" fillId="0" borderId="0" xfId="0" applyFont="1" applyAlignment="1">
      <alignment vertical="center"/>
    </xf>
    <xf numFmtId="0" fontId="53" fillId="27" borderId="23" xfId="0" applyFont="1" applyFill="1" applyBorder="1"/>
    <xf numFmtId="0" fontId="127" fillId="0" borderId="0" xfId="0" applyFont="1"/>
    <xf numFmtId="0" fontId="53" fillId="16" borderId="47" xfId="0" applyFont="1" applyFill="1" applyBorder="1"/>
    <xf numFmtId="0" fontId="55" fillId="16" borderId="0" xfId="0" applyFont="1" applyFill="1" applyAlignment="1">
      <alignment vertical="center" wrapText="1"/>
    </xf>
    <xf numFmtId="175" fontId="189" fillId="21" borderId="0" xfId="1" applyNumberFormat="1" applyFont="1" applyFill="1" applyAlignment="1">
      <alignment horizontal="right"/>
    </xf>
    <xf numFmtId="0" fontId="190" fillId="16" borderId="0" xfId="0" applyFont="1" applyFill="1"/>
    <xf numFmtId="0" fontId="190" fillId="0" borderId="0" xfId="0" applyFont="1"/>
    <xf numFmtId="165" fontId="0" fillId="12" borderId="17" xfId="1" applyFont="1" applyFill="1" applyBorder="1" applyAlignment="1">
      <alignment horizontal="right" indent="1"/>
    </xf>
    <xf numFmtId="165" fontId="0" fillId="12" borderId="18" xfId="1" applyFont="1" applyFill="1" applyBorder="1" applyAlignment="1">
      <alignment horizontal="right" indent="1"/>
    </xf>
    <xf numFmtId="165" fontId="0" fillId="0" borderId="9" xfId="1" applyFont="1" applyBorder="1" applyAlignment="1">
      <alignment horizontal="right" indent="1"/>
    </xf>
    <xf numFmtId="165" fontId="0" fillId="0" borderId="55" xfId="1" applyFont="1" applyBorder="1" applyAlignment="1">
      <alignment horizontal="right" indent="1"/>
    </xf>
    <xf numFmtId="175" fontId="0" fillId="0" borderId="0" xfId="1" applyNumberFormat="1" applyFont="1"/>
    <xf numFmtId="0" fontId="53" fillId="0" borderId="20" xfId="0" applyFont="1" applyBorder="1" applyAlignment="1">
      <alignment horizontal="center"/>
    </xf>
    <xf numFmtId="0" fontId="22" fillId="0" borderId="17" xfId="15" applyFont="1" applyBorder="1"/>
    <xf numFmtId="175" fontId="53" fillId="0" borderId="0" xfId="1" applyNumberFormat="1"/>
    <xf numFmtId="0" fontId="98" fillId="16" borderId="0" xfId="0" applyFont="1" applyFill="1"/>
    <xf numFmtId="0" fontId="21" fillId="0" borderId="17" xfId="15" applyFont="1" applyBorder="1"/>
    <xf numFmtId="175" fontId="110" fillId="0" borderId="17" xfId="1" applyNumberFormat="1" applyFont="1" applyFill="1" applyBorder="1"/>
    <xf numFmtId="187" fontId="92" fillId="0" borderId="0" xfId="14" applyNumberFormat="1" applyFont="1"/>
    <xf numFmtId="165" fontId="111" fillId="0" borderId="18" xfId="1" applyFont="1" applyBorder="1"/>
    <xf numFmtId="165" fontId="53" fillId="0" borderId="43" xfId="1" applyFont="1" applyBorder="1"/>
    <xf numFmtId="165" fontId="53" fillId="12" borderId="51" xfId="1" applyFont="1" applyFill="1" applyBorder="1" applyAlignment="1">
      <alignment horizontal="right"/>
    </xf>
    <xf numFmtId="165" fontId="57" fillId="12" borderId="5" xfId="1" applyFont="1" applyFill="1" applyBorder="1" applyAlignment="1">
      <alignment horizontal="right"/>
    </xf>
    <xf numFmtId="165" fontId="111" fillId="0" borderId="70" xfId="1" applyFont="1" applyBorder="1"/>
    <xf numFmtId="165" fontId="90" fillId="12" borderId="28" xfId="1" applyFont="1" applyFill="1" applyBorder="1" applyAlignment="1"/>
    <xf numFmtId="165" fontId="90" fillId="12" borderId="29" xfId="1" applyFont="1" applyFill="1" applyBorder="1" applyAlignment="1"/>
    <xf numFmtId="165" fontId="90" fillId="12" borderId="51" xfId="1" applyFont="1" applyFill="1" applyBorder="1" applyAlignment="1"/>
    <xf numFmtId="0" fontId="191" fillId="0" borderId="0" xfId="0" applyFont="1"/>
    <xf numFmtId="0" fontId="182" fillId="0" borderId="0" xfId="0" applyFont="1" applyAlignment="1">
      <alignment vertical="center"/>
    </xf>
    <xf numFmtId="4" fontId="144" fillId="0" borderId="17" xfId="0" applyNumberFormat="1" applyFont="1" applyBorder="1" applyAlignment="1">
      <alignment horizontal="right" vertical="center" wrapText="1"/>
    </xf>
    <xf numFmtId="165" fontId="53" fillId="0" borderId="0" xfId="1" applyFont="1"/>
    <xf numFmtId="10" fontId="0" fillId="0" borderId="17" xfId="21" applyNumberFormat="1" applyFont="1" applyBorder="1"/>
    <xf numFmtId="2" fontId="102" fillId="0" borderId="0" xfId="0" applyNumberFormat="1" applyFont="1" applyAlignment="1">
      <alignment vertical="center"/>
    </xf>
    <xf numFmtId="165" fontId="100" fillId="27" borderId="17" xfId="0" applyNumberFormat="1" applyFont="1" applyFill="1" applyBorder="1" applyAlignment="1">
      <alignment horizontal="center"/>
    </xf>
    <xf numFmtId="169" fontId="0" fillId="16" borderId="0" xfId="0" applyNumberFormat="1" applyFill="1"/>
    <xf numFmtId="2" fontId="0" fillId="16" borderId="0" xfId="0" applyNumberFormat="1" applyFill="1"/>
    <xf numFmtId="2" fontId="0" fillId="0" borderId="49" xfId="0" applyNumberFormat="1" applyBorder="1"/>
    <xf numFmtId="2" fontId="53" fillId="16" borderId="17" xfId="0" applyNumberFormat="1" applyFont="1" applyFill="1" applyBorder="1"/>
    <xf numFmtId="17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1" fontId="0" fillId="16" borderId="0" xfId="0" applyNumberFormat="1" applyFill="1"/>
    <xf numFmtId="175" fontId="20" fillId="15" borderId="17" xfId="1" applyNumberFormat="1" applyFont="1" applyFill="1" applyBorder="1"/>
    <xf numFmtId="0" fontId="109" fillId="0" borderId="0" xfId="0" applyFont="1"/>
    <xf numFmtId="2" fontId="53" fillId="11" borderId="52" xfId="0" applyNumberFormat="1" applyFont="1" applyFill="1" applyBorder="1" applyAlignment="1">
      <alignment horizontal="center" vertical="center"/>
    </xf>
    <xf numFmtId="2" fontId="53" fillId="11" borderId="66" xfId="0" applyNumberFormat="1" applyFont="1" applyFill="1" applyBorder="1" applyAlignment="1">
      <alignment horizontal="center" vertical="center"/>
    </xf>
    <xf numFmtId="166" fontId="0" fillId="12" borderId="23" xfId="0" applyNumberFormat="1" applyFill="1" applyBorder="1"/>
    <xf numFmtId="189" fontId="0" fillId="72" borderId="0" xfId="1" applyNumberFormat="1" applyFont="1" applyFill="1" applyBorder="1"/>
    <xf numFmtId="188" fontId="0" fillId="72" borderId="0" xfId="1" applyNumberFormat="1" applyFont="1" applyFill="1" applyBorder="1"/>
    <xf numFmtId="171" fontId="0" fillId="41" borderId="3" xfId="0" applyNumberFormat="1" applyFill="1" applyBorder="1" applyAlignment="1">
      <alignment horizontal="center"/>
    </xf>
    <xf numFmtId="0" fontId="53" fillId="27" borderId="0" xfId="0" applyFont="1" applyFill="1" applyAlignment="1">
      <alignment vertical="center"/>
    </xf>
    <xf numFmtId="168" fontId="0" fillId="16" borderId="3" xfId="0" applyNumberFormat="1" applyFill="1" applyBorder="1" applyAlignment="1">
      <alignment horizontal="center"/>
    </xf>
    <xf numFmtId="0" fontId="53" fillId="11" borderId="23" xfId="0" applyFont="1" applyFill="1" applyBorder="1" applyAlignment="1">
      <alignment vertical="center"/>
    </xf>
    <xf numFmtId="17" fontId="55" fillId="0" borderId="65" xfId="0" applyNumberFormat="1" applyFont="1" applyBorder="1" applyAlignment="1">
      <alignment horizontal="center" vertical="center"/>
    </xf>
    <xf numFmtId="177" fontId="0" fillId="0" borderId="66" xfId="0" applyNumberFormat="1" applyBorder="1" applyAlignment="1">
      <alignment vertical="center"/>
    </xf>
    <xf numFmtId="4" fontId="0" fillId="11" borderId="52" xfId="0" applyNumberFormat="1" applyFill="1" applyBorder="1" applyAlignment="1">
      <alignment vertical="center"/>
    </xf>
    <xf numFmtId="4" fontId="0" fillId="11" borderId="66" xfId="1" applyNumberFormat="1" applyFont="1" applyFill="1" applyBorder="1" applyAlignment="1">
      <alignment vertical="center"/>
    </xf>
    <xf numFmtId="0" fontId="53" fillId="11" borderId="14" xfId="0" applyFont="1" applyFill="1" applyBorder="1" applyAlignment="1">
      <alignment horizontal="center" vertical="center"/>
    </xf>
    <xf numFmtId="0" fontId="53" fillId="71" borderId="2" xfId="0" applyFont="1" applyFill="1" applyBorder="1" applyAlignment="1">
      <alignment horizontal="center" vertical="center"/>
    </xf>
    <xf numFmtId="2" fontId="53" fillId="71" borderId="2" xfId="0" applyNumberFormat="1" applyFont="1" applyFill="1" applyBorder="1" applyAlignment="1">
      <alignment horizontal="center" vertical="center"/>
    </xf>
    <xf numFmtId="2" fontId="53" fillId="11" borderId="2" xfId="0" applyNumberFormat="1" applyFont="1" applyFill="1" applyBorder="1" applyAlignment="1">
      <alignment horizontal="center" vertical="center"/>
    </xf>
    <xf numFmtId="2" fontId="53" fillId="11" borderId="22" xfId="0" applyNumberFormat="1" applyFont="1" applyFill="1" applyBorder="1" applyAlignment="1">
      <alignment horizontal="center" vertical="center"/>
    </xf>
    <xf numFmtId="2" fontId="53" fillId="11" borderId="7" xfId="0" applyNumberFormat="1" applyFont="1" applyFill="1" applyBorder="1" applyAlignment="1">
      <alignment horizontal="center" vertical="center"/>
    </xf>
    <xf numFmtId="2" fontId="53" fillId="71" borderId="7" xfId="0" applyNumberFormat="1" applyFont="1" applyFill="1" applyBorder="1" applyAlignment="1">
      <alignment horizontal="center" vertical="center"/>
    </xf>
    <xf numFmtId="0" fontId="98" fillId="16" borderId="0" xfId="0" applyFont="1" applyFill="1" applyAlignment="1">
      <alignment horizontal="left"/>
    </xf>
    <xf numFmtId="4" fontId="53" fillId="0" borderId="24" xfId="0" applyNumberFormat="1" applyFont="1" applyBorder="1" applyAlignment="1">
      <alignment horizontal="right"/>
    </xf>
    <xf numFmtId="169" fontId="53" fillId="0" borderId="42" xfId="0" applyNumberFormat="1" applyFont="1" applyBorder="1" applyAlignment="1">
      <alignment horizontal="right"/>
    </xf>
    <xf numFmtId="2" fontId="53" fillId="0" borderId="42" xfId="0" applyNumberFormat="1" applyFont="1" applyBorder="1" applyAlignment="1">
      <alignment horizontal="right"/>
    </xf>
    <xf numFmtId="169" fontId="53" fillId="0" borderId="24" xfId="0" applyNumberFormat="1" applyFont="1" applyBorder="1" applyAlignment="1">
      <alignment horizontal="right"/>
    </xf>
    <xf numFmtId="2" fontId="53" fillId="0" borderId="24" xfId="0" applyNumberFormat="1" applyFont="1" applyBorder="1"/>
    <xf numFmtId="169" fontId="53" fillId="0" borderId="54" xfId="0" applyNumberFormat="1" applyFont="1" applyBorder="1" applyAlignment="1">
      <alignment horizontal="right"/>
    </xf>
    <xf numFmtId="168" fontId="111" fillId="0" borderId="2" xfId="0" applyNumberFormat="1" applyFont="1" applyBorder="1"/>
    <xf numFmtId="168" fontId="111" fillId="0" borderId="41" xfId="0" applyNumberFormat="1" applyFont="1" applyBorder="1"/>
    <xf numFmtId="2" fontId="186" fillId="0" borderId="2" xfId="0" applyNumberFormat="1" applyFont="1" applyBorder="1"/>
    <xf numFmtId="2" fontId="185" fillId="0" borderId="29" xfId="0" applyNumberFormat="1" applyFont="1" applyBorder="1"/>
    <xf numFmtId="0" fontId="53" fillId="0" borderId="1" xfId="0" applyFont="1" applyBorder="1" applyAlignment="1">
      <alignment horizontal="left" indent="1"/>
    </xf>
    <xf numFmtId="0" fontId="53" fillId="0" borderId="45" xfId="0" applyFont="1" applyBorder="1"/>
    <xf numFmtId="0" fontId="53" fillId="16" borderId="0" xfId="0" applyFont="1" applyFill="1"/>
    <xf numFmtId="173" fontId="111" fillId="11" borderId="17" xfId="4" applyNumberFormat="1" applyFont="1" applyFill="1" applyBorder="1" applyAlignment="1">
      <alignment horizontal="right"/>
    </xf>
    <xf numFmtId="2" fontId="0" fillId="41" borderId="2" xfId="0" applyNumberFormat="1" applyFill="1" applyBorder="1" applyAlignment="1">
      <alignment horizontal="center"/>
    </xf>
    <xf numFmtId="4" fontId="0" fillId="16" borderId="2" xfId="0" applyNumberFormat="1" applyFill="1" applyBorder="1" applyAlignment="1">
      <alignment horizontal="center"/>
    </xf>
    <xf numFmtId="0" fontId="0" fillId="68" borderId="0" xfId="0" applyFill="1"/>
    <xf numFmtId="0" fontId="0" fillId="0" borderId="0" xfId="0" quotePrefix="1"/>
    <xf numFmtId="165" fontId="93" fillId="0" borderId="0" xfId="79" applyFont="1" applyFill="1" applyBorder="1"/>
    <xf numFmtId="43" fontId="53" fillId="0" borderId="0" xfId="0" applyNumberFormat="1" applyFont="1"/>
    <xf numFmtId="177" fontId="53" fillId="0" borderId="0" xfId="0" applyNumberFormat="1" applyFont="1"/>
    <xf numFmtId="177" fontId="93" fillId="0" borderId="0" xfId="0" applyNumberFormat="1" applyFont="1"/>
    <xf numFmtId="0" fontId="109" fillId="0" borderId="0" xfId="205" applyFont="1"/>
    <xf numFmtId="0" fontId="106" fillId="0" borderId="0" xfId="205" applyFont="1"/>
    <xf numFmtId="0" fontId="58" fillId="3" borderId="16" xfId="205" applyFont="1" applyFill="1" applyBorder="1"/>
    <xf numFmtId="0" fontId="58" fillId="3" borderId="22" xfId="205" applyFont="1" applyFill="1" applyBorder="1" applyAlignment="1">
      <alignment horizontal="center"/>
    </xf>
    <xf numFmtId="17" fontId="128" fillId="0" borderId="0" xfId="205" applyNumberFormat="1" applyFont="1" applyAlignment="1">
      <alignment horizontal="center"/>
    </xf>
    <xf numFmtId="0" fontId="53" fillId="16" borderId="17" xfId="205" applyFill="1" applyBorder="1" applyAlignment="1">
      <alignment horizontal="center"/>
    </xf>
    <xf numFmtId="0" fontId="67" fillId="0" borderId="21" xfId="205" applyFont="1" applyBorder="1"/>
    <xf numFmtId="0" fontId="53" fillId="0" borderId="84" xfId="205" applyBorder="1"/>
    <xf numFmtId="0" fontId="53" fillId="41" borderId="17" xfId="205" applyFill="1" applyBorder="1" applyAlignment="1">
      <alignment horizontal="center"/>
    </xf>
    <xf numFmtId="0" fontId="53" fillId="0" borderId="1" xfId="205" applyBorder="1"/>
    <xf numFmtId="0" fontId="53" fillId="0" borderId="7" xfId="205" applyBorder="1" applyAlignment="1">
      <alignment horizontal="center"/>
    </xf>
    <xf numFmtId="0" fontId="53" fillId="41" borderId="2" xfId="205" applyFill="1" applyBorder="1" applyAlignment="1">
      <alignment horizontal="center"/>
    </xf>
    <xf numFmtId="0" fontId="53" fillId="0" borderId="7" xfId="205" applyBorder="1"/>
    <xf numFmtId="0" fontId="53" fillId="0" borderId="2" xfId="205" applyBorder="1"/>
    <xf numFmtId="0" fontId="53" fillId="0" borderId="3" xfId="205" applyBorder="1"/>
    <xf numFmtId="0" fontId="68" fillId="0" borderId="1" xfId="205" applyFont="1" applyBorder="1"/>
    <xf numFmtId="0" fontId="68" fillId="0" borderId="7" xfId="205" applyFont="1" applyBorder="1"/>
    <xf numFmtId="0" fontId="69" fillId="0" borderId="1" xfId="205" applyFont="1" applyBorder="1"/>
    <xf numFmtId="0" fontId="69" fillId="0" borderId="7" xfId="205" applyFont="1" applyBorder="1"/>
    <xf numFmtId="171" fontId="53" fillId="41" borderId="2" xfId="205" applyNumberFormat="1" applyFill="1" applyBorder="1" applyAlignment="1">
      <alignment horizontal="center"/>
    </xf>
    <xf numFmtId="171" fontId="53" fillId="41" borderId="3" xfId="205" applyNumberFormat="1" applyFill="1" applyBorder="1" applyAlignment="1">
      <alignment horizontal="center"/>
    </xf>
    <xf numFmtId="0" fontId="53" fillId="0" borderId="3" xfId="205" applyBorder="1" applyAlignment="1">
      <alignment horizontal="center"/>
    </xf>
    <xf numFmtId="0" fontId="65" fillId="0" borderId="1" xfId="205" applyFont="1" applyBorder="1"/>
    <xf numFmtId="0" fontId="53" fillId="41" borderId="3" xfId="205" applyFill="1" applyBorder="1" applyAlignment="1">
      <alignment horizontal="center"/>
    </xf>
    <xf numFmtId="168" fontId="53" fillId="16" borderId="2" xfId="205" applyNumberFormat="1" applyFill="1" applyBorder="1" applyAlignment="1">
      <alignment horizontal="center"/>
    </xf>
    <xf numFmtId="168" fontId="53" fillId="16" borderId="3" xfId="205" applyNumberFormat="1" applyFill="1" applyBorder="1" applyAlignment="1">
      <alignment horizontal="center"/>
    </xf>
    <xf numFmtId="168" fontId="53" fillId="0" borderId="0" xfId="205" applyNumberFormat="1" applyAlignment="1">
      <alignment horizontal="center"/>
    </xf>
    <xf numFmtId="0" fontId="95" fillId="0" borderId="1" xfId="205" applyFont="1" applyBorder="1"/>
    <xf numFmtId="0" fontId="95" fillId="0" borderId="7" xfId="205" applyFont="1" applyBorder="1" applyAlignment="1">
      <alignment horizontal="center"/>
    </xf>
    <xf numFmtId="0" fontId="53" fillId="16" borderId="2" xfId="205" applyFill="1" applyBorder="1" applyAlignment="1">
      <alignment horizontal="center"/>
    </xf>
    <xf numFmtId="0" fontId="53" fillId="16" borderId="3" xfId="205" applyFill="1" applyBorder="1" applyAlignment="1">
      <alignment horizontal="center"/>
    </xf>
    <xf numFmtId="167" fontId="53" fillId="2" borderId="2" xfId="205" applyNumberFormat="1" applyFill="1" applyBorder="1" applyAlignment="1">
      <alignment horizontal="center"/>
    </xf>
    <xf numFmtId="167" fontId="53" fillId="2" borderId="3" xfId="205" applyNumberFormat="1" applyFill="1" applyBorder="1" applyAlignment="1">
      <alignment horizontal="center"/>
    </xf>
    <xf numFmtId="167" fontId="53" fillId="0" borderId="0" xfId="205" applyNumberFormat="1" applyAlignment="1">
      <alignment horizontal="center"/>
    </xf>
    <xf numFmtId="167" fontId="53" fillId="16" borderId="2" xfId="205" applyNumberFormat="1" applyFill="1" applyBorder="1" applyAlignment="1">
      <alignment horizontal="center"/>
    </xf>
    <xf numFmtId="167" fontId="53" fillId="0" borderId="2" xfId="205" applyNumberFormat="1" applyBorder="1" applyAlignment="1">
      <alignment horizontal="center"/>
    </xf>
    <xf numFmtId="0" fontId="67" fillId="0" borderId="1" xfId="205" applyFont="1" applyBorder="1"/>
    <xf numFmtId="0" fontId="67" fillId="0" borderId="7" xfId="205" applyFont="1" applyBorder="1"/>
    <xf numFmtId="0" fontId="150" fillId="0" borderId="1" xfId="205" applyFont="1" applyBorder="1"/>
    <xf numFmtId="0" fontId="150" fillId="0" borderId="7" xfId="205" applyFont="1" applyBorder="1"/>
    <xf numFmtId="0" fontId="69" fillId="0" borderId="20" xfId="205" applyFont="1" applyBorder="1"/>
    <xf numFmtId="0" fontId="69" fillId="0" borderId="21" xfId="205" applyFont="1" applyBorder="1"/>
    <xf numFmtId="0" fontId="53" fillId="0" borderId="21" xfId="205" applyBorder="1"/>
    <xf numFmtId="0" fontId="69" fillId="0" borderId="44" xfId="205" applyFont="1" applyBorder="1" applyAlignment="1">
      <alignment vertical="center"/>
    </xf>
    <xf numFmtId="0" fontId="69" fillId="0" borderId="1" xfId="205" applyFont="1" applyBorder="1" applyAlignment="1">
      <alignment vertical="center"/>
    </xf>
    <xf numFmtId="2" fontId="53" fillId="16" borderId="2" xfId="205" applyNumberFormat="1" applyFill="1" applyBorder="1" applyAlignment="1">
      <alignment horizontal="center"/>
    </xf>
    <xf numFmtId="0" fontId="53" fillId="2" borderId="2" xfId="205" applyFill="1" applyBorder="1" applyAlignment="1">
      <alignment horizontal="center"/>
    </xf>
    <xf numFmtId="0" fontId="53" fillId="0" borderId="2" xfId="205" applyBorder="1" applyAlignment="1">
      <alignment horizontal="center" wrapText="1"/>
    </xf>
    <xf numFmtId="0" fontId="53" fillId="2" borderId="3" xfId="205" applyFill="1" applyBorder="1" applyAlignment="1">
      <alignment horizontal="center"/>
    </xf>
    <xf numFmtId="4" fontId="53" fillId="0" borderId="2" xfId="205" applyNumberFormat="1" applyBorder="1" applyAlignment="1">
      <alignment horizontal="center"/>
    </xf>
    <xf numFmtId="4" fontId="53" fillId="0" borderId="0" xfId="205" applyNumberFormat="1" applyAlignment="1">
      <alignment horizontal="center"/>
    </xf>
    <xf numFmtId="0" fontId="53" fillId="0" borderId="7" xfId="205" applyBorder="1" applyAlignment="1">
      <alignment horizontal="center" wrapText="1"/>
    </xf>
    <xf numFmtId="0" fontId="55" fillId="0" borderId="2" xfId="205" applyFont="1" applyBorder="1" applyAlignment="1">
      <alignment horizontal="center"/>
    </xf>
    <xf numFmtId="0" fontId="55" fillId="0" borderId="3" xfId="205" applyFont="1" applyBorder="1" applyAlignment="1">
      <alignment horizontal="center"/>
    </xf>
    <xf numFmtId="0" fontId="53" fillId="0" borderId="27" xfId="205" applyBorder="1" applyAlignment="1">
      <alignment horizontal="center"/>
    </xf>
    <xf numFmtId="2" fontId="53" fillId="16" borderId="17" xfId="205" applyNumberFormat="1" applyFill="1" applyBorder="1" applyAlignment="1">
      <alignment horizontal="center"/>
    </xf>
    <xf numFmtId="0" fontId="53" fillId="0" borderId="16" xfId="205" applyBorder="1"/>
    <xf numFmtId="0" fontId="53" fillId="0" borderId="22" xfId="205" applyBorder="1" applyAlignment="1">
      <alignment horizontal="center"/>
    </xf>
    <xf numFmtId="4" fontId="53" fillId="0" borderId="14" xfId="205" applyNumberFormat="1" applyBorder="1" applyAlignment="1">
      <alignment horizontal="center"/>
    </xf>
    <xf numFmtId="3" fontId="53" fillId="0" borderId="0" xfId="205" applyNumberFormat="1" applyAlignment="1">
      <alignment horizontal="center"/>
    </xf>
    <xf numFmtId="4" fontId="53" fillId="0" borderId="2" xfId="205" quotePrefix="1" applyNumberFormat="1" applyBorder="1" applyAlignment="1">
      <alignment horizontal="center"/>
    </xf>
    <xf numFmtId="4" fontId="53" fillId="0" borderId="3" xfId="205" quotePrefix="1" applyNumberFormat="1" applyBorder="1" applyAlignment="1">
      <alignment horizontal="center"/>
    </xf>
    <xf numFmtId="3" fontId="53" fillId="0" borderId="0" xfId="205" quotePrefix="1" applyNumberFormat="1" applyAlignment="1">
      <alignment horizontal="center"/>
    </xf>
    <xf numFmtId="1" fontId="53" fillId="0" borderId="2" xfId="205" applyNumberFormat="1" applyBorder="1" applyAlignment="1">
      <alignment horizontal="center"/>
    </xf>
    <xf numFmtId="1" fontId="53" fillId="0" borderId="3" xfId="205" applyNumberFormat="1" applyBorder="1" applyAlignment="1">
      <alignment horizontal="center"/>
    </xf>
    <xf numFmtId="1" fontId="53" fillId="0" borderId="0" xfId="205" applyNumberFormat="1" applyAlignment="1">
      <alignment horizontal="center"/>
    </xf>
    <xf numFmtId="2" fontId="53" fillId="16" borderId="3" xfId="205" applyNumberFormat="1" applyFill="1" applyBorder="1" applyAlignment="1">
      <alignment horizontal="center"/>
    </xf>
    <xf numFmtId="2" fontId="53" fillId="0" borderId="0" xfId="205" applyNumberFormat="1" applyAlignment="1">
      <alignment horizontal="center"/>
    </xf>
    <xf numFmtId="2" fontId="53" fillId="0" borderId="2" xfId="205" applyNumberFormat="1" applyBorder="1" applyAlignment="1">
      <alignment horizontal="center"/>
    </xf>
    <xf numFmtId="2" fontId="53" fillId="0" borderId="3" xfId="205" applyNumberFormat="1" applyBorder="1" applyAlignment="1">
      <alignment horizontal="center"/>
    </xf>
    <xf numFmtId="0" fontId="67" fillId="12" borderId="1" xfId="205" applyFont="1" applyFill="1" applyBorder="1"/>
    <xf numFmtId="0" fontId="67" fillId="12" borderId="7" xfId="205" applyFont="1" applyFill="1" applyBorder="1" applyAlignment="1">
      <alignment horizontal="center"/>
    </xf>
    <xf numFmtId="2" fontId="67" fillId="12" borderId="2" xfId="205" applyNumberFormat="1" applyFont="1" applyFill="1" applyBorder="1" applyAlignment="1">
      <alignment horizontal="center"/>
    </xf>
    <xf numFmtId="2" fontId="67" fillId="12" borderId="3" xfId="205" applyNumberFormat="1" applyFont="1" applyFill="1" applyBorder="1" applyAlignment="1">
      <alignment horizontal="center"/>
    </xf>
    <xf numFmtId="2" fontId="67" fillId="0" borderId="0" xfId="205" applyNumberFormat="1" applyFont="1" applyAlignment="1">
      <alignment horizontal="center"/>
    </xf>
    <xf numFmtId="4" fontId="53" fillId="0" borderId="17" xfId="205" applyNumberFormat="1" applyBorder="1" applyAlignment="1">
      <alignment horizontal="center"/>
    </xf>
    <xf numFmtId="4" fontId="53" fillId="0" borderId="18" xfId="205" applyNumberFormat="1" applyBorder="1" applyAlignment="1">
      <alignment horizontal="center"/>
    </xf>
    <xf numFmtId="0" fontId="53" fillId="0" borderId="9" xfId="205" applyBorder="1" applyAlignment="1">
      <alignment horizontal="center" vertical="center"/>
    </xf>
    <xf numFmtId="4" fontId="53" fillId="0" borderId="9" xfId="205" applyNumberFormat="1" applyBorder="1" applyAlignment="1">
      <alignment horizontal="center"/>
    </xf>
    <xf numFmtId="0" fontId="53" fillId="0" borderId="0" xfId="205" applyAlignment="1">
      <alignment horizontal="left" indent="2"/>
    </xf>
    <xf numFmtId="177" fontId="53" fillId="0" borderId="0" xfId="205" applyNumberFormat="1"/>
    <xf numFmtId="184" fontId="53" fillId="0" borderId="0" xfId="205" applyNumberFormat="1"/>
    <xf numFmtId="190" fontId="53" fillId="0" borderId="0" xfId="205" applyNumberFormat="1"/>
    <xf numFmtId="2" fontId="53" fillId="41" borderId="2" xfId="205" applyNumberFormat="1" applyFill="1" applyBorder="1" applyAlignment="1">
      <alignment horizontal="center"/>
    </xf>
    <xf numFmtId="0" fontId="111" fillId="0" borderId="2" xfId="205" applyFont="1" applyBorder="1"/>
    <xf numFmtId="0" fontId="111" fillId="0" borderId="3" xfId="205" applyFont="1" applyBorder="1"/>
    <xf numFmtId="0" fontId="111" fillId="0" borderId="17" xfId="205" applyFont="1" applyBorder="1"/>
    <xf numFmtId="0" fontId="53" fillId="72" borderId="1" xfId="205" applyFill="1" applyBorder="1"/>
    <xf numFmtId="0" fontId="53" fillId="72" borderId="7" xfId="205" applyFill="1" applyBorder="1" applyAlignment="1">
      <alignment horizontal="center"/>
    </xf>
    <xf numFmtId="182" fontId="53" fillId="72" borderId="2" xfId="205" applyNumberFormat="1" applyFill="1" applyBorder="1" applyAlignment="1">
      <alignment horizontal="center"/>
    </xf>
    <xf numFmtId="0" fontId="53" fillId="72" borderId="23" xfId="205" applyFill="1" applyBorder="1"/>
    <xf numFmtId="194" fontId="53" fillId="72" borderId="0" xfId="205" applyNumberFormat="1" applyFill="1"/>
    <xf numFmtId="0" fontId="53" fillId="72" borderId="0" xfId="205" applyFill="1"/>
    <xf numFmtId="0" fontId="111" fillId="0" borderId="3" xfId="205" applyFont="1" applyBorder="1" applyAlignment="1">
      <alignment horizontal="center"/>
    </xf>
    <xf numFmtId="194" fontId="53" fillId="0" borderId="0" xfId="205" applyNumberFormat="1"/>
    <xf numFmtId="0" fontId="111" fillId="72" borderId="2" xfId="205" applyFont="1" applyFill="1" applyBorder="1" applyAlignment="1">
      <alignment horizontal="center"/>
    </xf>
    <xf numFmtId="0" fontId="53" fillId="0" borderId="23" xfId="205" applyBorder="1" applyAlignment="1">
      <alignment horizontal="center"/>
    </xf>
    <xf numFmtId="0" fontId="111" fillId="0" borderId="7" xfId="205" applyFont="1" applyBorder="1" applyAlignment="1">
      <alignment horizontal="center"/>
    </xf>
    <xf numFmtId="0" fontId="93" fillId="0" borderId="23" xfId="205" applyFont="1" applyBorder="1"/>
    <xf numFmtId="195" fontId="53" fillId="0" borderId="0" xfId="205" applyNumberFormat="1"/>
    <xf numFmtId="168" fontId="111" fillId="72" borderId="2" xfId="205" applyNumberFormat="1" applyFont="1" applyFill="1" applyBorder="1" applyAlignment="1">
      <alignment horizontal="center"/>
    </xf>
    <xf numFmtId="195" fontId="53" fillId="72" borderId="0" xfId="205" applyNumberFormat="1" applyFill="1"/>
    <xf numFmtId="168" fontId="53" fillId="0" borderId="23" xfId="205" applyNumberFormat="1" applyBorder="1" applyAlignment="1">
      <alignment horizontal="center"/>
    </xf>
    <xf numFmtId="167" fontId="111" fillId="72" borderId="2" xfId="205" applyNumberFormat="1" applyFont="1" applyFill="1" applyBorder="1" applyAlignment="1">
      <alignment horizontal="center"/>
    </xf>
    <xf numFmtId="188" fontId="53" fillId="72" borderId="0" xfId="205" applyNumberFormat="1" applyFill="1"/>
    <xf numFmtId="0" fontId="53" fillId="72" borderId="7" xfId="205" applyFill="1" applyBorder="1"/>
    <xf numFmtId="2" fontId="111" fillId="72" borderId="2" xfId="205" applyNumberFormat="1" applyFont="1" applyFill="1" applyBorder="1" applyAlignment="1">
      <alignment horizontal="center"/>
    </xf>
    <xf numFmtId="0" fontId="66" fillId="0" borderId="1" xfId="205" applyFont="1" applyBorder="1"/>
    <xf numFmtId="0" fontId="66" fillId="0" borderId="7" xfId="205" applyFont="1" applyBorder="1"/>
    <xf numFmtId="0" fontId="192" fillId="0" borderId="45" xfId="205" applyFont="1" applyBorder="1"/>
    <xf numFmtId="3" fontId="53" fillId="41" borderId="2" xfId="205" applyNumberFormat="1" applyFill="1" applyBorder="1" applyAlignment="1">
      <alignment horizontal="center"/>
    </xf>
    <xf numFmtId="0" fontId="192" fillId="0" borderId="7" xfId="205" applyFont="1" applyBorder="1"/>
    <xf numFmtId="2" fontId="111" fillId="0" borderId="2" xfId="205" applyNumberFormat="1" applyFont="1" applyBorder="1" applyAlignment="1">
      <alignment horizontal="center"/>
    </xf>
    <xf numFmtId="0" fontId="111" fillId="0" borderId="42" xfId="205" applyFont="1" applyBorder="1" applyAlignment="1">
      <alignment horizontal="center"/>
    </xf>
    <xf numFmtId="0" fontId="111" fillId="0" borderId="27" xfId="205" applyFont="1" applyBorder="1" applyAlignment="1">
      <alignment horizontal="center"/>
    </xf>
    <xf numFmtId="2" fontId="53" fillId="2" borderId="2" xfId="205" applyNumberFormat="1" applyFill="1" applyBorder="1" applyAlignment="1">
      <alignment horizontal="center"/>
    </xf>
    <xf numFmtId="0" fontId="111" fillId="0" borderId="24" xfId="205" applyFont="1" applyBorder="1" applyAlignment="1">
      <alignment horizontal="center"/>
    </xf>
    <xf numFmtId="0" fontId="53" fillId="12" borderId="16" xfId="205" applyFill="1" applyBorder="1"/>
    <xf numFmtId="0" fontId="53" fillId="12" borderId="22" xfId="205" applyFill="1" applyBorder="1" applyAlignment="1">
      <alignment horizontal="center"/>
    </xf>
    <xf numFmtId="4" fontId="111" fillId="12" borderId="14" xfId="205" applyNumberFormat="1" applyFont="1" applyFill="1" applyBorder="1" applyAlignment="1">
      <alignment horizontal="right"/>
    </xf>
    <xf numFmtId="3" fontId="53" fillId="0" borderId="23" xfId="205" applyNumberFormat="1" applyBorder="1"/>
    <xf numFmtId="3" fontId="111" fillId="0" borderId="2" xfId="205" quotePrefix="1" applyNumberFormat="1" applyFont="1" applyBorder="1" applyAlignment="1">
      <alignment horizontal="right"/>
    </xf>
    <xf numFmtId="1" fontId="111" fillId="11" borderId="2" xfId="205" applyNumberFormat="1" applyFont="1" applyFill="1" applyBorder="1" applyAlignment="1">
      <alignment horizontal="right"/>
    </xf>
    <xf numFmtId="1" fontId="111" fillId="11" borderId="3" xfId="205" applyNumberFormat="1" applyFont="1" applyFill="1" applyBorder="1" applyAlignment="1">
      <alignment horizontal="right"/>
    </xf>
    <xf numFmtId="2" fontId="111" fillId="0" borderId="2" xfId="205" applyNumberFormat="1" applyFont="1" applyBorder="1" applyAlignment="1">
      <alignment horizontal="right"/>
    </xf>
    <xf numFmtId="0" fontId="67" fillId="12" borderId="4" xfId="205" applyFont="1" applyFill="1" applyBorder="1"/>
    <xf numFmtId="0" fontId="67" fillId="12" borderId="5" xfId="205" applyFont="1" applyFill="1" applyBorder="1" applyAlignment="1">
      <alignment horizontal="center"/>
    </xf>
    <xf numFmtId="2" fontId="116" fillId="12" borderId="6" xfId="205" applyNumberFormat="1" applyFont="1" applyFill="1" applyBorder="1" applyAlignment="1">
      <alignment horizontal="right"/>
    </xf>
    <xf numFmtId="0" fontId="93" fillId="0" borderId="0" xfId="205" applyFont="1" applyAlignment="1">
      <alignment horizontal="left" indent="2"/>
    </xf>
    <xf numFmtId="17" fontId="58" fillId="20" borderId="29" xfId="205" applyNumberFormat="1" applyFont="1" applyFill="1" applyBorder="1" applyAlignment="1">
      <alignment horizontal="center"/>
    </xf>
    <xf numFmtId="0" fontId="95" fillId="0" borderId="1" xfId="205" applyFont="1" applyBorder="1" applyAlignment="1">
      <alignment horizontal="left" indent="2"/>
    </xf>
    <xf numFmtId="0" fontId="53" fillId="0" borderId="1" xfId="205" applyBorder="1" applyAlignment="1">
      <alignment horizontal="left" indent="2"/>
    </xf>
    <xf numFmtId="168" fontId="53" fillId="0" borderId="2" xfId="205" applyNumberFormat="1" applyBorder="1" applyAlignment="1">
      <alignment horizontal="center"/>
    </xf>
    <xf numFmtId="171" fontId="53" fillId="0" borderId="2" xfId="205" applyNumberFormat="1" applyBorder="1" applyAlignment="1">
      <alignment horizontal="center"/>
    </xf>
    <xf numFmtId="3" fontId="53" fillId="16" borderId="2" xfId="205" applyNumberFormat="1" applyFill="1" applyBorder="1" applyAlignment="1">
      <alignment horizontal="center"/>
    </xf>
    <xf numFmtId="0" fontId="69" fillId="0" borderId="1" xfId="205" applyFont="1" applyBorder="1" applyAlignment="1">
      <alignment horizontal="left" indent="2"/>
    </xf>
    <xf numFmtId="172" fontId="53" fillId="16" borderId="2" xfId="205" applyNumberFormat="1" applyFill="1" applyBorder="1" applyAlignment="1">
      <alignment horizontal="center"/>
    </xf>
    <xf numFmtId="186" fontId="53" fillId="16" borderId="2" xfId="205" applyNumberFormat="1" applyFill="1" applyBorder="1" applyAlignment="1">
      <alignment horizontal="center"/>
    </xf>
    <xf numFmtId="0" fontId="97" fillId="0" borderId="1" xfId="205" applyFont="1" applyBorder="1"/>
    <xf numFmtId="182" fontId="53" fillId="16" borderId="2" xfId="205" applyNumberFormat="1" applyFill="1" applyBorder="1" applyAlignment="1">
      <alignment horizontal="center"/>
    </xf>
    <xf numFmtId="0" fontId="69" fillId="0" borderId="42" xfId="205" applyFont="1" applyBorder="1" applyAlignment="1">
      <alignment vertical="center"/>
    </xf>
    <xf numFmtId="0" fontId="69" fillId="0" borderId="2" xfId="205" applyFont="1" applyBorder="1" applyAlignment="1">
      <alignment vertical="center"/>
    </xf>
    <xf numFmtId="0" fontId="69" fillId="0" borderId="2" xfId="205" applyFont="1" applyBorder="1" applyAlignment="1">
      <alignment horizontal="center"/>
    </xf>
    <xf numFmtId="0" fontId="97" fillId="10" borderId="2" xfId="205" applyFont="1" applyFill="1" applyBorder="1" applyAlignment="1">
      <alignment vertical="center"/>
    </xf>
    <xf numFmtId="0" fontId="53" fillId="10" borderId="2" xfId="205" applyFill="1" applyBorder="1" applyAlignment="1">
      <alignment horizontal="center" wrapText="1"/>
    </xf>
    <xf numFmtId="0" fontId="53" fillId="10" borderId="0" xfId="205" applyFill="1"/>
    <xf numFmtId="0" fontId="111" fillId="0" borderId="0" xfId="205" applyFont="1" applyAlignment="1">
      <alignment horizontal="center"/>
    </xf>
    <xf numFmtId="0" fontId="69" fillId="10" borderId="2" xfId="205" applyFont="1" applyFill="1" applyBorder="1"/>
    <xf numFmtId="166" fontId="53" fillId="0" borderId="2" xfId="205" applyNumberFormat="1" applyBorder="1"/>
    <xf numFmtId="166" fontId="151" fillId="0" borderId="0" xfId="205" applyNumberFormat="1" applyFont="1"/>
    <xf numFmtId="43" fontId="53" fillId="0" borderId="2" xfId="205" applyNumberFormat="1" applyBorder="1" applyAlignment="1">
      <alignment horizontal="center"/>
    </xf>
    <xf numFmtId="0" fontId="66" fillId="0" borderId="24" xfId="205" applyFont="1" applyBorder="1"/>
    <xf numFmtId="0" fontId="53" fillId="0" borderId="24" xfId="205" applyBorder="1" applyAlignment="1">
      <alignment horizontal="center"/>
    </xf>
    <xf numFmtId="3" fontId="53" fillId="12" borderId="14" xfId="205" applyNumberFormat="1" applyFill="1" applyBorder="1" applyAlignment="1">
      <alignment horizontal="right"/>
    </xf>
    <xf numFmtId="3" fontId="53" fillId="0" borderId="0" xfId="205" applyNumberFormat="1" applyAlignment="1">
      <alignment horizontal="right"/>
    </xf>
    <xf numFmtId="4" fontId="53" fillId="0" borderId="2" xfId="205" quotePrefix="1" applyNumberFormat="1" applyBorder="1" applyAlignment="1">
      <alignment horizontal="right"/>
    </xf>
    <xf numFmtId="4" fontId="53" fillId="0" borderId="0" xfId="205" applyNumberFormat="1" applyAlignment="1">
      <alignment horizontal="right"/>
    </xf>
    <xf numFmtId="0" fontId="53" fillId="2" borderId="1" xfId="205" applyFill="1" applyBorder="1"/>
    <xf numFmtId="0" fontId="53" fillId="2" borderId="7" xfId="205" applyFill="1" applyBorder="1" applyAlignment="1">
      <alignment horizontal="center"/>
    </xf>
    <xf numFmtId="1" fontId="53" fillId="2" borderId="2" xfId="205" applyNumberFormat="1" applyFill="1" applyBorder="1" applyAlignment="1">
      <alignment horizontal="right"/>
    </xf>
    <xf numFmtId="1" fontId="53" fillId="11" borderId="2" xfId="205" applyNumberFormat="1" applyFill="1" applyBorder="1" applyAlignment="1">
      <alignment horizontal="right"/>
    </xf>
    <xf numFmtId="0" fontId="111" fillId="0" borderId="1" xfId="205" applyFont="1" applyBorder="1"/>
    <xf numFmtId="0" fontId="53" fillId="0" borderId="0" xfId="205" applyAlignment="1">
      <alignment horizontal="left" indent="1"/>
    </xf>
    <xf numFmtId="0" fontId="65" fillId="0" borderId="0" xfId="205" applyFont="1" applyAlignment="1">
      <alignment horizontal="left" indent="7"/>
    </xf>
    <xf numFmtId="0" fontId="53" fillId="0" borderId="0" xfId="205" applyAlignment="1">
      <alignment horizontal="left" indent="7"/>
    </xf>
    <xf numFmtId="167" fontId="53" fillId="0" borderId="0" xfId="205" applyNumberFormat="1"/>
    <xf numFmtId="4" fontId="93" fillId="0" borderId="0" xfId="205" applyNumberFormat="1" applyFont="1"/>
    <xf numFmtId="196" fontId="53" fillId="0" borderId="0" xfId="205" applyNumberFormat="1"/>
    <xf numFmtId="4" fontId="53" fillId="16" borderId="2" xfId="205" applyNumberFormat="1" applyFill="1" applyBorder="1" applyAlignment="1">
      <alignment horizontal="center"/>
    </xf>
    <xf numFmtId="2" fontId="93" fillId="0" borderId="0" xfId="205" applyNumberFormat="1" applyFont="1"/>
    <xf numFmtId="2" fontId="53" fillId="2" borderId="2" xfId="0" applyNumberFormat="1" applyFont="1" applyFill="1" applyBorder="1" applyAlignment="1">
      <alignment horizontal="center"/>
    </xf>
    <xf numFmtId="2" fontId="53" fillId="2" borderId="3" xfId="205" applyNumberFormat="1" applyFill="1" applyBorder="1" applyAlignment="1">
      <alignment horizontal="center"/>
    </xf>
    <xf numFmtId="0" fontId="0" fillId="0" borderId="52" xfId="0" applyBorder="1" applyAlignment="1">
      <alignment wrapText="1"/>
    </xf>
    <xf numFmtId="0" fontId="53" fillId="0" borderId="52" xfId="0" applyFont="1" applyBorder="1" applyAlignment="1">
      <alignment wrapText="1"/>
    </xf>
    <xf numFmtId="0" fontId="53" fillId="0" borderId="52" xfId="0" applyFont="1" applyBorder="1"/>
    <xf numFmtId="0" fontId="110" fillId="0" borderId="23" xfId="14" applyFont="1" applyBorder="1" applyAlignment="1">
      <alignment horizontal="left"/>
    </xf>
    <xf numFmtId="0" fontId="45" fillId="0" borderId="52" xfId="14" applyFont="1" applyBorder="1" applyAlignment="1">
      <alignment horizontal="left"/>
    </xf>
    <xf numFmtId="0" fontId="193" fillId="0" borderId="0" xfId="0" applyFont="1"/>
    <xf numFmtId="0" fontId="193" fillId="0" borderId="0" xfId="0" applyFont="1" applyAlignment="1">
      <alignment horizontal="center"/>
    </xf>
    <xf numFmtId="173" fontId="0" fillId="73" borderId="52" xfId="0" applyNumberFormat="1" applyFill="1" applyBorder="1" applyAlignment="1">
      <alignment vertical="center"/>
    </xf>
    <xf numFmtId="41" fontId="0" fillId="73" borderId="52" xfId="0" applyNumberFormat="1" applyFill="1" applyBorder="1"/>
    <xf numFmtId="0" fontId="93" fillId="73" borderId="0" xfId="0" applyFont="1" applyFill="1"/>
    <xf numFmtId="0" fontId="0" fillId="73" borderId="0" xfId="0" applyFill="1"/>
    <xf numFmtId="4" fontId="88" fillId="0" borderId="0" xfId="0" applyNumberFormat="1" applyFont="1"/>
    <xf numFmtId="168" fontId="90" fillId="11" borderId="17" xfId="1" applyNumberFormat="1" applyFont="1" applyFill="1" applyBorder="1" applyAlignment="1">
      <alignment vertical="center"/>
    </xf>
    <xf numFmtId="175" fontId="53" fillId="0" borderId="43" xfId="1" applyNumberFormat="1" applyFont="1" applyBorder="1"/>
    <xf numFmtId="175" fontId="110" fillId="12" borderId="28" xfId="1" applyNumberFormat="1" applyFont="1" applyFill="1" applyBorder="1" applyAlignment="1">
      <alignment horizontal="right"/>
    </xf>
    <xf numFmtId="179" fontId="55" fillId="12" borderId="17" xfId="0" applyNumberFormat="1" applyFont="1" applyFill="1" applyBorder="1" applyAlignment="1">
      <alignment horizontal="right" vertical="center"/>
    </xf>
    <xf numFmtId="179" fontId="55" fillId="12" borderId="17" xfId="0" applyNumberFormat="1" applyFont="1" applyFill="1" applyBorder="1" applyAlignment="1">
      <alignment horizontal="center" vertical="center"/>
    </xf>
    <xf numFmtId="168" fontId="111" fillId="0" borderId="42" xfId="0" applyNumberFormat="1" applyFont="1" applyBorder="1" applyAlignment="1">
      <alignment horizontal="right"/>
    </xf>
    <xf numFmtId="168" fontId="0" fillId="36" borderId="17" xfId="1" applyNumberFormat="1" applyFont="1" applyFill="1" applyBorder="1"/>
    <xf numFmtId="168" fontId="53" fillId="0" borderId="29" xfId="0" applyNumberFormat="1" applyFont="1" applyBorder="1"/>
    <xf numFmtId="168" fontId="53" fillId="0" borderId="43" xfId="0" applyNumberFormat="1" applyFont="1" applyBorder="1"/>
    <xf numFmtId="168" fontId="0" fillId="0" borderId="42" xfId="0" applyNumberFormat="1" applyBorder="1"/>
    <xf numFmtId="179" fontId="55" fillId="0" borderId="17" xfId="0" applyNumberFormat="1" applyFont="1" applyBorder="1" applyAlignment="1">
      <alignment horizontal="center" vertical="center"/>
    </xf>
    <xf numFmtId="168" fontId="110" fillId="0" borderId="2" xfId="14" applyNumberFormat="1" applyFont="1" applyBorder="1" applyAlignment="1">
      <alignment horizontal="right"/>
    </xf>
    <xf numFmtId="187" fontId="53" fillId="0" borderId="2" xfId="0" applyNumberFormat="1" applyFont="1" applyBorder="1" applyAlignment="1">
      <alignment horizontal="right"/>
    </xf>
    <xf numFmtId="179" fontId="0" fillId="0" borderId="2" xfId="0" applyNumberFormat="1" applyBorder="1" applyAlignment="1">
      <alignment horizontal="right"/>
    </xf>
    <xf numFmtId="179" fontId="0" fillId="0" borderId="42" xfId="0" applyNumberFormat="1" applyBorder="1" applyAlignment="1">
      <alignment horizontal="right"/>
    </xf>
    <xf numFmtId="179" fontId="53" fillId="0" borderId="42" xfId="0" applyNumberFormat="1" applyFont="1" applyBorder="1" applyAlignment="1">
      <alignment horizontal="right"/>
    </xf>
    <xf numFmtId="168" fontId="53" fillId="0" borderId="42" xfId="0" applyNumberFormat="1" applyFont="1" applyBorder="1"/>
    <xf numFmtId="168" fontId="0" fillId="0" borderId="9" xfId="0" applyNumberFormat="1" applyBorder="1"/>
    <xf numFmtId="168" fontId="0" fillId="0" borderId="55" xfId="0" applyNumberFormat="1" applyBorder="1"/>
    <xf numFmtId="174" fontId="70" fillId="11" borderId="17" xfId="1" applyNumberFormat="1" applyFont="1" applyFill="1" applyBorder="1" applyAlignment="1">
      <alignment horizontal="center"/>
    </xf>
    <xf numFmtId="4" fontId="93" fillId="0" borderId="9" xfId="205" applyNumberFormat="1" applyFont="1" applyBorder="1" applyAlignment="1">
      <alignment horizontal="center"/>
    </xf>
    <xf numFmtId="4" fontId="93" fillId="0" borderId="55" xfId="205" applyNumberFormat="1" applyFont="1" applyBorder="1" applyAlignment="1">
      <alignment horizontal="center"/>
    </xf>
    <xf numFmtId="4" fontId="93" fillId="0" borderId="17" xfId="205" applyNumberFormat="1" applyFont="1" applyBorder="1" applyAlignment="1">
      <alignment horizontal="center"/>
    </xf>
    <xf numFmtId="0" fontId="53" fillId="11" borderId="63" xfId="0" applyFont="1" applyFill="1" applyBorder="1" applyAlignment="1">
      <alignment vertical="center"/>
    </xf>
    <xf numFmtId="0" fontId="53" fillId="11" borderId="25" xfId="0" applyFont="1" applyFill="1" applyBorder="1" applyAlignment="1">
      <alignment vertical="center"/>
    </xf>
    <xf numFmtId="0" fontId="53" fillId="11" borderId="0" xfId="0" applyFont="1" applyFill="1" applyAlignment="1">
      <alignment vertical="center"/>
    </xf>
    <xf numFmtId="0" fontId="53" fillId="11" borderId="19" xfId="0" applyFont="1" applyFill="1" applyBorder="1" applyAlignment="1">
      <alignment vertical="center"/>
    </xf>
    <xf numFmtId="177" fontId="0" fillId="11" borderId="83" xfId="0" applyNumberFormat="1" applyFill="1" applyBorder="1" applyAlignment="1">
      <alignment vertical="center"/>
    </xf>
    <xf numFmtId="0" fontId="53" fillId="0" borderId="25" xfId="0" applyFont="1" applyBorder="1" applyAlignment="1">
      <alignment vertical="center"/>
    </xf>
    <xf numFmtId="0" fontId="53" fillId="0" borderId="47" xfId="0" applyFont="1" applyBorder="1" applyAlignment="1">
      <alignment vertical="center"/>
    </xf>
    <xf numFmtId="0" fontId="53" fillId="0" borderId="19" xfId="0" applyFont="1" applyBorder="1" applyAlignment="1">
      <alignment vertical="center"/>
    </xf>
    <xf numFmtId="170" fontId="111" fillId="0" borderId="2" xfId="205" quotePrefix="1" applyNumberFormat="1" applyFont="1" applyBorder="1" applyAlignment="1">
      <alignment horizontal="right"/>
    </xf>
    <xf numFmtId="0" fontId="0" fillId="6" borderId="100" xfId="0" applyFill="1" applyBorder="1"/>
    <xf numFmtId="174" fontId="53" fillId="11" borderId="18" xfId="1" applyNumberFormat="1" applyFont="1" applyFill="1" applyBorder="1" applyAlignment="1">
      <alignment horizontal="right"/>
    </xf>
    <xf numFmtId="0" fontId="0" fillId="6" borderId="99" xfId="0" applyFill="1" applyBorder="1"/>
    <xf numFmtId="174" fontId="0" fillId="0" borderId="18" xfId="1" applyNumberFormat="1" applyFont="1" applyFill="1" applyBorder="1" applyAlignment="1">
      <alignment horizontal="center"/>
    </xf>
    <xf numFmtId="0" fontId="0" fillId="0" borderId="99" xfId="0" applyBorder="1"/>
    <xf numFmtId="165" fontId="0" fillId="0" borderId="3" xfId="1" applyFont="1" applyFill="1" applyBorder="1"/>
    <xf numFmtId="187" fontId="90" fillId="0" borderId="0" xfId="14" applyNumberFormat="1"/>
    <xf numFmtId="214" fontId="57" fillId="0" borderId="0" xfId="0" applyNumberFormat="1" applyFont="1"/>
    <xf numFmtId="168" fontId="53" fillId="11" borderId="21" xfId="0" applyNumberFormat="1" applyFont="1" applyFill="1" applyBorder="1"/>
    <xf numFmtId="168" fontId="53" fillId="11" borderId="17" xfId="0" applyNumberFormat="1" applyFont="1" applyFill="1" applyBorder="1"/>
    <xf numFmtId="168" fontId="53" fillId="11" borderId="21" xfId="1" applyNumberFormat="1" applyFont="1" applyFill="1" applyBorder="1"/>
    <xf numFmtId="168" fontId="53" fillId="11" borderId="17" xfId="1" applyNumberFormat="1" applyFont="1" applyFill="1" applyBorder="1"/>
    <xf numFmtId="168" fontId="57" fillId="11" borderId="20" xfId="1" applyNumberFormat="1" applyFont="1" applyFill="1" applyBorder="1" applyAlignment="1">
      <alignment horizontal="right"/>
    </xf>
    <xf numFmtId="168" fontId="57" fillId="11" borderId="21" xfId="1" applyNumberFormat="1" applyFont="1" applyFill="1" applyBorder="1" applyAlignment="1">
      <alignment horizontal="right"/>
    </xf>
    <xf numFmtId="168" fontId="57" fillId="11" borderId="17" xfId="1" applyNumberFormat="1" applyFont="1" applyFill="1" applyBorder="1" applyAlignment="1">
      <alignment horizontal="right"/>
    </xf>
    <xf numFmtId="165" fontId="0" fillId="12" borderId="0" xfId="1" applyFont="1" applyFill="1"/>
    <xf numFmtId="214" fontId="0" fillId="0" borderId="0" xfId="0" applyNumberFormat="1"/>
    <xf numFmtId="179" fontId="144" fillId="0" borderId="17" xfId="0" applyNumberFormat="1" applyFont="1" applyBorder="1" applyAlignment="1">
      <alignment horizontal="right" vertical="center" wrapText="1"/>
    </xf>
    <xf numFmtId="175" fontId="0" fillId="36" borderId="17" xfId="1" applyNumberFormat="1" applyFont="1" applyFill="1" applyBorder="1"/>
    <xf numFmtId="4" fontId="53" fillId="0" borderId="41" xfId="0" applyNumberFormat="1" applyFont="1" applyBorder="1" applyAlignment="1">
      <alignment horizontal="center"/>
    </xf>
    <xf numFmtId="17" fontId="129" fillId="30" borderId="25" xfId="205" applyNumberFormat="1" applyFont="1" applyFill="1" applyBorder="1" applyAlignment="1">
      <alignment horizontal="center"/>
    </xf>
    <xf numFmtId="17" fontId="129" fillId="30" borderId="26" xfId="205" applyNumberFormat="1" applyFont="1" applyFill="1" applyBorder="1" applyAlignment="1">
      <alignment horizontal="center"/>
    </xf>
    <xf numFmtId="2" fontId="53" fillId="16" borderId="24" xfId="205" applyNumberFormat="1" applyFill="1" applyBorder="1" applyAlignment="1">
      <alignment horizontal="center"/>
    </xf>
    <xf numFmtId="2" fontId="53" fillId="16" borderId="18" xfId="205" applyNumberFormat="1" applyFill="1" applyBorder="1" applyAlignment="1">
      <alignment horizontal="center"/>
    </xf>
    <xf numFmtId="2" fontId="53" fillId="11" borderId="65" xfId="0" applyNumberFormat="1" applyFont="1" applyFill="1" applyBorder="1" applyAlignment="1">
      <alignment horizontal="center" vertical="center"/>
    </xf>
    <xf numFmtId="17" fontId="55" fillId="11" borderId="14" xfId="0" applyNumberFormat="1" applyFont="1" applyFill="1" applyBorder="1" applyAlignment="1">
      <alignment horizontal="center" vertical="center"/>
    </xf>
    <xf numFmtId="184" fontId="0" fillId="11" borderId="2" xfId="0" applyNumberFormat="1" applyFill="1" applyBorder="1" applyAlignment="1">
      <alignment vertical="center"/>
    </xf>
    <xf numFmtId="177" fontId="0" fillId="11" borderId="6" xfId="0" applyNumberFormat="1" applyFill="1" applyBorder="1" applyAlignment="1">
      <alignment vertical="center"/>
    </xf>
    <xf numFmtId="17" fontId="55" fillId="67" borderId="17" xfId="0" applyNumberFormat="1" applyFont="1" applyFill="1" applyBorder="1" applyAlignment="1">
      <alignment horizontal="center"/>
    </xf>
    <xf numFmtId="165" fontId="130" fillId="0" borderId="17" xfId="1" applyFont="1" applyBorder="1"/>
    <xf numFmtId="165" fontId="130" fillId="0" borderId="17" xfId="1" applyFont="1" applyBorder="1" applyAlignment="1">
      <alignment horizontal="right"/>
    </xf>
    <xf numFmtId="165" fontId="0" fillId="0" borderId="17" xfId="1" applyFont="1" applyBorder="1" applyAlignment="1">
      <alignment vertical="center"/>
    </xf>
    <xf numFmtId="0" fontId="130" fillId="0" borderId="17" xfId="0" applyFont="1" applyBorder="1"/>
    <xf numFmtId="165" fontId="130" fillId="0" borderId="17" xfId="1" applyFont="1" applyBorder="1" applyAlignment="1">
      <alignment vertical="center"/>
    </xf>
    <xf numFmtId="0" fontId="55" fillId="35" borderId="59" xfId="0" applyFont="1" applyFill="1" applyBorder="1"/>
    <xf numFmtId="0" fontId="53" fillId="35" borderId="17" xfId="0" applyFont="1" applyFill="1" applyBorder="1"/>
    <xf numFmtId="175" fontId="0" fillId="35" borderId="17" xfId="0" applyNumberFormat="1" applyFill="1" applyBorder="1"/>
    <xf numFmtId="175" fontId="55" fillId="35" borderId="17" xfId="0" applyNumberFormat="1" applyFont="1" applyFill="1" applyBorder="1"/>
    <xf numFmtId="0" fontId="55" fillId="36" borderId="59" xfId="0" applyFont="1" applyFill="1" applyBorder="1"/>
    <xf numFmtId="175" fontId="93" fillId="36" borderId="17" xfId="0" applyNumberFormat="1" applyFont="1" applyFill="1" applyBorder="1"/>
    <xf numFmtId="175" fontId="0" fillId="36" borderId="17" xfId="0" applyNumberFormat="1" applyFill="1" applyBorder="1"/>
    <xf numFmtId="0" fontId="55" fillId="11" borderId="59" xfId="0" applyFont="1" applyFill="1" applyBorder="1"/>
    <xf numFmtId="0" fontId="53" fillId="11" borderId="17" xfId="0" applyFont="1" applyFill="1" applyBorder="1"/>
    <xf numFmtId="175" fontId="0" fillId="11" borderId="17" xfId="0" applyNumberFormat="1" applyFill="1" applyBorder="1"/>
    <xf numFmtId="0" fontId="55" fillId="74" borderId="59" xfId="0" applyFont="1" applyFill="1" applyBorder="1"/>
    <xf numFmtId="0" fontId="53" fillId="74" borderId="17" xfId="0" applyFont="1" applyFill="1" applyBorder="1"/>
    <xf numFmtId="175" fontId="0" fillId="74" borderId="17" xfId="0" applyNumberFormat="1" applyFill="1" applyBorder="1"/>
    <xf numFmtId="175" fontId="93" fillId="0" borderId="0" xfId="0" applyNumberFormat="1" applyFont="1"/>
    <xf numFmtId="0" fontId="55" fillId="35" borderId="17" xfId="0" applyFont="1" applyFill="1" applyBorder="1"/>
    <xf numFmtId="179" fontId="0" fillId="0" borderId="17" xfId="0" applyNumberFormat="1" applyBorder="1"/>
    <xf numFmtId="0" fontId="55" fillId="36" borderId="17" xfId="0" applyFont="1" applyFill="1" applyBorder="1"/>
    <xf numFmtId="175" fontId="0" fillId="0" borderId="17" xfId="1" applyNumberFormat="1" applyFont="1" applyBorder="1" applyAlignment="1">
      <alignment horizontal="right"/>
    </xf>
    <xf numFmtId="0" fontId="55" fillId="11" borderId="17" xfId="0" applyFont="1" applyFill="1" applyBorder="1"/>
    <xf numFmtId="0" fontId="55" fillId="74" borderId="17" xfId="0" applyFont="1" applyFill="1" applyBorder="1"/>
    <xf numFmtId="169" fontId="0" fillId="0" borderId="17" xfId="0" applyNumberFormat="1" applyBorder="1"/>
    <xf numFmtId="182" fontId="0" fillId="0" borderId="17" xfId="0" applyNumberFormat="1" applyBorder="1"/>
    <xf numFmtId="173" fontId="0" fillId="0" borderId="0" xfId="21" applyNumberFormat="1" applyFont="1"/>
    <xf numFmtId="174" fontId="53" fillId="17" borderId="17" xfId="1" applyNumberFormat="1" applyFont="1" applyFill="1" applyBorder="1" applyAlignment="1">
      <alignment horizontal="center"/>
    </xf>
    <xf numFmtId="173" fontId="0" fillId="17" borderId="17" xfId="1" applyNumberFormat="1" applyFont="1" applyFill="1" applyBorder="1" applyAlignment="1">
      <alignment horizontal="center"/>
    </xf>
    <xf numFmtId="175" fontId="53" fillId="0" borderId="0" xfId="1" applyNumberFormat="1" applyFont="1" applyFill="1" applyBorder="1"/>
    <xf numFmtId="173" fontId="53" fillId="0" borderId="0" xfId="0" applyNumberFormat="1" applyFont="1" applyAlignment="1">
      <alignment wrapText="1"/>
    </xf>
    <xf numFmtId="173" fontId="0" fillId="0" borderId="0" xfId="0" applyNumberFormat="1" applyAlignment="1">
      <alignment wrapText="1"/>
    </xf>
    <xf numFmtId="173" fontId="93" fillId="0" borderId="0" xfId="205" applyNumberFormat="1" applyFont="1"/>
    <xf numFmtId="173" fontId="0" fillId="0" borderId="63" xfId="0" applyNumberFormat="1" applyBorder="1"/>
    <xf numFmtId="0" fontId="0" fillId="0" borderId="26" xfId="0" applyBorder="1"/>
    <xf numFmtId="173" fontId="0" fillId="0" borderId="23" xfId="0" applyNumberFormat="1" applyBorder="1"/>
    <xf numFmtId="173" fontId="0" fillId="0" borderId="101" xfId="0" applyNumberFormat="1" applyBorder="1"/>
    <xf numFmtId="173" fontId="53" fillId="0" borderId="23" xfId="0" applyNumberFormat="1" applyFont="1" applyBorder="1"/>
    <xf numFmtId="173" fontId="0" fillId="0" borderId="27" xfId="0" applyNumberFormat="1" applyBorder="1"/>
    <xf numFmtId="173" fontId="55" fillId="0" borderId="47" xfId="0" applyNumberFormat="1" applyFont="1" applyBorder="1"/>
    <xf numFmtId="0" fontId="0" fillId="0" borderId="83" xfId="0" applyBorder="1"/>
    <xf numFmtId="173" fontId="0" fillId="0" borderId="65" xfId="0" applyNumberFormat="1" applyBorder="1"/>
    <xf numFmtId="173" fontId="0" fillId="0" borderId="102" xfId="0" applyNumberFormat="1" applyBorder="1"/>
    <xf numFmtId="173" fontId="0" fillId="0" borderId="52" xfId="0" applyNumberFormat="1" applyBorder="1"/>
    <xf numFmtId="173" fontId="55" fillId="0" borderId="66" xfId="0" applyNumberFormat="1" applyFont="1" applyBorder="1"/>
    <xf numFmtId="165" fontId="0" fillId="0" borderId="65" xfId="1" applyFont="1" applyFill="1" applyBorder="1" applyAlignment="1">
      <alignment horizontal="center"/>
    </xf>
    <xf numFmtId="165" fontId="0" fillId="0" borderId="102" xfId="1" applyFont="1" applyFill="1" applyBorder="1" applyAlignment="1">
      <alignment horizontal="center"/>
    </xf>
    <xf numFmtId="165" fontId="0" fillId="0" borderId="52" xfId="1" applyFont="1" applyFill="1" applyBorder="1" applyAlignment="1">
      <alignment horizontal="center"/>
    </xf>
    <xf numFmtId="165" fontId="55" fillId="0" borderId="66" xfId="1" applyFont="1" applyFill="1" applyBorder="1" applyAlignment="1">
      <alignment horizontal="center"/>
    </xf>
    <xf numFmtId="170" fontId="55" fillId="0" borderId="53" xfId="205" applyNumberFormat="1" applyFont="1" applyBorder="1" applyAlignment="1">
      <alignment horizontal="center"/>
    </xf>
    <xf numFmtId="43" fontId="0" fillId="0" borderId="65" xfId="0" applyNumberFormat="1" applyBorder="1"/>
    <xf numFmtId="43" fontId="0" fillId="0" borderId="102" xfId="0" applyNumberFormat="1" applyBorder="1"/>
    <xf numFmtId="43" fontId="53" fillId="0" borderId="52" xfId="0" applyNumberFormat="1" applyFont="1" applyBorder="1"/>
    <xf numFmtId="43" fontId="55" fillId="0" borderId="52" xfId="0" applyNumberFormat="1" applyFont="1" applyBorder="1"/>
    <xf numFmtId="43" fontId="0" fillId="0" borderId="66" xfId="0" applyNumberFormat="1" applyBorder="1"/>
    <xf numFmtId="173" fontId="100" fillId="0" borderId="0" xfId="1" applyNumberFormat="1" applyFont="1" applyFill="1" applyBorder="1" applyAlignment="1">
      <alignment horizontal="center"/>
    </xf>
    <xf numFmtId="173" fontId="53" fillId="11" borderId="0" xfId="79" applyNumberFormat="1" applyFont="1" applyFill="1" applyBorder="1" applyAlignment="1">
      <alignment horizontal="center"/>
    </xf>
    <xf numFmtId="215" fontId="0" fillId="0" borderId="0" xfId="0" applyNumberFormat="1"/>
    <xf numFmtId="0" fontId="0" fillId="0" borderId="28" xfId="0" applyBorder="1" applyAlignment="1">
      <alignment horizontal="center" vertical="center"/>
    </xf>
    <xf numFmtId="168" fontId="0" fillId="0" borderId="29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8" fontId="0" fillId="0" borderId="11" xfId="0" applyNumberFormat="1" applyBorder="1" applyAlignment="1">
      <alignment horizontal="center" vertical="center"/>
    </xf>
    <xf numFmtId="9" fontId="0" fillId="0" borderId="11" xfId="21" applyFont="1" applyBorder="1" applyAlignment="1">
      <alignment horizontal="center" vertical="center"/>
    </xf>
    <xf numFmtId="216" fontId="0" fillId="0" borderId="0" xfId="0" applyNumberFormat="1"/>
    <xf numFmtId="9" fontId="111" fillId="72" borderId="2" xfId="205" applyNumberFormat="1" applyFont="1" applyFill="1" applyBorder="1" applyAlignment="1">
      <alignment horizontal="center"/>
    </xf>
    <xf numFmtId="165" fontId="111" fillId="0" borderId="2" xfId="1" applyFont="1" applyBorder="1"/>
    <xf numFmtId="0" fontId="69" fillId="0" borderId="0" xfId="205" applyFont="1"/>
    <xf numFmtId="201" fontId="111" fillId="72" borderId="2" xfId="205" applyNumberFormat="1" applyFont="1" applyFill="1" applyBorder="1" applyAlignment="1">
      <alignment horizontal="center"/>
    </xf>
    <xf numFmtId="4" fontId="53" fillId="2" borderId="2" xfId="205" applyNumberFormat="1" applyFill="1" applyBorder="1" applyAlignment="1">
      <alignment horizontal="center"/>
    </xf>
    <xf numFmtId="2" fontId="93" fillId="0" borderId="0" xfId="0" applyNumberFormat="1" applyFont="1" applyAlignment="1">
      <alignment vertical="center"/>
    </xf>
    <xf numFmtId="9" fontId="0" fillId="0" borderId="0" xfId="21" applyFont="1" applyAlignment="1">
      <alignment vertical="center"/>
    </xf>
    <xf numFmtId="4" fontId="93" fillId="16" borderId="2" xfId="0" applyNumberFormat="1" applyFont="1" applyFill="1" applyBorder="1" applyAlignment="1">
      <alignment horizontal="right"/>
    </xf>
    <xf numFmtId="4" fontId="93" fillId="16" borderId="41" xfId="0" applyNumberFormat="1" applyFont="1" applyFill="1" applyBorder="1" applyAlignment="1">
      <alignment horizontal="right"/>
    </xf>
    <xf numFmtId="169" fontId="93" fillId="16" borderId="42" xfId="0" applyNumberFormat="1" applyFont="1" applyFill="1" applyBorder="1" applyAlignment="1">
      <alignment horizontal="right"/>
    </xf>
    <xf numFmtId="169" fontId="93" fillId="16" borderId="54" xfId="0" applyNumberFormat="1" applyFont="1" applyFill="1" applyBorder="1" applyAlignment="1">
      <alignment horizontal="right"/>
    </xf>
    <xf numFmtId="169" fontId="93" fillId="16" borderId="24" xfId="0" applyNumberFormat="1" applyFont="1" applyFill="1" applyBorder="1" applyAlignment="1">
      <alignment horizontal="right"/>
    </xf>
    <xf numFmtId="4" fontId="93" fillId="16" borderId="24" xfId="0" applyNumberFormat="1" applyFont="1" applyFill="1" applyBorder="1" applyAlignment="1">
      <alignment horizontal="right"/>
    </xf>
    <xf numFmtId="4" fontId="93" fillId="16" borderId="48" xfId="0" applyNumberFormat="1" applyFont="1" applyFill="1" applyBorder="1" applyAlignment="1">
      <alignment horizontal="right"/>
    </xf>
    <xf numFmtId="168" fontId="93" fillId="16" borderId="42" xfId="0" applyNumberFormat="1" applyFont="1" applyFill="1" applyBorder="1" applyAlignment="1">
      <alignment horizontal="right"/>
    </xf>
    <xf numFmtId="168" fontId="93" fillId="16" borderId="54" xfId="0" applyNumberFormat="1" applyFont="1" applyFill="1" applyBorder="1" applyAlignment="1">
      <alignment horizontal="right"/>
    </xf>
    <xf numFmtId="168" fontId="93" fillId="16" borderId="24" xfId="0" applyNumberFormat="1" applyFont="1" applyFill="1" applyBorder="1" applyAlignment="1">
      <alignment horizontal="right"/>
    </xf>
    <xf numFmtId="168" fontId="93" fillId="16" borderId="48" xfId="0" applyNumberFormat="1" applyFont="1" applyFill="1" applyBorder="1" applyAlignment="1">
      <alignment horizontal="right"/>
    </xf>
    <xf numFmtId="43" fontId="0" fillId="0" borderId="52" xfId="0" applyNumberFormat="1" applyBorder="1"/>
    <xf numFmtId="43" fontId="53" fillId="12" borderId="23" xfId="0" applyNumberFormat="1" applyFont="1" applyFill="1" applyBorder="1"/>
    <xf numFmtId="0" fontId="53" fillId="12" borderId="23" xfId="0" applyFont="1" applyFill="1" applyBorder="1" applyAlignment="1">
      <alignment horizontal="left" vertical="center"/>
    </xf>
    <xf numFmtId="0" fontId="53" fillId="12" borderId="0" xfId="0" applyFont="1" applyFill="1" applyAlignment="1">
      <alignment horizontal="left" vertical="center"/>
    </xf>
    <xf numFmtId="2" fontId="53" fillId="0" borderId="0" xfId="0" applyNumberFormat="1" applyFont="1" applyAlignment="1">
      <alignment horizontal="left" vertical="center"/>
    </xf>
    <xf numFmtId="43" fontId="0" fillId="27" borderId="52" xfId="0" applyNumberFormat="1" applyFill="1" applyBorder="1"/>
    <xf numFmtId="0" fontId="0" fillId="27" borderId="0" xfId="0" applyFill="1"/>
    <xf numFmtId="43" fontId="0" fillId="12" borderId="23" xfId="0" applyNumberFormat="1" applyFill="1" applyBorder="1"/>
    <xf numFmtId="187" fontId="53" fillId="12" borderId="23" xfId="0" applyNumberFormat="1" applyFont="1" applyFill="1" applyBorder="1"/>
    <xf numFmtId="217" fontId="53" fillId="11" borderId="0" xfId="1" applyNumberFormat="1" applyFont="1" applyFill="1" applyBorder="1" applyAlignment="1">
      <alignment horizontal="center"/>
    </xf>
    <xf numFmtId="168" fontId="110" fillId="11" borderId="17" xfId="1" applyNumberFormat="1" applyFont="1" applyFill="1" applyBorder="1"/>
    <xf numFmtId="168" fontId="53" fillId="11" borderId="29" xfId="0" applyNumberFormat="1" applyFont="1" applyFill="1" applyBorder="1"/>
    <xf numFmtId="169" fontId="0" fillId="16" borderId="17" xfId="0" applyNumberFormat="1" applyFill="1" applyBorder="1"/>
    <xf numFmtId="169" fontId="69" fillId="16" borderId="17" xfId="0" applyNumberFormat="1" applyFont="1" applyFill="1" applyBorder="1"/>
    <xf numFmtId="0" fontId="13" fillId="0" borderId="0" xfId="14" applyFont="1"/>
    <xf numFmtId="165" fontId="0" fillId="16" borderId="0" xfId="1" applyFont="1" applyFill="1" applyBorder="1"/>
    <xf numFmtId="0" fontId="12" fillId="0" borderId="0" xfId="14" applyFont="1" applyAlignment="1">
      <alignment horizontal="right"/>
    </xf>
    <xf numFmtId="0" fontId="81" fillId="0" borderId="0" xfId="0" applyFont="1"/>
    <xf numFmtId="165" fontId="0" fillId="0" borderId="41" xfId="1" applyFont="1" applyFill="1" applyBorder="1"/>
    <xf numFmtId="173" fontId="93" fillId="12" borderId="0" xfId="0" applyNumberFormat="1" applyFont="1" applyFill="1"/>
    <xf numFmtId="165" fontId="0" fillId="12" borderId="0" xfId="1" applyFont="1" applyFill="1" applyBorder="1" applyAlignment="1">
      <alignment horizontal="right" indent="1"/>
    </xf>
    <xf numFmtId="165" fontId="55" fillId="0" borderId="0" xfId="1" applyFont="1"/>
    <xf numFmtId="168" fontId="82" fillId="0" borderId="0" xfId="0" applyNumberFormat="1" applyFont="1" applyAlignment="1">
      <alignment vertical="center" wrapText="1"/>
    </xf>
    <xf numFmtId="0" fontId="58" fillId="3" borderId="25" xfId="0" applyFont="1" applyFill="1" applyBorder="1" applyAlignment="1">
      <alignment horizontal="center"/>
    </xf>
    <xf numFmtId="0" fontId="67" fillId="6" borderId="59" xfId="0" applyFont="1" applyFill="1" applyBorder="1"/>
    <xf numFmtId="0" fontId="67" fillId="0" borderId="59" xfId="0" applyFont="1" applyBorder="1" applyAlignment="1">
      <alignment horizontal="center"/>
    </xf>
    <xf numFmtId="164" fontId="0" fillId="74" borderId="0" xfId="0" applyNumberFormat="1" applyFill="1"/>
    <xf numFmtId="2" fontId="93" fillId="0" borderId="2" xfId="205" applyNumberFormat="1" applyFont="1" applyBorder="1" applyAlignment="1">
      <alignment horizontal="center"/>
    </xf>
    <xf numFmtId="0" fontId="0" fillId="64" borderId="0" xfId="0" applyFill="1" applyAlignment="1">
      <alignment horizontal="center"/>
    </xf>
    <xf numFmtId="165" fontId="67" fillId="12" borderId="6" xfId="1" applyFont="1" applyFill="1" applyBorder="1" applyAlignment="1">
      <alignment horizontal="right"/>
    </xf>
    <xf numFmtId="0" fontId="82" fillId="0" borderId="0" xfId="0" applyFont="1" applyAlignment="1">
      <alignment horizontal="left" vertical="center" wrapText="1"/>
    </xf>
    <xf numFmtId="0" fontId="98" fillId="16" borderId="0" xfId="0" applyFont="1" applyFill="1" applyAlignment="1">
      <alignment horizontal="left" vertical="center"/>
    </xf>
    <xf numFmtId="173" fontId="55" fillId="0" borderId="0" xfId="0" applyNumberFormat="1" applyFont="1"/>
    <xf numFmtId="17" fontId="58" fillId="3" borderId="0" xfId="0" applyNumberFormat="1" applyFont="1" applyFill="1" applyAlignment="1">
      <alignment horizontal="center"/>
    </xf>
    <xf numFmtId="17" fontId="58" fillId="3" borderId="0" xfId="205" applyNumberFormat="1" applyFont="1" applyFill="1" applyAlignment="1">
      <alignment horizontal="center"/>
    </xf>
    <xf numFmtId="0" fontId="111" fillId="0" borderId="0" xfId="205" applyFont="1"/>
    <xf numFmtId="3" fontId="53" fillId="11" borderId="0" xfId="205" applyNumberFormat="1" applyFill="1"/>
    <xf numFmtId="173" fontId="0" fillId="74" borderId="0" xfId="1" applyNumberFormat="1" applyFont="1" applyFill="1"/>
    <xf numFmtId="173" fontId="0" fillId="75" borderId="0" xfId="1" applyNumberFormat="1" applyFont="1" applyFill="1"/>
    <xf numFmtId="173" fontId="53" fillId="74" borderId="17" xfId="1" applyNumberFormat="1" applyFont="1" applyFill="1" applyBorder="1" applyAlignment="1">
      <alignment horizontal="center"/>
    </xf>
    <xf numFmtId="14" fontId="0" fillId="0" borderId="0" xfId="0" applyNumberFormat="1"/>
    <xf numFmtId="9" fontId="0" fillId="41" borderId="0" xfId="21" applyFont="1" applyFill="1"/>
    <xf numFmtId="9" fontId="83" fillId="0" borderId="0" xfId="21" applyFont="1"/>
    <xf numFmtId="168" fontId="55" fillId="0" borderId="0" xfId="0" applyNumberFormat="1" applyFont="1"/>
    <xf numFmtId="176" fontId="0" fillId="16" borderId="2" xfId="0" applyNumberFormat="1" applyFill="1" applyBorder="1" applyAlignment="1">
      <alignment horizontal="center"/>
    </xf>
    <xf numFmtId="0" fontId="0" fillId="64" borderId="0" xfId="0" applyFill="1" applyAlignment="1">
      <alignment horizontal="left"/>
    </xf>
    <xf numFmtId="188" fontId="0" fillId="11" borderId="17" xfId="1" applyNumberFormat="1" applyFont="1" applyFill="1" applyBorder="1" applyAlignment="1">
      <alignment horizontal="right"/>
    </xf>
    <xf numFmtId="188" fontId="0" fillId="11" borderId="17" xfId="1" applyNumberFormat="1" applyFont="1" applyFill="1" applyBorder="1" applyAlignment="1">
      <alignment horizontal="center"/>
    </xf>
    <xf numFmtId="188" fontId="111" fillId="11" borderId="17" xfId="0" applyNumberFormat="1" applyFont="1" applyFill="1" applyBorder="1" applyAlignment="1">
      <alignment horizontal="center"/>
    </xf>
    <xf numFmtId="188" fontId="0" fillId="11" borderId="17" xfId="0" applyNumberFormat="1" applyFill="1" applyBorder="1" applyAlignment="1">
      <alignment horizontal="center"/>
    </xf>
    <xf numFmtId="188" fontId="0" fillId="11" borderId="17" xfId="0" applyNumberFormat="1" applyFill="1" applyBorder="1" applyAlignment="1">
      <alignment horizontal="right"/>
    </xf>
    <xf numFmtId="212" fontId="0" fillId="11" borderId="17" xfId="0" applyNumberFormat="1" applyFill="1" applyBorder="1" applyAlignment="1">
      <alignment horizontal="center"/>
    </xf>
    <xf numFmtId="188" fontId="53" fillId="27" borderId="17" xfId="0" applyNumberFormat="1" applyFont="1" applyFill="1" applyBorder="1" applyAlignment="1">
      <alignment horizontal="center"/>
    </xf>
    <xf numFmtId="188" fontId="53" fillId="11" borderId="17" xfId="1" applyNumberFormat="1" applyFont="1" applyFill="1" applyBorder="1" applyAlignment="1"/>
    <xf numFmtId="188" fontId="53" fillId="11" borderId="18" xfId="1" applyNumberFormat="1" applyFont="1" applyFill="1" applyBorder="1" applyAlignment="1"/>
    <xf numFmtId="173" fontId="0" fillId="17" borderId="18" xfId="1" applyNumberFormat="1" applyFont="1" applyFill="1" applyBorder="1" applyAlignment="1">
      <alignment horizontal="center"/>
    </xf>
    <xf numFmtId="165" fontId="111" fillId="11" borderId="17" xfId="1" applyFont="1" applyFill="1" applyBorder="1"/>
    <xf numFmtId="173" fontId="0" fillId="76" borderId="103" xfId="1" applyNumberFormat="1" applyFont="1" applyFill="1" applyBorder="1" applyAlignment="1">
      <alignment horizontal="center"/>
    </xf>
    <xf numFmtId="3" fontId="196" fillId="76" borderId="103" xfId="205" applyNumberFormat="1" applyFont="1" applyFill="1" applyBorder="1"/>
    <xf numFmtId="0" fontId="53" fillId="27" borderId="41" xfId="0" applyFont="1" applyFill="1" applyBorder="1" applyAlignment="1">
      <alignment horizontal="center"/>
    </xf>
    <xf numFmtId="3" fontId="77" fillId="0" borderId="0" xfId="205" applyNumberFormat="1" applyFont="1"/>
    <xf numFmtId="173" fontId="197" fillId="77" borderId="103" xfId="3803" applyNumberFormat="1" applyFont="1" applyFill="1" applyBorder="1" applyAlignment="1">
      <alignment horizontal="center"/>
    </xf>
    <xf numFmtId="173" fontId="198" fillId="77" borderId="103" xfId="3803" applyNumberFormat="1" applyFont="1" applyFill="1" applyBorder="1" applyAlignment="1">
      <alignment horizontal="center"/>
    </xf>
    <xf numFmtId="174" fontId="197" fillId="77" borderId="103" xfId="3803" applyNumberFormat="1" applyFont="1" applyFill="1" applyBorder="1" applyAlignment="1">
      <alignment horizontal="center"/>
    </xf>
    <xf numFmtId="174" fontId="197" fillId="77" borderId="105" xfId="3803" applyNumberFormat="1" applyFont="1" applyFill="1" applyBorder="1" applyAlignment="1">
      <alignment horizontal="center"/>
    </xf>
    <xf numFmtId="173" fontId="197" fillId="77" borderId="17" xfId="3803" applyNumberFormat="1" applyFont="1" applyFill="1" applyBorder="1" applyAlignment="1">
      <alignment horizontal="center"/>
    </xf>
    <xf numFmtId="173" fontId="198" fillId="77" borderId="17" xfId="3803" applyNumberFormat="1" applyFont="1" applyFill="1" applyBorder="1" applyAlignment="1">
      <alignment horizontal="center"/>
    </xf>
    <xf numFmtId="17" fontId="55" fillId="11" borderId="15" xfId="0" applyNumberFormat="1" applyFont="1" applyFill="1" applyBorder="1" applyAlignment="1">
      <alignment horizontal="center" vertical="center"/>
    </xf>
    <xf numFmtId="207" fontId="93" fillId="0" borderId="0" xfId="21" applyNumberFormat="1" applyFont="1"/>
    <xf numFmtId="173" fontId="0" fillId="77" borderId="103" xfId="1" applyNumberFormat="1" applyFont="1" applyFill="1" applyBorder="1" applyAlignment="1"/>
    <xf numFmtId="173" fontId="53" fillId="77" borderId="103" xfId="1" applyNumberFormat="1" applyFont="1" applyFill="1" applyBorder="1" applyAlignment="1"/>
    <xf numFmtId="0" fontId="0" fillId="0" borderId="29" xfId="0" applyBorder="1" applyAlignment="1">
      <alignment horizontal="center" vertical="center"/>
    </xf>
    <xf numFmtId="168" fontId="53" fillId="0" borderId="29" xfId="0" applyNumberFormat="1" applyFon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10" fontId="0" fillId="0" borderId="24" xfId="21" applyNumberFormat="1" applyFont="1" applyBorder="1" applyAlignment="1">
      <alignment horizontal="center" vertical="center"/>
    </xf>
    <xf numFmtId="2" fontId="0" fillId="0" borderId="103" xfId="0" applyNumberFormat="1" applyBorder="1" applyAlignment="1">
      <alignment horizontal="center"/>
    </xf>
    <xf numFmtId="10" fontId="0" fillId="0" borderId="103" xfId="21" applyNumberFormat="1" applyFont="1" applyBorder="1" applyAlignment="1">
      <alignment horizontal="center"/>
    </xf>
    <xf numFmtId="2" fontId="53" fillId="0" borderId="103" xfId="0" applyNumberFormat="1" applyFont="1" applyBorder="1" applyAlignment="1">
      <alignment horizontal="center"/>
    </xf>
    <xf numFmtId="0" fontId="0" fillId="0" borderId="12" xfId="0" applyBorder="1"/>
    <xf numFmtId="10" fontId="0" fillId="0" borderId="11" xfId="21" applyNumberFormat="1" applyFont="1" applyBorder="1" applyAlignment="1">
      <alignment horizontal="center" vertical="center"/>
    </xf>
    <xf numFmtId="0" fontId="0" fillId="0" borderId="109" xfId="0" applyBorder="1"/>
    <xf numFmtId="2" fontId="0" fillId="0" borderId="103" xfId="0" applyNumberFormat="1" applyBorder="1" applyAlignment="1">
      <alignment horizontal="center" vertical="center"/>
    </xf>
    <xf numFmtId="10" fontId="0" fillId="0" borderId="103" xfId="21" applyNumberFormat="1" applyFont="1" applyBorder="1" applyAlignment="1">
      <alignment horizontal="center" vertical="center"/>
    </xf>
    <xf numFmtId="0" fontId="0" fillId="0" borderId="112" xfId="0" applyBorder="1"/>
    <xf numFmtId="2" fontId="0" fillId="0" borderId="113" xfId="0" applyNumberFormat="1" applyBorder="1" applyAlignment="1">
      <alignment horizontal="center" vertical="center"/>
    </xf>
    <xf numFmtId="10" fontId="0" fillId="0" borderId="113" xfId="21" applyNumberFormat="1" applyFont="1" applyBorder="1" applyAlignment="1">
      <alignment horizontal="center" vertical="center"/>
    </xf>
    <xf numFmtId="2" fontId="93" fillId="0" borderId="0" xfId="0" applyNumberFormat="1" applyFont="1"/>
    <xf numFmtId="0" fontId="55" fillId="0" borderId="103" xfId="0" applyFont="1" applyBorder="1" applyAlignment="1">
      <alignment horizontal="left" vertical="center" wrapText="1"/>
    </xf>
    <xf numFmtId="173" fontId="55" fillId="0" borderId="103" xfId="0" applyNumberFormat="1" applyFont="1" applyBorder="1" applyAlignment="1">
      <alignment horizontal="right" vertical="center"/>
    </xf>
    <xf numFmtId="9" fontId="53" fillId="0" borderId="103" xfId="21" applyFont="1" applyBorder="1" applyAlignment="1">
      <alignment horizontal="center" vertical="center"/>
    </xf>
    <xf numFmtId="0" fontId="146" fillId="0" borderId="0" xfId="0" applyFont="1" applyAlignment="1">
      <alignment vertical="center"/>
    </xf>
    <xf numFmtId="0" fontId="128" fillId="69" borderId="103" xfId="0" applyFont="1" applyFill="1" applyBorder="1"/>
    <xf numFmtId="17" fontId="129" fillId="69" borderId="103" xfId="0" applyNumberFormat="1" applyFont="1" applyFill="1" applyBorder="1" applyAlignment="1">
      <alignment horizontal="center"/>
    </xf>
    <xf numFmtId="0" fontId="129" fillId="69" borderId="103" xfId="0" applyFont="1" applyFill="1" applyBorder="1" applyAlignment="1">
      <alignment horizontal="center"/>
    </xf>
    <xf numFmtId="0" fontId="55" fillId="0" borderId="103" xfId="0" applyFont="1" applyBorder="1" applyAlignment="1">
      <alignment wrapText="1"/>
    </xf>
    <xf numFmtId="0" fontId="80" fillId="0" borderId="103" xfId="0" applyFont="1" applyBorder="1" applyAlignment="1">
      <alignment vertical="center"/>
    </xf>
    <xf numFmtId="168" fontId="0" fillId="0" borderId="103" xfId="0" applyNumberFormat="1" applyBorder="1" applyAlignment="1">
      <alignment vertical="center"/>
    </xf>
    <xf numFmtId="0" fontId="0" fillId="96" borderId="103" xfId="0" applyFill="1" applyBorder="1"/>
    <xf numFmtId="0" fontId="80" fillId="96" borderId="103" xfId="0" applyFont="1" applyFill="1" applyBorder="1" applyAlignment="1">
      <alignment vertical="center"/>
    </xf>
    <xf numFmtId="2" fontId="0" fillId="96" borderId="103" xfId="0" applyNumberFormat="1" applyFill="1" applyBorder="1"/>
    <xf numFmtId="165" fontId="0" fillId="96" borderId="103" xfId="1" applyFont="1" applyFill="1" applyBorder="1" applyAlignment="1">
      <alignment horizontal="right"/>
    </xf>
    <xf numFmtId="0" fontId="194" fillId="69" borderId="103" xfId="0" applyFont="1" applyFill="1" applyBorder="1"/>
    <xf numFmtId="0" fontId="80" fillId="0" borderId="103" xfId="0" applyFont="1" applyBorder="1"/>
    <xf numFmtId="165" fontId="0" fillId="0" borderId="103" xfId="1" applyFont="1" applyBorder="1" applyAlignment="1">
      <alignment vertical="center"/>
    </xf>
    <xf numFmtId="165" fontId="0" fillId="0" borderId="103" xfId="1" applyFont="1" applyBorder="1"/>
    <xf numFmtId="0" fontId="0" fillId="97" borderId="103" xfId="0" applyFill="1" applyBorder="1" applyAlignment="1">
      <alignment horizontal="left" indent="1"/>
    </xf>
    <xf numFmtId="0" fontId="80" fillId="97" borderId="103" xfId="0" applyFont="1" applyFill="1" applyBorder="1"/>
    <xf numFmtId="165" fontId="0" fillId="97" borderId="103" xfId="1" applyFont="1" applyFill="1" applyBorder="1"/>
    <xf numFmtId="2" fontId="0" fillId="97" borderId="103" xfId="1" applyNumberFormat="1" applyFont="1" applyFill="1" applyBorder="1"/>
    <xf numFmtId="165" fontId="0" fillId="97" borderId="103" xfId="1" applyFont="1" applyFill="1" applyBorder="1" applyAlignment="1"/>
    <xf numFmtId="0" fontId="0" fillId="98" borderId="103" xfId="0" applyFill="1" applyBorder="1" applyAlignment="1">
      <alignment horizontal="left" indent="1"/>
    </xf>
    <xf numFmtId="0" fontId="80" fillId="98" borderId="103" xfId="0" applyFont="1" applyFill="1" applyBorder="1"/>
    <xf numFmtId="165" fontId="0" fillId="98" borderId="103" xfId="1" applyFont="1" applyFill="1" applyBorder="1"/>
    <xf numFmtId="0" fontId="55" fillId="0" borderId="0" xfId="0" applyFont="1" applyAlignment="1">
      <alignment wrapText="1"/>
    </xf>
    <xf numFmtId="0" fontId="80" fillId="0" borderId="0" xfId="0" applyFont="1" applyAlignment="1">
      <alignment vertical="center"/>
    </xf>
    <xf numFmtId="165" fontId="0" fillId="0" borderId="0" xfId="1" applyFont="1" applyBorder="1" applyAlignment="1">
      <alignment vertical="center"/>
    </xf>
    <xf numFmtId="0" fontId="55" fillId="41" borderId="103" xfId="0" applyFont="1" applyFill="1" applyBorder="1"/>
    <xf numFmtId="0" fontId="80" fillId="41" borderId="103" xfId="0" applyFont="1" applyFill="1" applyBorder="1"/>
    <xf numFmtId="165" fontId="0" fillId="41" borderId="103" xfId="1" applyFont="1" applyFill="1" applyBorder="1" applyAlignment="1">
      <alignment horizontal="right"/>
    </xf>
    <xf numFmtId="187" fontId="0" fillId="41" borderId="103" xfId="0" applyNumberFormat="1" applyFill="1" applyBorder="1"/>
    <xf numFmtId="43" fontId="0" fillId="41" borderId="103" xfId="0" applyNumberFormat="1" applyFill="1" applyBorder="1"/>
    <xf numFmtId="0" fontId="53" fillId="0" borderId="103" xfId="0" applyFont="1" applyBorder="1" applyAlignment="1">
      <alignment horizontal="center" vertical="center"/>
    </xf>
    <xf numFmtId="166" fontId="55" fillId="0" borderId="109" xfId="0" applyNumberFormat="1" applyFont="1" applyBorder="1" applyAlignment="1">
      <alignment vertical="center"/>
    </xf>
    <xf numFmtId="0" fontId="53" fillId="0" borderId="115" xfId="0" applyFont="1" applyBorder="1" applyAlignment="1">
      <alignment wrapText="1"/>
    </xf>
    <xf numFmtId="0" fontId="0" fillId="0" borderId="103" xfId="0" applyBorder="1"/>
    <xf numFmtId="0" fontId="55" fillId="0" borderId="109" xfId="0" applyFont="1" applyBorder="1" applyAlignment="1">
      <alignment vertical="center"/>
    </xf>
    <xf numFmtId="9" fontId="0" fillId="0" borderId="109" xfId="21" applyFont="1" applyBorder="1" applyAlignment="1">
      <alignment vertical="center"/>
    </xf>
    <xf numFmtId="0" fontId="53" fillId="0" borderId="103" xfId="0" applyFont="1" applyBorder="1" applyAlignment="1">
      <alignment wrapText="1"/>
    </xf>
    <xf numFmtId="9" fontId="0" fillId="0" borderId="103" xfId="21" applyFont="1" applyBorder="1"/>
    <xf numFmtId="2" fontId="53" fillId="11" borderId="23" xfId="0" applyNumberFormat="1" applyFont="1" applyFill="1" applyBorder="1" applyAlignment="1">
      <alignment horizontal="center" vertical="center"/>
    </xf>
    <xf numFmtId="165" fontId="53" fillId="12" borderId="23" xfId="1" applyFont="1" applyFill="1" applyBorder="1"/>
    <xf numFmtId="165" fontId="0" fillId="0" borderId="52" xfId="1" applyFont="1" applyBorder="1"/>
    <xf numFmtId="165" fontId="0" fillId="35" borderId="17" xfId="1" applyFont="1" applyFill="1" applyBorder="1"/>
    <xf numFmtId="0" fontId="57" fillId="4" borderId="0" xfId="0" applyFont="1" applyFill="1" applyAlignment="1">
      <alignment horizontal="center"/>
    </xf>
    <xf numFmtId="0" fontId="53" fillId="12" borderId="29" xfId="0" applyFont="1" applyFill="1" applyBorder="1" applyAlignment="1">
      <alignment horizontal="center"/>
    </xf>
    <xf numFmtId="191" fontId="92" fillId="0" borderId="0" xfId="14" applyNumberFormat="1" applyFont="1"/>
    <xf numFmtId="165" fontId="184" fillId="0" borderId="0" xfId="1" applyFont="1" applyAlignment="1">
      <alignment horizontal="right" vertical="center"/>
    </xf>
    <xf numFmtId="0" fontId="53" fillId="0" borderId="0" xfId="0" applyFont="1" applyAlignment="1">
      <alignment horizontal="left" vertical="center" wrapText="1"/>
    </xf>
    <xf numFmtId="0" fontId="0" fillId="12" borderId="0" xfId="0" applyFill="1" applyAlignment="1">
      <alignment horizontal="left"/>
    </xf>
    <xf numFmtId="0" fontId="53" fillId="12" borderId="0" xfId="0" applyFont="1" applyFill="1" applyAlignment="1">
      <alignment vertical="center"/>
    </xf>
    <xf numFmtId="173" fontId="53" fillId="77" borderId="103" xfId="3803" applyNumberFormat="1" applyFont="1" applyFill="1" applyBorder="1" applyAlignment="1">
      <alignment horizontal="center"/>
    </xf>
    <xf numFmtId="2" fontId="53" fillId="11" borderId="106" xfId="0" applyNumberFormat="1" applyFont="1" applyFill="1" applyBorder="1" applyAlignment="1">
      <alignment horizontal="center" vertical="center"/>
    </xf>
    <xf numFmtId="2" fontId="53" fillId="11" borderId="107" xfId="0" applyNumberFormat="1" applyFont="1" applyFill="1" applyBorder="1" applyAlignment="1">
      <alignment horizontal="center" vertical="center"/>
    </xf>
    <xf numFmtId="2" fontId="67" fillId="12" borderId="106" xfId="79" applyNumberFormat="1" applyFont="1" applyFill="1" applyBorder="1" applyAlignment="1">
      <alignment horizontal="right"/>
    </xf>
    <xf numFmtId="168" fontId="0" fillId="0" borderId="51" xfId="0" applyNumberFormat="1" applyBorder="1" applyAlignment="1">
      <alignment vertical="center"/>
    </xf>
    <xf numFmtId="0" fontId="220" fillId="0" borderId="0" xfId="0" applyFont="1"/>
    <xf numFmtId="165" fontId="220" fillId="0" borderId="0" xfId="1" applyFont="1"/>
    <xf numFmtId="0" fontId="88" fillId="0" borderId="104" xfId="0" applyFont="1" applyBorder="1" applyAlignment="1">
      <alignment horizontal="right"/>
    </xf>
    <xf numFmtId="165" fontId="53" fillId="0" borderId="104" xfId="1" applyFont="1" applyFill="1" applyBorder="1" applyAlignment="1">
      <alignment vertical="center"/>
    </xf>
    <xf numFmtId="0" fontId="55" fillId="0" borderId="53" xfId="0" applyFont="1" applyBorder="1" applyAlignment="1">
      <alignment vertical="center"/>
    </xf>
    <xf numFmtId="0" fontId="93" fillId="27" borderId="1" xfId="0" applyFont="1" applyFill="1" applyBorder="1"/>
    <xf numFmtId="0" fontId="93" fillId="0" borderId="1" xfId="0" applyFont="1" applyBorder="1"/>
    <xf numFmtId="0" fontId="93" fillId="27" borderId="1" xfId="0" applyFont="1" applyFill="1" applyBorder="1" applyAlignment="1">
      <alignment wrapText="1"/>
    </xf>
    <xf numFmtId="0" fontId="93" fillId="27" borderId="41" xfId="0" applyFont="1" applyFill="1" applyBorder="1" applyAlignment="1">
      <alignment horizontal="center"/>
    </xf>
    <xf numFmtId="0" fontId="93" fillId="0" borderId="41" xfId="0" applyFont="1" applyBorder="1" applyAlignment="1">
      <alignment horizontal="center"/>
    </xf>
    <xf numFmtId="43" fontId="59" fillId="0" borderId="0" xfId="0" applyNumberFormat="1" applyFont="1"/>
    <xf numFmtId="2" fontId="58" fillId="3" borderId="2" xfId="0" applyNumberFormat="1" applyFont="1" applyFill="1" applyBorder="1" applyAlignment="1">
      <alignment horizontal="center"/>
    </xf>
    <xf numFmtId="173" fontId="193" fillId="0" borderId="0" xfId="1" applyNumberFormat="1" applyFont="1"/>
    <xf numFmtId="3" fontId="53" fillId="0" borderId="2" xfId="0" applyNumberFormat="1" applyFont="1" applyBorder="1" applyAlignment="1">
      <alignment horizontal="center"/>
    </xf>
    <xf numFmtId="3" fontId="53" fillId="0" borderId="27" xfId="0" applyNumberFormat="1" applyFont="1" applyBorder="1" applyAlignment="1">
      <alignment horizontal="center"/>
    </xf>
    <xf numFmtId="0" fontId="93" fillId="12" borderId="0" xfId="0" applyFont="1" applyFill="1"/>
    <xf numFmtId="166" fontId="93" fillId="0" borderId="109" xfId="0" applyNumberFormat="1" applyFont="1" applyBorder="1" applyAlignment="1">
      <alignment vertical="center"/>
    </xf>
    <xf numFmtId="173" fontId="55" fillId="0" borderId="99" xfId="1" applyNumberFormat="1" applyFont="1" applyFill="1" applyBorder="1" applyAlignment="1">
      <alignment horizontal="center"/>
    </xf>
    <xf numFmtId="173" fontId="55" fillId="0" borderId="17" xfId="1" applyNumberFormat="1" applyFont="1" applyFill="1" applyBorder="1" applyAlignment="1"/>
    <xf numFmtId="173" fontId="55" fillId="0" borderId="18" xfId="1" applyNumberFormat="1" applyFont="1" applyFill="1" applyBorder="1" applyAlignment="1">
      <alignment horizontal="center"/>
    </xf>
    <xf numFmtId="3" fontId="55" fillId="0" borderId="18" xfId="1" applyNumberFormat="1" applyFont="1" applyFill="1" applyBorder="1" applyAlignment="1">
      <alignment horizontal="center"/>
    </xf>
    <xf numFmtId="173" fontId="55" fillId="0" borderId="17" xfId="1" applyNumberFormat="1" applyFont="1" applyFill="1" applyBorder="1" applyAlignment="1">
      <alignment horizontal="center"/>
    </xf>
    <xf numFmtId="3" fontId="55" fillId="0" borderId="17" xfId="1" applyNumberFormat="1" applyFont="1" applyFill="1" applyBorder="1" applyAlignment="1">
      <alignment horizontal="center"/>
    </xf>
    <xf numFmtId="173" fontId="55" fillId="0" borderId="57" xfId="1" applyNumberFormat="1" applyFont="1" applyFill="1" applyBorder="1" applyAlignment="1">
      <alignment horizontal="center"/>
    </xf>
    <xf numFmtId="173" fontId="55" fillId="0" borderId="18" xfId="1" applyNumberFormat="1" applyFont="1" applyFill="1" applyBorder="1" applyAlignment="1"/>
    <xf numFmtId="173" fontId="111" fillId="11" borderId="17" xfId="1" applyNumberFormat="1" applyFont="1" applyFill="1" applyBorder="1" applyAlignment="1">
      <alignment horizontal="right"/>
    </xf>
    <xf numFmtId="173" fontId="0" fillId="0" borderId="0" xfId="1" applyNumberFormat="1" applyFont="1" applyAlignment="1">
      <alignment horizontal="center"/>
    </xf>
    <xf numFmtId="165" fontId="53" fillId="27" borderId="0" xfId="1" applyFont="1" applyFill="1"/>
    <xf numFmtId="165" fontId="0" fillId="27" borderId="0" xfId="1" applyFont="1" applyFill="1"/>
    <xf numFmtId="0" fontId="221" fillId="0" borderId="53" xfId="0" applyFont="1" applyBorder="1" applyAlignment="1">
      <alignment horizontal="center" vertical="center" wrapText="1"/>
    </xf>
    <xf numFmtId="0" fontId="221" fillId="0" borderId="80" xfId="0" applyFont="1" applyBorder="1" applyAlignment="1">
      <alignment horizontal="center" vertical="center" wrapText="1"/>
    </xf>
    <xf numFmtId="43" fontId="55" fillId="0" borderId="53" xfId="0" applyNumberFormat="1" applyFont="1" applyBorder="1" applyAlignment="1">
      <alignment vertical="center"/>
    </xf>
    <xf numFmtId="0" fontId="53" fillId="0" borderId="23" xfId="0" applyFont="1" applyBorder="1" applyAlignment="1">
      <alignment vertical="center" wrapText="1"/>
    </xf>
    <xf numFmtId="0" fontId="55" fillId="0" borderId="23" xfId="0" applyFont="1" applyBorder="1" applyAlignment="1">
      <alignment horizontal="left" vertical="center" wrapText="1"/>
    </xf>
    <xf numFmtId="3" fontId="98" fillId="73" borderId="0" xfId="0" applyNumberFormat="1" applyFont="1" applyFill="1"/>
    <xf numFmtId="0" fontId="53" fillId="27" borderId="1" xfId="0" applyFont="1" applyFill="1" applyBorder="1" applyAlignment="1">
      <alignment vertical="center"/>
    </xf>
    <xf numFmtId="0" fontId="53" fillId="0" borderId="103" xfId="0" applyFont="1" applyBorder="1" applyAlignment="1">
      <alignment horizontal="right" vertical="center"/>
    </xf>
    <xf numFmtId="165" fontId="0" fillId="0" borderId="0" xfId="1" applyFont="1" applyAlignment="1">
      <alignment horizontal="left"/>
    </xf>
    <xf numFmtId="0" fontId="55" fillId="0" borderId="0" xfId="0" applyFont="1" applyAlignment="1">
      <alignment horizontal="center" wrapText="1"/>
    </xf>
    <xf numFmtId="0" fontId="53" fillId="0" borderId="0" xfId="0" applyFont="1" applyAlignment="1">
      <alignment horizontal="right" vertical="center"/>
    </xf>
    <xf numFmtId="0" fontId="55" fillId="0" borderId="17" xfId="0" applyFont="1" applyBorder="1" applyAlignment="1">
      <alignment horizontal="center" vertical="center" wrapText="1"/>
    </xf>
    <xf numFmtId="173" fontId="53" fillId="0" borderId="24" xfId="1" applyNumberFormat="1" applyFont="1" applyBorder="1" applyAlignment="1">
      <alignment horizontal="center" vertical="center"/>
    </xf>
    <xf numFmtId="173" fontId="53" fillId="0" borderId="103" xfId="1" applyNumberFormat="1" applyFont="1" applyBorder="1"/>
    <xf numFmtId="173" fontId="53" fillId="0" borderId="11" xfId="1" applyNumberFormat="1" applyFont="1" applyBorder="1"/>
    <xf numFmtId="173" fontId="53" fillId="0" borderId="113" xfId="1" applyNumberFormat="1" applyFont="1" applyBorder="1"/>
    <xf numFmtId="43" fontId="53" fillId="0" borderId="103" xfId="1" applyNumberFormat="1" applyFont="1" applyBorder="1" applyAlignment="1">
      <alignment vertical="center"/>
    </xf>
    <xf numFmtId="165" fontId="0" fillId="0" borderId="41" xfId="1" applyFont="1" applyFill="1" applyBorder="1" applyAlignment="1">
      <alignment horizontal="right"/>
    </xf>
    <xf numFmtId="4" fontId="53" fillId="0" borderId="0" xfId="0" applyNumberFormat="1" applyFont="1" applyAlignment="1">
      <alignment horizontal="left" vertical="center" wrapText="1"/>
    </xf>
    <xf numFmtId="0" fontId="55" fillId="0" borderId="53" xfId="0" applyFont="1" applyBorder="1"/>
    <xf numFmtId="0" fontId="111" fillId="27" borderId="1" xfId="0" applyFont="1" applyFill="1" applyBorder="1" applyAlignment="1">
      <alignment vertical="center" wrapText="1"/>
    </xf>
    <xf numFmtId="0" fontId="111" fillId="27" borderId="41" xfId="0" applyFont="1" applyFill="1" applyBorder="1" applyAlignment="1">
      <alignment horizontal="center" vertical="center"/>
    </xf>
    <xf numFmtId="0" fontId="0" fillId="27" borderId="24" xfId="0" applyFill="1" applyBorder="1" applyAlignment="1">
      <alignment horizontal="center" vertical="center"/>
    </xf>
    <xf numFmtId="0" fontId="111" fillId="27" borderId="45" xfId="0" applyFont="1" applyFill="1" applyBorder="1" applyAlignment="1">
      <alignment vertical="center" wrapText="1"/>
    </xf>
    <xf numFmtId="0" fontId="115" fillId="0" borderId="1" xfId="0" applyFont="1" applyBorder="1"/>
    <xf numFmtId="175" fontId="193" fillId="0" borderId="0" xfId="0" applyNumberFormat="1" applyFont="1"/>
    <xf numFmtId="43" fontId="193" fillId="0" borderId="0" xfId="0" applyNumberFormat="1" applyFont="1"/>
    <xf numFmtId="165" fontId="53" fillId="0" borderId="2" xfId="1" applyFont="1" applyBorder="1" applyAlignment="1">
      <alignment horizontal="center"/>
    </xf>
    <xf numFmtId="165" fontId="53" fillId="0" borderId="7" xfId="1" applyFont="1" applyBorder="1" applyAlignment="1">
      <alignment horizontal="center"/>
    </xf>
    <xf numFmtId="165" fontId="53" fillId="0" borderId="2" xfId="1" applyFont="1" applyFill="1" applyBorder="1" applyAlignment="1">
      <alignment horizontal="center"/>
    </xf>
    <xf numFmtId="165" fontId="53" fillId="27" borderId="2" xfId="1" applyFont="1" applyFill="1" applyBorder="1" applyAlignment="1">
      <alignment horizontal="center"/>
    </xf>
    <xf numFmtId="165" fontId="53" fillId="27" borderId="7" xfId="1" applyFont="1" applyFill="1" applyBorder="1" applyAlignment="1">
      <alignment horizontal="center"/>
    </xf>
    <xf numFmtId="165" fontId="93" fillId="27" borderId="2" xfId="1" applyFont="1" applyFill="1" applyBorder="1" applyAlignment="1">
      <alignment horizontal="center"/>
    </xf>
    <xf numFmtId="165" fontId="111" fillId="27" borderId="2" xfId="1" applyFont="1" applyFill="1" applyBorder="1" applyAlignment="1">
      <alignment horizontal="center"/>
    </xf>
    <xf numFmtId="165" fontId="111" fillId="27" borderId="0" xfId="1" applyFont="1" applyFill="1" applyBorder="1" applyAlignment="1">
      <alignment horizontal="center"/>
    </xf>
    <xf numFmtId="165" fontId="93" fillId="0" borderId="2" xfId="1" applyFont="1" applyFill="1" applyBorder="1" applyAlignment="1">
      <alignment horizontal="center"/>
    </xf>
    <xf numFmtId="165" fontId="93" fillId="0" borderId="0" xfId="1" applyFont="1" applyFill="1" applyBorder="1" applyAlignment="1">
      <alignment horizontal="center"/>
    </xf>
    <xf numFmtId="165" fontId="53" fillId="0" borderId="0" xfId="1" applyFont="1" applyFill="1" applyBorder="1" applyAlignment="1">
      <alignment horizontal="center"/>
    </xf>
    <xf numFmtId="165" fontId="93" fillId="27" borderId="0" xfId="1" applyFont="1" applyFill="1" applyBorder="1" applyAlignment="1">
      <alignment horizontal="center"/>
    </xf>
    <xf numFmtId="165" fontId="93" fillId="0" borderId="2" xfId="1" applyFont="1" applyBorder="1" applyAlignment="1">
      <alignment horizontal="center"/>
    </xf>
    <xf numFmtId="165" fontId="93" fillId="0" borderId="0" xfId="1" applyFont="1" applyBorder="1" applyAlignment="1">
      <alignment horizontal="center"/>
    </xf>
    <xf numFmtId="165" fontId="111" fillId="27" borderId="24" xfId="1" applyFont="1" applyFill="1" applyBorder="1" applyAlignment="1">
      <alignment horizontal="center" vertical="center"/>
    </xf>
    <xf numFmtId="165" fontId="111" fillId="27" borderId="49" xfId="1" applyFont="1" applyFill="1" applyBorder="1" applyAlignment="1">
      <alignment horizontal="center" vertical="center"/>
    </xf>
    <xf numFmtId="165" fontId="53" fillId="0" borderId="53" xfId="1" applyFont="1" applyBorder="1" applyAlignment="1">
      <alignment vertical="center"/>
    </xf>
    <xf numFmtId="43" fontId="53" fillId="0" borderId="53" xfId="0" applyNumberFormat="1" applyFont="1" applyBorder="1" applyAlignment="1">
      <alignment vertical="center"/>
    </xf>
    <xf numFmtId="173" fontId="111" fillId="0" borderId="0" xfId="1" applyNumberFormat="1" applyFont="1" applyFill="1" applyBorder="1" applyAlignment="1">
      <alignment horizontal="center"/>
    </xf>
    <xf numFmtId="173" fontId="93" fillId="11" borderId="17" xfId="1" applyNumberFormat="1" applyFont="1" applyFill="1" applyBorder="1" applyAlignment="1">
      <alignment horizontal="center"/>
    </xf>
    <xf numFmtId="3" fontId="53" fillId="11" borderId="17" xfId="205" applyNumberFormat="1" applyFill="1" applyBorder="1"/>
    <xf numFmtId="165" fontId="0" fillId="41" borderId="2" xfId="1" applyFont="1" applyFill="1" applyBorder="1" applyAlignment="1">
      <alignment horizontal="center"/>
    </xf>
    <xf numFmtId="0" fontId="69" fillId="0" borderId="104" xfId="0" applyFont="1" applyBorder="1" applyAlignment="1">
      <alignment vertical="center"/>
    </xf>
    <xf numFmtId="0" fontId="53" fillId="2" borderId="2" xfId="21" applyNumberFormat="1" applyFont="1" applyFill="1" applyBorder="1" applyAlignment="1">
      <alignment horizontal="center"/>
    </xf>
    <xf numFmtId="165" fontId="55" fillId="0" borderId="0" xfId="0" applyNumberFormat="1" applyFont="1"/>
    <xf numFmtId="173" fontId="53" fillId="0" borderId="0" xfId="1" applyNumberFormat="1"/>
    <xf numFmtId="173" fontId="53" fillId="0" borderId="0" xfId="24" applyNumberFormat="1"/>
    <xf numFmtId="0" fontId="222" fillId="0" borderId="111" xfId="0" applyFont="1" applyBorder="1" applyAlignment="1">
      <alignment horizontal="right" vertical="center" wrapText="1"/>
    </xf>
    <xf numFmtId="0" fontId="222" fillId="0" borderId="127" xfId="0" applyFont="1" applyBorder="1" applyAlignment="1">
      <alignment horizontal="center" vertical="center" wrapText="1"/>
    </xf>
    <xf numFmtId="165" fontId="53" fillId="0" borderId="17" xfId="1" applyFont="1" applyBorder="1" applyAlignment="1">
      <alignment vertical="center"/>
    </xf>
    <xf numFmtId="0" fontId="88" fillId="0" borderId="17" xfId="0" applyFont="1" applyBorder="1" applyAlignment="1">
      <alignment horizontal="right"/>
    </xf>
    <xf numFmtId="43" fontId="53" fillId="0" borderId="104" xfId="0" applyNumberFormat="1" applyFont="1" applyBorder="1" applyAlignment="1">
      <alignment horizontal="center" vertical="center"/>
    </xf>
    <xf numFmtId="165" fontId="53" fillId="0" borderId="17" xfId="1" applyFont="1" applyBorder="1" applyAlignment="1">
      <alignment horizontal="center" vertical="center"/>
    </xf>
    <xf numFmtId="0" fontId="53" fillId="27" borderId="1" xfId="0" applyFont="1" applyFill="1" applyBorder="1" applyAlignment="1">
      <alignment vertical="center" wrapText="1"/>
    </xf>
    <xf numFmtId="0" fontId="53" fillId="27" borderId="41" xfId="0" applyFont="1" applyFill="1" applyBorder="1" applyAlignment="1">
      <alignment horizontal="center" vertical="center"/>
    </xf>
    <xf numFmtId="0" fontId="53" fillId="0" borderId="17" xfId="0" applyFont="1" applyBorder="1" applyAlignment="1">
      <alignment horizontal="right" vertical="center"/>
    </xf>
    <xf numFmtId="165" fontId="90" fillId="0" borderId="0" xfId="1" applyFont="1"/>
    <xf numFmtId="168" fontId="90" fillId="0" borderId="0" xfId="14" applyNumberFormat="1"/>
    <xf numFmtId="201" fontId="90" fillId="0" borderId="0" xfId="14" applyNumberFormat="1"/>
    <xf numFmtId="0" fontId="98" fillId="0" borderId="0" xfId="0" applyFont="1" applyAlignment="1">
      <alignment horizontal="left"/>
    </xf>
    <xf numFmtId="1" fontId="103" fillId="0" borderId="0" xfId="21" applyNumberFormat="1" applyFont="1" applyFill="1"/>
    <xf numFmtId="0" fontId="90" fillId="0" borderId="54" xfId="15" applyBorder="1" applyAlignment="1">
      <alignment horizontal="left" vertical="center" wrapText="1"/>
    </xf>
    <xf numFmtId="0" fontId="90" fillId="0" borderId="58" xfId="15" applyBorder="1" applyAlignment="1">
      <alignment horizontal="left" vertical="center" wrapText="1"/>
    </xf>
    <xf numFmtId="0" fontId="90" fillId="0" borderId="41" xfId="15" applyBorder="1" applyAlignment="1">
      <alignment horizontal="left" vertical="center" wrapText="1"/>
    </xf>
    <xf numFmtId="0" fontId="90" fillId="0" borderId="7" xfId="15" applyBorder="1" applyAlignment="1">
      <alignment horizontal="left" vertical="center" wrapText="1"/>
    </xf>
    <xf numFmtId="0" fontId="90" fillId="0" borderId="48" xfId="15" applyBorder="1" applyAlignment="1">
      <alignment horizontal="left" vertical="center" wrapText="1"/>
    </xf>
    <xf numFmtId="0" fontId="90" fillId="0" borderId="50" xfId="15" applyBorder="1" applyAlignment="1">
      <alignment horizontal="left" vertical="center" wrapText="1"/>
    </xf>
    <xf numFmtId="0" fontId="63" fillId="9" borderId="0" xfId="20" applyFont="1" applyFill="1" applyAlignment="1">
      <alignment horizontal="center"/>
    </xf>
    <xf numFmtId="0" fontId="0" fillId="0" borderId="0" xfId="0"/>
    <xf numFmtId="0" fontId="63" fillId="0" borderId="0" xfId="0" applyFont="1" applyAlignment="1">
      <alignment horizontal="center" vertical="center" wrapText="1"/>
    </xf>
    <xf numFmtId="0" fontId="61" fillId="9" borderId="71" xfId="20" applyFont="1" applyFill="1" applyBorder="1" applyAlignment="1">
      <alignment horizontal="center" vertical="center" wrapText="1"/>
    </xf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55" fillId="27" borderId="46" xfId="0" applyFont="1" applyFill="1" applyBorder="1" applyAlignment="1">
      <alignment horizontal="center" vertical="center" wrapText="1"/>
    </xf>
    <xf numFmtId="0" fontId="55" fillId="27" borderId="40" xfId="0" applyFont="1" applyFill="1" applyBorder="1" applyAlignment="1">
      <alignment horizontal="center" vertical="center" wrapText="1"/>
    </xf>
    <xf numFmtId="0" fontId="55" fillId="27" borderId="80" xfId="0" applyFont="1" applyFill="1" applyBorder="1" applyAlignment="1">
      <alignment horizontal="center" vertical="center" wrapText="1"/>
    </xf>
    <xf numFmtId="0" fontId="55" fillId="27" borderId="46" xfId="0" applyFont="1" applyFill="1" applyBorder="1" applyAlignment="1">
      <alignment horizontal="center"/>
    </xf>
    <xf numFmtId="0" fontId="55" fillId="27" borderId="80" xfId="0" applyFont="1" applyFill="1" applyBorder="1" applyAlignment="1">
      <alignment horizontal="center"/>
    </xf>
    <xf numFmtId="0" fontId="0" fillId="27" borderId="40" xfId="0" applyFill="1" applyBorder="1" applyAlignment="1">
      <alignment horizontal="center"/>
    </xf>
    <xf numFmtId="0" fontId="0" fillId="27" borderId="80" xfId="0" applyFill="1" applyBorder="1" applyAlignment="1">
      <alignment horizontal="center"/>
    </xf>
    <xf numFmtId="0" fontId="55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5" fillId="0" borderId="42" xfId="0" applyFont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55" fillId="0" borderId="24" xfId="0" applyFont="1" applyBorder="1" applyAlignment="1">
      <alignment horizontal="center" vertical="center"/>
    </xf>
    <xf numFmtId="0" fontId="55" fillId="0" borderId="42" xfId="0" applyFont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55" fillId="0" borderId="24" xfId="0" applyFont="1" applyBorder="1" applyAlignment="1">
      <alignment horizontal="left" vertical="center"/>
    </xf>
    <xf numFmtId="0" fontId="55" fillId="0" borderId="42" xfId="0" applyFont="1" applyBorder="1" applyAlignment="1">
      <alignment horizontal="left" vertical="center" wrapText="1"/>
    </xf>
    <xf numFmtId="0" fontId="55" fillId="0" borderId="24" xfId="0" applyFont="1" applyBorder="1" applyAlignment="1">
      <alignment horizontal="left" vertical="center" wrapText="1"/>
    </xf>
    <xf numFmtId="0" fontId="53" fillId="0" borderId="24" xfId="0" applyFont="1" applyBorder="1" applyAlignment="1">
      <alignment horizontal="left" vertical="center"/>
    </xf>
    <xf numFmtId="44" fontId="55" fillId="0" borderId="0" xfId="1" applyNumberFormat="1" applyFont="1" applyBorder="1" applyAlignment="1">
      <alignment horizontal="center"/>
    </xf>
    <xf numFmtId="0" fontId="55" fillId="0" borderId="2" xfId="0" applyFont="1" applyBorder="1" applyAlignment="1">
      <alignment horizontal="left" vertical="center"/>
    </xf>
    <xf numFmtId="0" fontId="55" fillId="0" borderId="77" xfId="0" applyFont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53" fillId="0" borderId="0" xfId="0" applyFont="1" applyAlignment="1">
      <alignment horizontal="left" vertical="center" wrapText="1"/>
    </xf>
    <xf numFmtId="0" fontId="58" fillId="3" borderId="46" xfId="0" applyFont="1" applyFill="1" applyBorder="1" applyAlignment="1">
      <alignment horizontal="center"/>
    </xf>
    <xf numFmtId="0" fontId="58" fillId="3" borderId="80" xfId="0" applyFont="1" applyFill="1" applyBorder="1" applyAlignment="1">
      <alignment horizontal="center"/>
    </xf>
    <xf numFmtId="0" fontId="55" fillId="73" borderId="23" xfId="0" applyFont="1" applyFill="1" applyBorder="1" applyAlignment="1">
      <alignment horizontal="left" vertical="center" wrapText="1"/>
    </xf>
    <xf numFmtId="0" fontId="55" fillId="73" borderId="0" xfId="0" applyFont="1" applyFill="1" applyAlignment="1">
      <alignment horizontal="left" vertical="center" wrapText="1"/>
    </xf>
    <xf numFmtId="0" fontId="55" fillId="73" borderId="27" xfId="0" applyFont="1" applyFill="1" applyBorder="1" applyAlignment="1">
      <alignment horizontal="left" vertical="center" wrapText="1"/>
    </xf>
    <xf numFmtId="0" fontId="53" fillId="0" borderId="23" xfId="0" applyFont="1" applyBorder="1" applyAlignment="1">
      <alignment horizontal="left" vertical="center" wrapText="1"/>
    </xf>
    <xf numFmtId="0" fontId="53" fillId="12" borderId="23" xfId="0" applyFont="1" applyFill="1" applyBorder="1" applyAlignment="1">
      <alignment horizontal="left" vertical="center"/>
    </xf>
    <xf numFmtId="3" fontId="55" fillId="0" borderId="3" xfId="0" applyNumberFormat="1" applyFont="1" applyBorder="1" applyAlignment="1">
      <alignment horizontal="left" vertical="center"/>
    </xf>
    <xf numFmtId="0" fontId="53" fillId="0" borderId="0" xfId="0" applyFont="1" applyAlignment="1">
      <alignment horizontal="left" wrapText="1"/>
    </xf>
    <xf numFmtId="0" fontId="55" fillId="0" borderId="0" xfId="0" applyFont="1" applyAlignment="1">
      <alignment horizontal="left" vertical="center" wrapText="1"/>
    </xf>
    <xf numFmtId="17" fontId="125" fillId="0" borderId="0" xfId="0" applyNumberFormat="1" applyFont="1" applyAlignment="1">
      <alignment horizontal="center"/>
    </xf>
    <xf numFmtId="0" fontId="125" fillId="0" borderId="0" xfId="0" applyFont="1" applyAlignment="1">
      <alignment horizontal="center"/>
    </xf>
    <xf numFmtId="0" fontId="91" fillId="10" borderId="0" xfId="0" applyFont="1" applyFill="1" applyAlignment="1">
      <alignment horizontal="left" vertical="center"/>
    </xf>
    <xf numFmtId="0" fontId="124" fillId="25" borderId="63" xfId="0" applyFont="1" applyFill="1" applyBorder="1" applyAlignment="1">
      <alignment horizontal="center" vertical="center" wrapText="1"/>
    </xf>
    <xf numFmtId="0" fontId="124" fillId="25" borderId="25" xfId="0" applyFont="1" applyFill="1" applyBorder="1" applyAlignment="1">
      <alignment horizontal="center" vertical="center" wrapText="1"/>
    </xf>
    <xf numFmtId="0" fontId="134" fillId="28" borderId="46" xfId="0" applyFont="1" applyFill="1" applyBorder="1" applyAlignment="1">
      <alignment horizontal="left"/>
    </xf>
    <xf numFmtId="0" fontId="134" fillId="28" borderId="40" xfId="0" applyFont="1" applyFill="1" applyBorder="1" applyAlignment="1">
      <alignment horizontal="left"/>
    </xf>
    <xf numFmtId="0" fontId="134" fillId="28" borderId="80" xfId="0" applyFont="1" applyFill="1" applyBorder="1" applyAlignment="1">
      <alignment horizontal="left"/>
    </xf>
    <xf numFmtId="0" fontId="120" fillId="25" borderId="17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98" fillId="0" borderId="0" xfId="0" applyFont="1" applyAlignment="1">
      <alignment horizontal="left" vertical="center"/>
    </xf>
    <xf numFmtId="0" fontId="91" fillId="0" borderId="59" xfId="0" applyFont="1" applyBorder="1" applyAlignment="1">
      <alignment horizontal="center" wrapText="1"/>
    </xf>
    <xf numFmtId="0" fontId="91" fillId="0" borderId="84" xfId="0" applyFont="1" applyBorder="1" applyAlignment="1">
      <alignment horizontal="center" wrapText="1"/>
    </xf>
    <xf numFmtId="0" fontId="91" fillId="0" borderId="21" xfId="0" applyFont="1" applyBorder="1" applyAlignment="1">
      <alignment horizontal="center" wrapText="1"/>
    </xf>
    <xf numFmtId="0" fontId="0" fillId="0" borderId="4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53" fillId="0" borderId="42" xfId="205" applyBorder="1" applyAlignment="1">
      <alignment horizontal="center" vertical="center" wrapText="1"/>
    </xf>
    <xf numFmtId="0" fontId="53" fillId="0" borderId="2" xfId="205" applyBorder="1" applyAlignment="1">
      <alignment horizontal="center" vertical="center" wrapText="1"/>
    </xf>
    <xf numFmtId="0" fontId="69" fillId="34" borderId="2" xfId="0" applyFont="1" applyFill="1" applyBorder="1" applyAlignment="1">
      <alignment horizontal="center" vertical="center"/>
    </xf>
    <xf numFmtId="0" fontId="0" fillId="34" borderId="2" xfId="0" applyFill="1" applyBorder="1" applyAlignment="1">
      <alignment horizontal="center" vertical="center"/>
    </xf>
    <xf numFmtId="0" fontId="0" fillId="34" borderId="41" xfId="0" applyFill="1" applyBorder="1" applyAlignment="1">
      <alignment horizontal="center" vertical="center"/>
    </xf>
    <xf numFmtId="0" fontId="0" fillId="34" borderId="54" xfId="0" applyFill="1" applyBorder="1" applyAlignment="1">
      <alignment horizontal="center" wrapText="1"/>
    </xf>
    <xf numFmtId="0" fontId="0" fillId="34" borderId="21" xfId="0" applyFill="1" applyBorder="1" applyAlignment="1">
      <alignment horizontal="center" wrapText="1"/>
    </xf>
    <xf numFmtId="0" fontId="67" fillId="34" borderId="42" xfId="0" applyFont="1" applyFill="1" applyBorder="1" applyAlignment="1">
      <alignment horizontal="center" wrapText="1"/>
    </xf>
    <xf numFmtId="0" fontId="67" fillId="34" borderId="2" xfId="0" applyFont="1" applyFill="1" applyBorder="1" applyAlignment="1">
      <alignment horizontal="center" wrapText="1"/>
    </xf>
    <xf numFmtId="0" fontId="67" fillId="34" borderId="24" xfId="0" applyFont="1" applyFill="1" applyBorder="1" applyAlignment="1">
      <alignment horizontal="center" wrapText="1"/>
    </xf>
    <xf numFmtId="0" fontId="69" fillId="0" borderId="59" xfId="0" applyFont="1" applyBorder="1" applyAlignment="1">
      <alignment horizontal="left"/>
    </xf>
    <xf numFmtId="0" fontId="69" fillId="0" borderId="84" xfId="0" applyFont="1" applyBorder="1" applyAlignment="1">
      <alignment horizontal="left"/>
    </xf>
    <xf numFmtId="0" fontId="69" fillId="0" borderId="21" xfId="0" applyFont="1" applyBorder="1" applyAlignment="1">
      <alignment horizontal="left"/>
    </xf>
    <xf numFmtId="0" fontId="69" fillId="36" borderId="59" xfId="0" applyFont="1" applyFill="1" applyBorder="1" applyAlignment="1">
      <alignment horizontal="center"/>
    </xf>
    <xf numFmtId="0" fontId="69" fillId="36" borderId="21" xfId="0" applyFont="1" applyFill="1" applyBorder="1" applyAlignment="1">
      <alignment horizontal="center"/>
    </xf>
    <xf numFmtId="0" fontId="0" fillId="16" borderId="2" xfId="0" applyFill="1" applyBorder="1" applyAlignment="1">
      <alignment horizontal="center" vertical="center"/>
    </xf>
    <xf numFmtId="0" fontId="67" fillId="16" borderId="59" xfId="0" applyFont="1" applyFill="1" applyBorder="1" applyAlignment="1">
      <alignment horizontal="center"/>
    </xf>
    <xf numFmtId="0" fontId="67" fillId="16" borderId="21" xfId="0" applyFont="1" applyFill="1" applyBorder="1" applyAlignment="1">
      <alignment horizontal="center"/>
    </xf>
    <xf numFmtId="0" fontId="0" fillId="16" borderId="59" xfId="0" applyFill="1" applyBorder="1" applyAlignment="1">
      <alignment horizontal="center" wrapText="1"/>
    </xf>
    <xf numFmtId="0" fontId="0" fillId="16" borderId="21" xfId="0" applyFill="1" applyBorder="1" applyAlignment="1">
      <alignment horizontal="center" wrapText="1"/>
    </xf>
    <xf numFmtId="0" fontId="67" fillId="16" borderId="42" xfId="0" applyFont="1" applyFill="1" applyBorder="1" applyAlignment="1">
      <alignment horizontal="center" wrapText="1"/>
    </xf>
    <xf numFmtId="0" fontId="67" fillId="16" borderId="2" xfId="0" applyFont="1" applyFill="1" applyBorder="1" applyAlignment="1">
      <alignment horizontal="center" wrapText="1"/>
    </xf>
    <xf numFmtId="0" fontId="67" fillId="16" borderId="24" xfId="0" applyFont="1" applyFill="1" applyBorder="1" applyAlignment="1">
      <alignment horizontal="center" wrapText="1"/>
    </xf>
    <xf numFmtId="0" fontId="67" fillId="23" borderId="42" xfId="0" applyFont="1" applyFill="1" applyBorder="1" applyAlignment="1">
      <alignment horizontal="center" wrapText="1"/>
    </xf>
    <xf numFmtId="0" fontId="67" fillId="23" borderId="2" xfId="0" applyFont="1" applyFill="1" applyBorder="1" applyAlignment="1">
      <alignment horizontal="center" wrapText="1"/>
    </xf>
    <xf numFmtId="0" fontId="69" fillId="35" borderId="2" xfId="0" applyFont="1" applyFill="1" applyBorder="1" applyAlignment="1">
      <alignment horizontal="center" vertical="center"/>
    </xf>
    <xf numFmtId="0" fontId="0" fillId="35" borderId="2" xfId="0" applyFill="1" applyBorder="1" applyAlignment="1">
      <alignment horizontal="center" vertical="center"/>
    </xf>
    <xf numFmtId="0" fontId="0" fillId="35" borderId="41" xfId="0" applyFill="1" applyBorder="1" applyAlignment="1">
      <alignment horizontal="center" vertical="center"/>
    </xf>
    <xf numFmtId="0" fontId="0" fillId="35" borderId="54" xfId="0" applyFill="1" applyBorder="1" applyAlignment="1">
      <alignment horizontal="center" wrapText="1"/>
    </xf>
    <xf numFmtId="0" fontId="0" fillId="35" borderId="21" xfId="0" applyFill="1" applyBorder="1" applyAlignment="1">
      <alignment horizontal="center" wrapText="1"/>
    </xf>
    <xf numFmtId="0" fontId="67" fillId="35" borderId="42" xfId="0" applyFont="1" applyFill="1" applyBorder="1" applyAlignment="1">
      <alignment horizontal="center" wrapText="1"/>
    </xf>
    <xf numFmtId="0" fontId="67" fillId="35" borderId="2" xfId="0" applyFont="1" applyFill="1" applyBorder="1" applyAlignment="1">
      <alignment horizontal="center" wrapText="1"/>
    </xf>
    <xf numFmtId="0" fontId="67" fillId="35" borderId="24" xfId="0" applyFont="1" applyFill="1" applyBorder="1" applyAlignment="1">
      <alignment horizontal="center" wrapText="1"/>
    </xf>
    <xf numFmtId="0" fontId="0" fillId="36" borderId="59" xfId="0" applyFill="1" applyBorder="1" applyAlignment="1">
      <alignment horizontal="center"/>
    </xf>
    <xf numFmtId="0" fontId="0" fillId="36" borderId="21" xfId="0" applyFill="1" applyBorder="1" applyAlignment="1">
      <alignment horizontal="center"/>
    </xf>
    <xf numFmtId="0" fontId="0" fillId="23" borderId="2" xfId="0" applyFill="1" applyBorder="1" applyAlignment="1">
      <alignment horizontal="center" vertical="center"/>
    </xf>
    <xf numFmtId="0" fontId="67" fillId="23" borderId="59" xfId="0" applyFont="1" applyFill="1" applyBorder="1" applyAlignment="1">
      <alignment horizontal="center"/>
    </xf>
    <xf numFmtId="0" fontId="67" fillId="23" borderId="21" xfId="0" applyFont="1" applyFill="1" applyBorder="1" applyAlignment="1">
      <alignment horizontal="center"/>
    </xf>
    <xf numFmtId="0" fontId="67" fillId="23" borderId="24" xfId="0" applyFont="1" applyFill="1" applyBorder="1" applyAlignment="1">
      <alignment horizontal="center" wrapText="1"/>
    </xf>
    <xf numFmtId="0" fontId="0" fillId="23" borderId="54" xfId="0" applyFill="1" applyBorder="1" applyAlignment="1">
      <alignment horizontal="center" wrapText="1"/>
    </xf>
    <xf numFmtId="0" fontId="0" fillId="23" borderId="21" xfId="0" applyFill="1" applyBorder="1" applyAlignment="1">
      <alignment horizontal="center" wrapText="1"/>
    </xf>
    <xf numFmtId="0" fontId="55" fillId="0" borderId="115" xfId="0" applyFont="1" applyBorder="1" applyAlignment="1">
      <alignment horizontal="center" vertical="center" wrapText="1"/>
    </xf>
    <xf numFmtId="0" fontId="55" fillId="0" borderId="109" xfId="0" applyFont="1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1" fillId="0" borderId="15" xfId="0" applyFont="1" applyBorder="1" applyAlignment="1">
      <alignment horizontal="left" vertical="center" wrapText="1"/>
    </xf>
    <xf numFmtId="0" fontId="81" fillId="0" borderId="3" xfId="0" applyFont="1" applyBorder="1" applyAlignment="1">
      <alignment horizontal="left" vertical="center" wrapText="1"/>
    </xf>
    <xf numFmtId="0" fontId="81" fillId="0" borderId="107" xfId="0" applyFont="1" applyBorder="1" applyAlignment="1">
      <alignment horizontal="left" vertical="center" wrapText="1"/>
    </xf>
    <xf numFmtId="2" fontId="55" fillId="0" borderId="104" xfId="0" applyNumberFormat="1" applyFont="1" applyBorder="1" applyAlignment="1">
      <alignment horizontal="center" vertical="center"/>
    </xf>
    <xf numFmtId="2" fontId="55" fillId="0" borderId="2" xfId="0" applyNumberFormat="1" applyFont="1" applyBorder="1" applyAlignment="1">
      <alignment horizontal="center" vertical="center"/>
    </xf>
    <xf numFmtId="2" fontId="55" fillId="0" borderId="106" xfId="0" applyNumberFormat="1" applyFont="1" applyBorder="1" applyAlignment="1">
      <alignment horizontal="center" vertical="center"/>
    </xf>
    <xf numFmtId="0" fontId="0" fillId="0" borderId="65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2" fontId="55" fillId="0" borderId="15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horizontal="center" vertical="center"/>
    </xf>
    <xf numFmtId="2" fontId="55" fillId="0" borderId="107" xfId="0" applyNumberFormat="1" applyFont="1" applyBorder="1" applyAlignment="1">
      <alignment horizontal="center" vertical="center"/>
    </xf>
    <xf numFmtId="0" fontId="81" fillId="0" borderId="108" xfId="0" applyFont="1" applyBorder="1" applyAlignment="1">
      <alignment horizontal="left" vertical="center" wrapText="1"/>
    </xf>
    <xf numFmtId="0" fontId="81" fillId="0" borderId="110" xfId="0" applyFont="1" applyBorder="1" applyAlignment="1">
      <alignment horizontal="left" vertical="center" wrapText="1"/>
    </xf>
    <xf numFmtId="0" fontId="81" fillId="0" borderId="114" xfId="0" applyFont="1" applyBorder="1" applyAlignment="1">
      <alignment horizontal="left" vertical="center" wrapText="1"/>
    </xf>
    <xf numFmtId="0" fontId="55" fillId="0" borderId="115" xfId="0" applyFont="1" applyBorder="1" applyAlignment="1">
      <alignment horizontal="center" vertical="center"/>
    </xf>
    <xf numFmtId="0" fontId="55" fillId="0" borderId="116" xfId="0" applyFont="1" applyBorder="1" applyAlignment="1">
      <alignment horizontal="center" vertical="center"/>
    </xf>
    <xf numFmtId="0" fontId="55" fillId="0" borderId="109" xfId="0" applyFont="1" applyBorder="1" applyAlignment="1">
      <alignment horizontal="center" vertical="center"/>
    </xf>
    <xf numFmtId="0" fontId="53" fillId="0" borderId="104" xfId="0" applyFont="1" applyBorder="1" applyAlignment="1">
      <alignment horizontal="left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24" xfId="0" applyFont="1" applyBorder="1" applyAlignment="1">
      <alignment horizontal="left" vertical="center" wrapText="1"/>
    </xf>
    <xf numFmtId="0" fontId="88" fillId="0" borderId="0" xfId="0" applyFont="1" applyAlignment="1">
      <alignment horizontal="left" vertical="center" wrapText="1"/>
    </xf>
    <xf numFmtId="0" fontId="55" fillId="70" borderId="19" xfId="0" applyFont="1" applyFill="1" applyBorder="1" applyAlignment="1">
      <alignment horizontal="center" vertical="center"/>
    </xf>
    <xf numFmtId="0" fontId="0" fillId="70" borderId="19" xfId="0" applyFill="1" applyBorder="1" applyAlignment="1">
      <alignment horizontal="center" vertical="center"/>
    </xf>
    <xf numFmtId="0" fontId="0" fillId="70" borderId="19" xfId="0" applyFill="1" applyBorder="1" applyAlignment="1">
      <alignment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93" fillId="0" borderId="0" xfId="0" applyFont="1" applyAlignment="1">
      <alignment horizontal="center" vertical="center"/>
    </xf>
    <xf numFmtId="0" fontId="55" fillId="16" borderId="41" xfId="0" applyFont="1" applyFill="1" applyBorder="1" applyAlignment="1">
      <alignment horizontal="center" vertical="center" wrapText="1"/>
    </xf>
    <xf numFmtId="0" fontId="55" fillId="16" borderId="23" xfId="0" applyFont="1" applyFill="1" applyBorder="1" applyAlignment="1">
      <alignment horizontal="center" vertical="center" wrapText="1"/>
    </xf>
    <xf numFmtId="180" fontId="0" fillId="0" borderId="59" xfId="21" applyNumberFormat="1" applyFont="1" applyBorder="1" applyAlignment="1">
      <alignment horizontal="left" vertical="center" wrapText="1"/>
    </xf>
    <xf numFmtId="180" fontId="0" fillId="0" borderId="84" xfId="21" applyNumberFormat="1" applyFont="1" applyBorder="1" applyAlignment="1">
      <alignment horizontal="left" vertical="center" wrapText="1"/>
    </xf>
    <xf numFmtId="180" fontId="0" fillId="0" borderId="21" xfId="21" applyNumberFormat="1" applyFont="1" applyBorder="1" applyAlignment="1">
      <alignment horizontal="left" vertical="center" wrapText="1"/>
    </xf>
    <xf numFmtId="0" fontId="135" fillId="0" borderId="59" xfId="0" applyFont="1" applyBorder="1" applyAlignment="1">
      <alignment horizontal="center"/>
    </xf>
    <xf numFmtId="0" fontId="135" fillId="0" borderId="84" xfId="0" applyFont="1" applyBorder="1" applyAlignment="1">
      <alignment horizontal="center"/>
    </xf>
    <xf numFmtId="0" fontId="135" fillId="0" borderId="21" xfId="0" applyFont="1" applyBorder="1" applyAlignment="1">
      <alignment horizontal="center"/>
    </xf>
    <xf numFmtId="0" fontId="135" fillId="0" borderId="42" xfId="0" applyFont="1" applyBorder="1" applyAlignment="1">
      <alignment horizontal="left" vertical="center" wrapText="1"/>
    </xf>
    <xf numFmtId="0" fontId="135" fillId="0" borderId="24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55" fillId="4" borderId="22" xfId="0" applyFont="1" applyFill="1" applyBorder="1" applyAlignment="1">
      <alignment horizontal="left" vertical="center" wrapText="1"/>
    </xf>
    <xf numFmtId="0" fontId="55" fillId="4" borderId="5" xfId="0" applyFont="1" applyFill="1" applyBorder="1" applyAlignment="1">
      <alignment horizontal="left" vertical="center" wrapText="1"/>
    </xf>
    <xf numFmtId="0" fontId="55" fillId="27" borderId="46" xfId="0" applyFont="1" applyFill="1" applyBorder="1" applyAlignment="1">
      <alignment horizontal="left" vertical="center" wrapText="1"/>
    </xf>
    <xf numFmtId="0" fontId="55" fillId="27" borderId="40" xfId="0" applyFont="1" applyFill="1" applyBorder="1" applyAlignment="1">
      <alignment horizontal="left" vertical="center" wrapText="1"/>
    </xf>
    <xf numFmtId="0" fontId="55" fillId="27" borderId="80" xfId="0" applyFont="1" applyFill="1" applyBorder="1" applyAlignment="1">
      <alignment horizontal="left" vertical="center" wrapText="1"/>
    </xf>
    <xf numFmtId="0" fontId="55" fillId="4" borderId="65" xfId="0" applyFont="1" applyFill="1" applyBorder="1" applyAlignment="1">
      <alignment horizontal="left" vertical="center" wrapText="1"/>
    </xf>
    <xf numFmtId="0" fontId="55" fillId="4" borderId="66" xfId="0" applyFont="1" applyFill="1" applyBorder="1" applyAlignment="1">
      <alignment horizontal="left" vertical="center" wrapText="1"/>
    </xf>
    <xf numFmtId="0" fontId="55" fillId="12" borderId="65" xfId="0" applyFont="1" applyFill="1" applyBorder="1" applyAlignment="1">
      <alignment horizontal="center" vertical="center"/>
    </xf>
    <xf numFmtId="0" fontId="55" fillId="12" borderId="66" xfId="0" applyFont="1" applyFill="1" applyBorder="1" applyAlignment="1">
      <alignment horizontal="center" vertical="center"/>
    </xf>
    <xf numFmtId="2" fontId="55" fillId="12" borderId="65" xfId="0" applyNumberFormat="1" applyFont="1" applyFill="1" applyBorder="1" applyAlignment="1">
      <alignment horizontal="center" vertical="center"/>
    </xf>
    <xf numFmtId="2" fontId="55" fillId="12" borderId="66" xfId="0" applyNumberFormat="1" applyFont="1" applyFill="1" applyBorder="1" applyAlignment="1">
      <alignment horizontal="center" vertical="center"/>
    </xf>
    <xf numFmtId="0" fontId="55" fillId="0" borderId="0" xfId="205" applyFont="1" applyAlignment="1">
      <alignment horizontal="center"/>
    </xf>
    <xf numFmtId="0" fontId="55" fillId="0" borderId="19" xfId="205" applyFont="1" applyBorder="1" applyAlignment="1">
      <alignment horizontal="center"/>
    </xf>
    <xf numFmtId="0" fontId="53" fillId="0" borderId="19" xfId="205" applyBorder="1" applyAlignment="1">
      <alignment horizontal="center"/>
    </xf>
    <xf numFmtId="0" fontId="53" fillId="0" borderId="0" xfId="205" applyAlignment="1">
      <alignment horizontal="center"/>
    </xf>
    <xf numFmtId="0" fontId="55" fillId="0" borderId="46" xfId="205" applyFont="1" applyBorder="1" applyAlignment="1">
      <alignment horizontal="center"/>
    </xf>
    <xf numFmtId="0" fontId="53" fillId="0" borderId="40" xfId="205" applyBorder="1" applyAlignment="1">
      <alignment horizontal="center"/>
    </xf>
    <xf numFmtId="0" fontId="53" fillId="0" borderId="80" xfId="205" applyBorder="1" applyAlignment="1">
      <alignment horizontal="center"/>
    </xf>
    <xf numFmtId="0" fontId="55" fillId="22" borderId="42" xfId="0" applyFont="1" applyFill="1" applyBorder="1" applyAlignment="1">
      <alignment horizontal="left" vertical="center"/>
    </xf>
    <xf numFmtId="0" fontId="0" fillId="22" borderId="24" xfId="0" applyFill="1" applyBorder="1" applyAlignment="1">
      <alignment horizontal="left" vertical="center"/>
    </xf>
    <xf numFmtId="0" fontId="55" fillId="22" borderId="24" xfId="0" applyFont="1" applyFill="1" applyBorder="1" applyAlignment="1">
      <alignment horizontal="left" vertical="center"/>
    </xf>
    <xf numFmtId="0" fontId="115" fillId="0" borderId="42" xfId="0" applyFont="1" applyBorder="1" applyAlignment="1">
      <alignment horizontal="left" vertical="center"/>
    </xf>
    <xf numFmtId="0" fontId="111" fillId="0" borderId="24" xfId="0" applyFont="1" applyBorder="1" applyAlignment="1">
      <alignment horizontal="left" vertical="center"/>
    </xf>
    <xf numFmtId="0" fontId="53" fillId="22" borderId="24" xfId="0" applyFont="1" applyFill="1" applyBorder="1" applyAlignment="1">
      <alignment horizontal="left" vertical="center"/>
    </xf>
    <xf numFmtId="0" fontId="53" fillId="0" borderId="17" xfId="205" applyBorder="1" applyAlignment="1">
      <alignment horizontal="center" wrapText="1"/>
    </xf>
    <xf numFmtId="0" fontId="53" fillId="0" borderId="42" xfId="205" applyBorder="1" applyAlignment="1">
      <alignment horizontal="center" wrapText="1"/>
    </xf>
    <xf numFmtId="0" fontId="53" fillId="0" borderId="24" xfId="205" applyBorder="1" applyAlignment="1">
      <alignment horizontal="center" wrapText="1"/>
    </xf>
    <xf numFmtId="0" fontId="53" fillId="0" borderId="59" xfId="205" applyBorder="1" applyAlignment="1">
      <alignment horizontal="center" wrapText="1"/>
    </xf>
    <xf numFmtId="0" fontId="53" fillId="0" borderId="21" xfId="205" applyBorder="1" applyAlignment="1">
      <alignment horizontal="center" wrapText="1"/>
    </xf>
    <xf numFmtId="0" fontId="0" fillId="0" borderId="59" xfId="1" applyNumberFormat="1" applyFont="1" applyBorder="1" applyAlignment="1">
      <alignment horizontal="left"/>
    </xf>
    <xf numFmtId="0" fontId="0" fillId="0" borderId="84" xfId="1" applyNumberFormat="1" applyFont="1" applyBorder="1" applyAlignment="1">
      <alignment horizontal="left"/>
    </xf>
    <xf numFmtId="0" fontId="0" fillId="0" borderId="21" xfId="1" applyNumberFormat="1" applyFont="1" applyBorder="1" applyAlignment="1">
      <alignment horizontal="left"/>
    </xf>
    <xf numFmtId="0" fontId="0" fillId="0" borderId="17" xfId="1" applyNumberFormat="1" applyFont="1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21" xfId="0" applyBorder="1" applyAlignment="1">
      <alignment horizontal="left"/>
    </xf>
  </cellXfs>
  <cellStyles count="14612">
    <cellStyle name="20% - Accent1" xfId="7375" builtinId="30" customBuiltin="1"/>
    <cellStyle name="20% - Accent1 2" xfId="116" xr:uid="{00000000-0005-0000-0000-000001000000}"/>
    <cellStyle name="20% - Accent1 2 2" xfId="117" xr:uid="{00000000-0005-0000-0000-000002000000}"/>
    <cellStyle name="20% - Accent1 2 2 2" xfId="3673" xr:uid="{00000000-0005-0000-0000-000003000000}"/>
    <cellStyle name="20% - Accent1 2 2 2 2" xfId="10902" xr:uid="{00000000-0005-0000-0000-000004000000}"/>
    <cellStyle name="20% - Accent1 2 3" xfId="3672" xr:uid="{00000000-0005-0000-0000-000005000000}"/>
    <cellStyle name="20% - Accent1 2 3 2" xfId="10901" xr:uid="{00000000-0005-0000-0000-000006000000}"/>
    <cellStyle name="20% - Accent1 3" xfId="14587" xr:uid="{00000000-0005-0000-0000-000007000000}"/>
    <cellStyle name="20% - Accent2" xfId="7378" builtinId="34" customBuiltin="1"/>
    <cellStyle name="20% - Accent2 2" xfId="118" xr:uid="{00000000-0005-0000-0000-000009000000}"/>
    <cellStyle name="20% - Accent2 2 2" xfId="119" xr:uid="{00000000-0005-0000-0000-00000A000000}"/>
    <cellStyle name="20% - Accent2 2 2 2" xfId="3675" xr:uid="{00000000-0005-0000-0000-00000B000000}"/>
    <cellStyle name="20% - Accent2 2 2 2 2" xfId="10904" xr:uid="{00000000-0005-0000-0000-00000C000000}"/>
    <cellStyle name="20% - Accent2 2 3" xfId="3674" xr:uid="{00000000-0005-0000-0000-00000D000000}"/>
    <cellStyle name="20% - Accent2 2 3 2" xfId="10903" xr:uid="{00000000-0005-0000-0000-00000E000000}"/>
    <cellStyle name="20% - Accent2 3" xfId="14589" xr:uid="{00000000-0005-0000-0000-00000F000000}"/>
    <cellStyle name="20% - Accent3" xfId="7381" builtinId="38" customBuiltin="1"/>
    <cellStyle name="20% - Accent3 2" xfId="120" xr:uid="{00000000-0005-0000-0000-000011000000}"/>
    <cellStyle name="20% - Accent3 2 2" xfId="121" xr:uid="{00000000-0005-0000-0000-000012000000}"/>
    <cellStyle name="20% - Accent3 2 2 2" xfId="3677" xr:uid="{00000000-0005-0000-0000-000013000000}"/>
    <cellStyle name="20% - Accent3 2 2 2 2" xfId="10906" xr:uid="{00000000-0005-0000-0000-000014000000}"/>
    <cellStyle name="20% - Accent3 2 3" xfId="3676" xr:uid="{00000000-0005-0000-0000-000015000000}"/>
    <cellStyle name="20% - Accent3 2 3 2" xfId="10905" xr:uid="{00000000-0005-0000-0000-000016000000}"/>
    <cellStyle name="20% - Accent3 3" xfId="14591" xr:uid="{00000000-0005-0000-0000-000017000000}"/>
    <cellStyle name="20% - Accent4" xfId="7384" builtinId="42" customBuiltin="1"/>
    <cellStyle name="20% - Accent4 2" xfId="122" xr:uid="{00000000-0005-0000-0000-000019000000}"/>
    <cellStyle name="20% - Accent4 2 2" xfId="123" xr:uid="{00000000-0005-0000-0000-00001A000000}"/>
    <cellStyle name="20% - Accent4 2 2 2" xfId="3679" xr:uid="{00000000-0005-0000-0000-00001B000000}"/>
    <cellStyle name="20% - Accent4 2 2 2 2" xfId="10908" xr:uid="{00000000-0005-0000-0000-00001C000000}"/>
    <cellStyle name="20% - Accent4 2 3" xfId="3678" xr:uid="{00000000-0005-0000-0000-00001D000000}"/>
    <cellStyle name="20% - Accent4 2 3 2" xfId="10907" xr:uid="{00000000-0005-0000-0000-00001E000000}"/>
    <cellStyle name="20% - Accent4 3" xfId="14593" xr:uid="{00000000-0005-0000-0000-00001F000000}"/>
    <cellStyle name="20% - Accent5" xfId="7387" builtinId="46" customBuiltin="1"/>
    <cellStyle name="20% - Accent5 2" xfId="124" xr:uid="{00000000-0005-0000-0000-000021000000}"/>
    <cellStyle name="20% - Accent5 2 2" xfId="125" xr:uid="{00000000-0005-0000-0000-000022000000}"/>
    <cellStyle name="20% - Accent5 2 2 2" xfId="3681" xr:uid="{00000000-0005-0000-0000-000023000000}"/>
    <cellStyle name="20% - Accent5 2 2 2 2" xfId="10910" xr:uid="{00000000-0005-0000-0000-000024000000}"/>
    <cellStyle name="20% - Accent5 2 3" xfId="3680" xr:uid="{00000000-0005-0000-0000-000025000000}"/>
    <cellStyle name="20% - Accent5 2 3 2" xfId="10909" xr:uid="{00000000-0005-0000-0000-000026000000}"/>
    <cellStyle name="20% - Accent5 3" xfId="14595" xr:uid="{00000000-0005-0000-0000-000027000000}"/>
    <cellStyle name="20% - Accent6" xfId="7390" builtinId="50" customBuiltin="1"/>
    <cellStyle name="20% - Accent6 2" xfId="126" xr:uid="{00000000-0005-0000-0000-000029000000}"/>
    <cellStyle name="20% - Accent6 2 2" xfId="127" xr:uid="{00000000-0005-0000-0000-00002A000000}"/>
    <cellStyle name="20% - Accent6 2 2 2" xfId="3683" xr:uid="{00000000-0005-0000-0000-00002B000000}"/>
    <cellStyle name="20% - Accent6 2 2 2 2" xfId="10912" xr:uid="{00000000-0005-0000-0000-00002C000000}"/>
    <cellStyle name="20% - Accent6 2 3" xfId="3682" xr:uid="{00000000-0005-0000-0000-00002D000000}"/>
    <cellStyle name="20% - Accent6 2 3 2" xfId="10911" xr:uid="{00000000-0005-0000-0000-00002E000000}"/>
    <cellStyle name="20% - Accent6 3" xfId="14597" xr:uid="{00000000-0005-0000-0000-00002F000000}"/>
    <cellStyle name="40% - Accent1" xfId="7376" builtinId="31" customBuiltin="1"/>
    <cellStyle name="40% - Accent1 2" xfId="128" xr:uid="{00000000-0005-0000-0000-000031000000}"/>
    <cellStyle name="40% - Accent1 2 2" xfId="129" xr:uid="{00000000-0005-0000-0000-000032000000}"/>
    <cellStyle name="40% - Accent1 2 2 2" xfId="3685" xr:uid="{00000000-0005-0000-0000-000033000000}"/>
    <cellStyle name="40% - Accent1 2 2 2 2" xfId="10914" xr:uid="{00000000-0005-0000-0000-000034000000}"/>
    <cellStyle name="40% - Accent1 2 3" xfId="3684" xr:uid="{00000000-0005-0000-0000-000035000000}"/>
    <cellStyle name="40% - Accent1 2 3 2" xfId="10913" xr:uid="{00000000-0005-0000-0000-000036000000}"/>
    <cellStyle name="40% - Accent1 3" xfId="14588" xr:uid="{00000000-0005-0000-0000-000037000000}"/>
    <cellStyle name="40% - Accent2" xfId="7379" builtinId="35" customBuiltin="1"/>
    <cellStyle name="40% - Accent2 2" xfId="130" xr:uid="{00000000-0005-0000-0000-000039000000}"/>
    <cellStyle name="40% - Accent2 2 2" xfId="131" xr:uid="{00000000-0005-0000-0000-00003A000000}"/>
    <cellStyle name="40% - Accent2 2 2 2" xfId="3687" xr:uid="{00000000-0005-0000-0000-00003B000000}"/>
    <cellStyle name="40% - Accent2 2 2 2 2" xfId="10916" xr:uid="{00000000-0005-0000-0000-00003C000000}"/>
    <cellStyle name="40% - Accent2 2 3" xfId="3686" xr:uid="{00000000-0005-0000-0000-00003D000000}"/>
    <cellStyle name="40% - Accent2 2 3 2" xfId="10915" xr:uid="{00000000-0005-0000-0000-00003E000000}"/>
    <cellStyle name="40% - Accent2 3" xfId="14590" xr:uid="{00000000-0005-0000-0000-00003F000000}"/>
    <cellStyle name="40% - Accent3" xfId="7382" builtinId="39" customBuiltin="1"/>
    <cellStyle name="40% - Accent3 2" xfId="132" xr:uid="{00000000-0005-0000-0000-000041000000}"/>
    <cellStyle name="40% - Accent3 2 2" xfId="133" xr:uid="{00000000-0005-0000-0000-000042000000}"/>
    <cellStyle name="40% - Accent3 2 2 2" xfId="3689" xr:uid="{00000000-0005-0000-0000-000043000000}"/>
    <cellStyle name="40% - Accent3 2 2 2 2" xfId="10918" xr:uid="{00000000-0005-0000-0000-000044000000}"/>
    <cellStyle name="40% - Accent3 2 3" xfId="3688" xr:uid="{00000000-0005-0000-0000-000045000000}"/>
    <cellStyle name="40% - Accent3 2 3 2" xfId="10917" xr:uid="{00000000-0005-0000-0000-000046000000}"/>
    <cellStyle name="40% - Accent3 3" xfId="14592" xr:uid="{00000000-0005-0000-0000-000047000000}"/>
    <cellStyle name="40% - Accent4" xfId="7385" builtinId="43" customBuiltin="1"/>
    <cellStyle name="40% - Accent4 2" xfId="134" xr:uid="{00000000-0005-0000-0000-000049000000}"/>
    <cellStyle name="40% - Accent4 2 2" xfId="135" xr:uid="{00000000-0005-0000-0000-00004A000000}"/>
    <cellStyle name="40% - Accent4 2 2 2" xfId="3691" xr:uid="{00000000-0005-0000-0000-00004B000000}"/>
    <cellStyle name="40% - Accent4 2 2 2 2" xfId="10920" xr:uid="{00000000-0005-0000-0000-00004C000000}"/>
    <cellStyle name="40% - Accent4 2 3" xfId="3690" xr:uid="{00000000-0005-0000-0000-00004D000000}"/>
    <cellStyle name="40% - Accent4 2 3 2" xfId="10919" xr:uid="{00000000-0005-0000-0000-00004E000000}"/>
    <cellStyle name="40% - Accent4 3" xfId="14594" xr:uid="{00000000-0005-0000-0000-00004F000000}"/>
    <cellStyle name="40% - Accent5" xfId="7388" builtinId="47" customBuiltin="1"/>
    <cellStyle name="40% - Accent5 2" xfId="136" xr:uid="{00000000-0005-0000-0000-000051000000}"/>
    <cellStyle name="40% - Accent5 2 2" xfId="137" xr:uid="{00000000-0005-0000-0000-000052000000}"/>
    <cellStyle name="40% - Accent5 2 2 2" xfId="3693" xr:uid="{00000000-0005-0000-0000-000053000000}"/>
    <cellStyle name="40% - Accent5 2 2 2 2" xfId="10922" xr:uid="{00000000-0005-0000-0000-000054000000}"/>
    <cellStyle name="40% - Accent5 2 3" xfId="3692" xr:uid="{00000000-0005-0000-0000-000055000000}"/>
    <cellStyle name="40% - Accent5 2 3 2" xfId="10921" xr:uid="{00000000-0005-0000-0000-000056000000}"/>
    <cellStyle name="40% - Accent5 3" xfId="14596" xr:uid="{00000000-0005-0000-0000-000057000000}"/>
    <cellStyle name="40% - Accent6" xfId="7391" builtinId="51" customBuiltin="1"/>
    <cellStyle name="40% - Accent6 2" xfId="138" xr:uid="{00000000-0005-0000-0000-000059000000}"/>
    <cellStyle name="40% - Accent6 2 2" xfId="139" xr:uid="{00000000-0005-0000-0000-00005A000000}"/>
    <cellStyle name="40% - Accent6 2 2 2" xfId="3695" xr:uid="{00000000-0005-0000-0000-00005B000000}"/>
    <cellStyle name="40% - Accent6 2 2 2 2" xfId="10924" xr:uid="{00000000-0005-0000-0000-00005C000000}"/>
    <cellStyle name="40% - Accent6 2 3" xfId="3694" xr:uid="{00000000-0005-0000-0000-00005D000000}"/>
    <cellStyle name="40% - Accent6 2 3 2" xfId="10923" xr:uid="{00000000-0005-0000-0000-00005E000000}"/>
    <cellStyle name="40% - Accent6 3" xfId="14598" xr:uid="{00000000-0005-0000-0000-00005F000000}"/>
    <cellStyle name="60% - Accent1 2" xfId="140" xr:uid="{00000000-0005-0000-0000-000060000000}"/>
    <cellStyle name="60% - Accent1 2 2" xfId="141" xr:uid="{00000000-0005-0000-0000-000061000000}"/>
    <cellStyle name="60% - Accent1 2 2 2" xfId="3697" xr:uid="{00000000-0005-0000-0000-000062000000}"/>
    <cellStyle name="60% - Accent1 2 2 2 2" xfId="10926" xr:uid="{00000000-0005-0000-0000-000063000000}"/>
    <cellStyle name="60% - Accent1 2 3" xfId="3696" xr:uid="{00000000-0005-0000-0000-000064000000}"/>
    <cellStyle name="60% - Accent1 2 3 2" xfId="10925" xr:uid="{00000000-0005-0000-0000-000065000000}"/>
    <cellStyle name="60% - Accent1 2 4" xfId="7394" xr:uid="{00000000-0005-0000-0000-000066000000}"/>
    <cellStyle name="60% - Accent1 2 4 2" xfId="14600" xr:uid="{00000000-0005-0000-0000-000067000000}"/>
    <cellStyle name="60% - Accent1 3" xfId="7393" xr:uid="{00000000-0005-0000-0000-000068000000}"/>
    <cellStyle name="60% - Accent2 2" xfId="142" xr:uid="{00000000-0005-0000-0000-000069000000}"/>
    <cellStyle name="60% - Accent2 2 2" xfId="143" xr:uid="{00000000-0005-0000-0000-00006A000000}"/>
    <cellStyle name="60% - Accent2 2 2 2" xfId="3699" xr:uid="{00000000-0005-0000-0000-00006B000000}"/>
    <cellStyle name="60% - Accent2 2 2 2 2" xfId="10928" xr:uid="{00000000-0005-0000-0000-00006C000000}"/>
    <cellStyle name="60% - Accent2 2 3" xfId="3698" xr:uid="{00000000-0005-0000-0000-00006D000000}"/>
    <cellStyle name="60% - Accent2 2 3 2" xfId="10927" xr:uid="{00000000-0005-0000-0000-00006E000000}"/>
    <cellStyle name="60% - Accent2 2 4" xfId="7396" xr:uid="{00000000-0005-0000-0000-00006F000000}"/>
    <cellStyle name="60% - Accent2 2 4 2" xfId="14601" xr:uid="{00000000-0005-0000-0000-000070000000}"/>
    <cellStyle name="60% - Accent2 3" xfId="7395" xr:uid="{00000000-0005-0000-0000-000071000000}"/>
    <cellStyle name="60% - Accent3 2" xfId="144" xr:uid="{00000000-0005-0000-0000-000072000000}"/>
    <cellStyle name="60% - Accent3 2 2" xfId="145" xr:uid="{00000000-0005-0000-0000-000073000000}"/>
    <cellStyle name="60% - Accent3 2 2 2" xfId="3701" xr:uid="{00000000-0005-0000-0000-000074000000}"/>
    <cellStyle name="60% - Accent3 2 2 2 2" xfId="10930" xr:uid="{00000000-0005-0000-0000-000075000000}"/>
    <cellStyle name="60% - Accent3 2 3" xfId="3700" xr:uid="{00000000-0005-0000-0000-000076000000}"/>
    <cellStyle name="60% - Accent3 2 3 2" xfId="10929" xr:uid="{00000000-0005-0000-0000-000077000000}"/>
    <cellStyle name="60% - Accent3 2 4" xfId="7398" xr:uid="{00000000-0005-0000-0000-000078000000}"/>
    <cellStyle name="60% - Accent3 2 4 2" xfId="14602" xr:uid="{00000000-0005-0000-0000-000079000000}"/>
    <cellStyle name="60% - Accent3 3" xfId="7397" xr:uid="{00000000-0005-0000-0000-00007A000000}"/>
    <cellStyle name="60% - Accent4 2" xfId="146" xr:uid="{00000000-0005-0000-0000-00007B000000}"/>
    <cellStyle name="60% - Accent4 2 2" xfId="147" xr:uid="{00000000-0005-0000-0000-00007C000000}"/>
    <cellStyle name="60% - Accent4 2 2 2" xfId="3703" xr:uid="{00000000-0005-0000-0000-00007D000000}"/>
    <cellStyle name="60% - Accent4 2 2 2 2" xfId="10932" xr:uid="{00000000-0005-0000-0000-00007E000000}"/>
    <cellStyle name="60% - Accent4 2 3" xfId="3702" xr:uid="{00000000-0005-0000-0000-00007F000000}"/>
    <cellStyle name="60% - Accent4 2 3 2" xfId="10931" xr:uid="{00000000-0005-0000-0000-000080000000}"/>
    <cellStyle name="60% - Accent4 2 4" xfId="7400" xr:uid="{00000000-0005-0000-0000-000081000000}"/>
    <cellStyle name="60% - Accent4 2 4 2" xfId="14603" xr:uid="{00000000-0005-0000-0000-000082000000}"/>
    <cellStyle name="60% - Accent4 3" xfId="7399" xr:uid="{00000000-0005-0000-0000-000083000000}"/>
    <cellStyle name="60% - Accent5 2" xfId="148" xr:uid="{00000000-0005-0000-0000-000084000000}"/>
    <cellStyle name="60% - Accent5 2 2" xfId="149" xr:uid="{00000000-0005-0000-0000-000085000000}"/>
    <cellStyle name="60% - Accent5 2 2 2" xfId="3705" xr:uid="{00000000-0005-0000-0000-000086000000}"/>
    <cellStyle name="60% - Accent5 2 2 2 2" xfId="10934" xr:uid="{00000000-0005-0000-0000-000087000000}"/>
    <cellStyle name="60% - Accent5 2 3" xfId="3704" xr:uid="{00000000-0005-0000-0000-000088000000}"/>
    <cellStyle name="60% - Accent5 2 3 2" xfId="10933" xr:uid="{00000000-0005-0000-0000-000089000000}"/>
    <cellStyle name="60% - Accent5 2 4" xfId="7402" xr:uid="{00000000-0005-0000-0000-00008A000000}"/>
    <cellStyle name="60% - Accent5 2 4 2" xfId="14604" xr:uid="{00000000-0005-0000-0000-00008B000000}"/>
    <cellStyle name="60% - Accent5 3" xfId="7401" xr:uid="{00000000-0005-0000-0000-00008C000000}"/>
    <cellStyle name="60% - Accent6 2" xfId="150" xr:uid="{00000000-0005-0000-0000-00008D000000}"/>
    <cellStyle name="60% - Accent6 2 2" xfId="151" xr:uid="{00000000-0005-0000-0000-00008E000000}"/>
    <cellStyle name="60% - Accent6 2 2 2" xfId="3707" xr:uid="{00000000-0005-0000-0000-00008F000000}"/>
    <cellStyle name="60% - Accent6 2 2 2 2" xfId="10936" xr:uid="{00000000-0005-0000-0000-000090000000}"/>
    <cellStyle name="60% - Accent6 2 3" xfId="3706" xr:uid="{00000000-0005-0000-0000-000091000000}"/>
    <cellStyle name="60% - Accent6 2 3 2" xfId="10935" xr:uid="{00000000-0005-0000-0000-000092000000}"/>
    <cellStyle name="60% - Accent6 2 4" xfId="7404" xr:uid="{00000000-0005-0000-0000-000093000000}"/>
    <cellStyle name="60% - Accent6 2 4 2" xfId="14605" xr:uid="{00000000-0005-0000-0000-000094000000}"/>
    <cellStyle name="60% - Accent6 3" xfId="7403" xr:uid="{00000000-0005-0000-0000-000095000000}"/>
    <cellStyle name="Accent1" xfId="7374" builtinId="29" customBuiltin="1"/>
    <cellStyle name="Accent1 2" xfId="152" xr:uid="{00000000-0005-0000-0000-000097000000}"/>
    <cellStyle name="Accent1 2 2" xfId="153" xr:uid="{00000000-0005-0000-0000-000098000000}"/>
    <cellStyle name="Accent1 2 2 2" xfId="3709" xr:uid="{00000000-0005-0000-0000-000099000000}"/>
    <cellStyle name="Accent1 2 2 2 2" xfId="10938" xr:uid="{00000000-0005-0000-0000-00009A000000}"/>
    <cellStyle name="Accent1 2 3" xfId="3708" xr:uid="{00000000-0005-0000-0000-00009B000000}"/>
    <cellStyle name="Accent1 2 3 2" xfId="10937" xr:uid="{00000000-0005-0000-0000-00009C000000}"/>
    <cellStyle name="Accent2" xfId="7377" builtinId="33" customBuiltin="1"/>
    <cellStyle name="Accent2 2" xfId="154" xr:uid="{00000000-0005-0000-0000-00009E000000}"/>
    <cellStyle name="Accent2 2 2" xfId="155" xr:uid="{00000000-0005-0000-0000-00009F000000}"/>
    <cellStyle name="Accent2 2 2 2" xfId="3711" xr:uid="{00000000-0005-0000-0000-0000A0000000}"/>
    <cellStyle name="Accent2 2 2 2 2" xfId="10940" xr:uid="{00000000-0005-0000-0000-0000A1000000}"/>
    <cellStyle name="Accent2 2 3" xfId="3710" xr:uid="{00000000-0005-0000-0000-0000A2000000}"/>
    <cellStyle name="Accent2 2 3 2" xfId="10939" xr:uid="{00000000-0005-0000-0000-0000A3000000}"/>
    <cellStyle name="Accent3" xfId="7380" builtinId="37" customBuiltin="1"/>
    <cellStyle name="Accent3 2" xfId="156" xr:uid="{00000000-0005-0000-0000-0000A5000000}"/>
    <cellStyle name="Accent3 2 2" xfId="157" xr:uid="{00000000-0005-0000-0000-0000A6000000}"/>
    <cellStyle name="Accent3 2 2 2" xfId="3713" xr:uid="{00000000-0005-0000-0000-0000A7000000}"/>
    <cellStyle name="Accent3 2 2 2 2" xfId="10942" xr:uid="{00000000-0005-0000-0000-0000A8000000}"/>
    <cellStyle name="Accent3 2 3" xfId="3712" xr:uid="{00000000-0005-0000-0000-0000A9000000}"/>
    <cellStyle name="Accent3 2 3 2" xfId="10941" xr:uid="{00000000-0005-0000-0000-0000AA000000}"/>
    <cellStyle name="Accent4" xfId="7383" builtinId="41" customBuiltin="1"/>
    <cellStyle name="Accent4 2" xfId="158" xr:uid="{00000000-0005-0000-0000-0000AC000000}"/>
    <cellStyle name="Accent4 2 2" xfId="159" xr:uid="{00000000-0005-0000-0000-0000AD000000}"/>
    <cellStyle name="Accent4 2 2 2" xfId="3715" xr:uid="{00000000-0005-0000-0000-0000AE000000}"/>
    <cellStyle name="Accent4 2 2 2 2" xfId="10944" xr:uid="{00000000-0005-0000-0000-0000AF000000}"/>
    <cellStyle name="Accent4 2 3" xfId="3714" xr:uid="{00000000-0005-0000-0000-0000B0000000}"/>
    <cellStyle name="Accent4 2 3 2" xfId="10943" xr:uid="{00000000-0005-0000-0000-0000B1000000}"/>
    <cellStyle name="Accent5" xfId="7386" builtinId="45" customBuiltin="1"/>
    <cellStyle name="Accent5 2" xfId="160" xr:uid="{00000000-0005-0000-0000-0000B3000000}"/>
    <cellStyle name="Accent5 2 2" xfId="161" xr:uid="{00000000-0005-0000-0000-0000B4000000}"/>
    <cellStyle name="Accent5 2 2 2" xfId="3717" xr:uid="{00000000-0005-0000-0000-0000B5000000}"/>
    <cellStyle name="Accent5 2 2 2 2" xfId="10946" xr:uid="{00000000-0005-0000-0000-0000B6000000}"/>
    <cellStyle name="Accent5 2 3" xfId="3716" xr:uid="{00000000-0005-0000-0000-0000B7000000}"/>
    <cellStyle name="Accent5 2 3 2" xfId="10945" xr:uid="{00000000-0005-0000-0000-0000B8000000}"/>
    <cellStyle name="Accent6" xfId="7389" builtinId="49" customBuiltin="1"/>
    <cellStyle name="Accent6 2" xfId="162" xr:uid="{00000000-0005-0000-0000-0000BA000000}"/>
    <cellStyle name="Accent6 2 2" xfId="163" xr:uid="{00000000-0005-0000-0000-0000BB000000}"/>
    <cellStyle name="Accent6 2 2 2" xfId="3719" xr:uid="{00000000-0005-0000-0000-0000BC000000}"/>
    <cellStyle name="Accent6 2 2 2 2" xfId="10948" xr:uid="{00000000-0005-0000-0000-0000BD000000}"/>
    <cellStyle name="Accent6 2 3" xfId="3718" xr:uid="{00000000-0005-0000-0000-0000BE000000}"/>
    <cellStyle name="Accent6 2 3 2" xfId="10947" xr:uid="{00000000-0005-0000-0000-0000BF000000}"/>
    <cellStyle name="Bad" xfId="7365" builtinId="27" customBuiltin="1"/>
    <cellStyle name="Bad 2" xfId="164" xr:uid="{00000000-0005-0000-0000-0000C1000000}"/>
    <cellStyle name="Bad 2 2" xfId="165" xr:uid="{00000000-0005-0000-0000-0000C2000000}"/>
    <cellStyle name="Bad 2 2 2" xfId="3721" xr:uid="{00000000-0005-0000-0000-0000C3000000}"/>
    <cellStyle name="Bad 2 2 2 2" xfId="10950" xr:uid="{00000000-0005-0000-0000-0000C4000000}"/>
    <cellStyle name="Bad 2 3" xfId="3720" xr:uid="{00000000-0005-0000-0000-0000C5000000}"/>
    <cellStyle name="Bad 2 3 2" xfId="10949" xr:uid="{00000000-0005-0000-0000-0000C6000000}"/>
    <cellStyle name="Calculation" xfId="7368" builtinId="22" customBuiltin="1"/>
    <cellStyle name="Calculation 2" xfId="166" xr:uid="{00000000-0005-0000-0000-0000C8000000}"/>
    <cellStyle name="Calculation 2 2" xfId="167" xr:uid="{00000000-0005-0000-0000-0000C9000000}"/>
    <cellStyle name="Calculation 2 2 2" xfId="3723" xr:uid="{00000000-0005-0000-0000-0000CA000000}"/>
    <cellStyle name="Calculation 2 2 2 2" xfId="10952" xr:uid="{00000000-0005-0000-0000-0000CB000000}"/>
    <cellStyle name="Calculation 2 3" xfId="3722" xr:uid="{00000000-0005-0000-0000-0000CC000000}"/>
    <cellStyle name="Calculation 2 3 2" xfId="10951" xr:uid="{00000000-0005-0000-0000-0000CD000000}"/>
    <cellStyle name="Check Cell" xfId="7370" builtinId="23" customBuiltin="1"/>
    <cellStyle name="Check Cell 2" xfId="168" xr:uid="{00000000-0005-0000-0000-0000CF000000}"/>
    <cellStyle name="Check Cell 2 2" xfId="169" xr:uid="{00000000-0005-0000-0000-0000D0000000}"/>
    <cellStyle name="Check Cell 2 2 2" xfId="3725" xr:uid="{00000000-0005-0000-0000-0000D1000000}"/>
    <cellStyle name="Check Cell 2 2 2 2" xfId="10954" xr:uid="{00000000-0005-0000-0000-0000D2000000}"/>
    <cellStyle name="Check Cell 2 3" xfId="3724" xr:uid="{00000000-0005-0000-0000-0000D3000000}"/>
    <cellStyle name="Check Cell 2 3 2" xfId="10953" xr:uid="{00000000-0005-0000-0000-0000D4000000}"/>
    <cellStyle name="Comma" xfId="1" builtinId="3"/>
    <cellStyle name="Comma 10" xfId="170" xr:uid="{00000000-0005-0000-0000-0000D6000000}"/>
    <cellStyle name="Comma 10 2" xfId="323" xr:uid="{00000000-0005-0000-0000-0000D7000000}"/>
    <cellStyle name="Comma 10 2 2" xfId="370" xr:uid="{00000000-0005-0000-0000-0000D8000000}"/>
    <cellStyle name="Comma 10 2 2 2" xfId="817" xr:uid="{00000000-0005-0000-0000-0000D9000000}"/>
    <cellStyle name="Comma 10 2 2 2 2" xfId="3729" xr:uid="{00000000-0005-0000-0000-0000DA000000}"/>
    <cellStyle name="Comma 10 2 2 2 2 2" xfId="10958" xr:uid="{00000000-0005-0000-0000-0000DB000000}"/>
    <cellStyle name="Comma 10 2 2 3" xfId="3730" xr:uid="{00000000-0005-0000-0000-0000DC000000}"/>
    <cellStyle name="Comma 10 2 2 3 2" xfId="10959" xr:uid="{00000000-0005-0000-0000-0000DD000000}"/>
    <cellStyle name="Comma 10 2 2 4" xfId="3728" xr:uid="{00000000-0005-0000-0000-0000DE000000}"/>
    <cellStyle name="Comma 10 2 2 4 2" xfId="10957" xr:uid="{00000000-0005-0000-0000-0000DF000000}"/>
    <cellStyle name="Comma 10 2 3" xfId="549" xr:uid="{00000000-0005-0000-0000-0000E0000000}"/>
    <cellStyle name="Comma 10 2 3 2" xfId="995" xr:uid="{00000000-0005-0000-0000-0000E1000000}"/>
    <cellStyle name="Comma 10 2 3 2 2" xfId="1862" xr:uid="{00000000-0005-0000-0000-0000E2000000}"/>
    <cellStyle name="Comma 10 2 3 2 2 2" xfId="3601" xr:uid="{00000000-0005-0000-0000-0000E3000000}"/>
    <cellStyle name="Comma 10 2 3 2 2 2 2" xfId="3734" xr:uid="{00000000-0005-0000-0000-0000E4000000}"/>
    <cellStyle name="Comma 10 2 3 2 2 2 2 2" xfId="10963" xr:uid="{00000000-0005-0000-0000-0000E5000000}"/>
    <cellStyle name="Comma 10 2 3 2 2 2 3" xfId="10830" xr:uid="{00000000-0005-0000-0000-0000E6000000}"/>
    <cellStyle name="Comma 10 2 3 2 2 3" xfId="3733" xr:uid="{00000000-0005-0000-0000-0000E7000000}"/>
    <cellStyle name="Comma 10 2 3 2 2 3 2" xfId="10962" xr:uid="{00000000-0005-0000-0000-0000E8000000}"/>
    <cellStyle name="Comma 10 2 3 2 2 4" xfId="9092" xr:uid="{00000000-0005-0000-0000-0000E9000000}"/>
    <cellStyle name="Comma 10 2 3 2 3" xfId="2734" xr:uid="{00000000-0005-0000-0000-0000EA000000}"/>
    <cellStyle name="Comma 10 2 3 2 3 2" xfId="3735" xr:uid="{00000000-0005-0000-0000-0000EB000000}"/>
    <cellStyle name="Comma 10 2 3 2 3 2 2" xfId="10964" xr:uid="{00000000-0005-0000-0000-0000EC000000}"/>
    <cellStyle name="Comma 10 2 3 2 3 3" xfId="9963" xr:uid="{00000000-0005-0000-0000-0000ED000000}"/>
    <cellStyle name="Comma 10 2 3 2 4" xfId="3732" xr:uid="{00000000-0005-0000-0000-0000EE000000}"/>
    <cellStyle name="Comma 10 2 3 2 4 2" xfId="10961" xr:uid="{00000000-0005-0000-0000-0000EF000000}"/>
    <cellStyle name="Comma 10 2 3 2 5" xfId="8225" xr:uid="{00000000-0005-0000-0000-0000F0000000}"/>
    <cellStyle name="Comma 10 2 3 3" xfId="1431" xr:uid="{00000000-0005-0000-0000-0000F1000000}"/>
    <cellStyle name="Comma 10 2 3 3 2" xfId="3170" xr:uid="{00000000-0005-0000-0000-0000F2000000}"/>
    <cellStyle name="Comma 10 2 3 3 2 2" xfId="3737" xr:uid="{00000000-0005-0000-0000-0000F3000000}"/>
    <cellStyle name="Comma 10 2 3 3 2 2 2" xfId="10966" xr:uid="{00000000-0005-0000-0000-0000F4000000}"/>
    <cellStyle name="Comma 10 2 3 3 2 3" xfId="10399" xr:uid="{00000000-0005-0000-0000-0000F5000000}"/>
    <cellStyle name="Comma 10 2 3 3 3" xfId="3736" xr:uid="{00000000-0005-0000-0000-0000F6000000}"/>
    <cellStyle name="Comma 10 2 3 3 3 2" xfId="10965" xr:uid="{00000000-0005-0000-0000-0000F7000000}"/>
    <cellStyle name="Comma 10 2 3 3 4" xfId="8661" xr:uid="{00000000-0005-0000-0000-0000F8000000}"/>
    <cellStyle name="Comma 10 2 3 4" xfId="2303" xr:uid="{00000000-0005-0000-0000-0000F9000000}"/>
    <cellStyle name="Comma 10 2 3 4 2" xfId="3738" xr:uid="{00000000-0005-0000-0000-0000FA000000}"/>
    <cellStyle name="Comma 10 2 3 4 2 2" xfId="10967" xr:uid="{00000000-0005-0000-0000-0000FB000000}"/>
    <cellStyle name="Comma 10 2 3 4 3" xfId="9532" xr:uid="{00000000-0005-0000-0000-0000FC000000}"/>
    <cellStyle name="Comma 10 2 3 5" xfId="3731" xr:uid="{00000000-0005-0000-0000-0000FD000000}"/>
    <cellStyle name="Comma 10 2 3 5 2" xfId="10960" xr:uid="{00000000-0005-0000-0000-0000FE000000}"/>
    <cellStyle name="Comma 10 2 3 6" xfId="7794" xr:uid="{00000000-0005-0000-0000-0000FF000000}"/>
    <cellStyle name="Comma 10 2 4" xfId="771" xr:uid="{00000000-0005-0000-0000-000000010000}"/>
    <cellStyle name="Comma 10 2 4 2" xfId="1644" xr:uid="{00000000-0005-0000-0000-000001010000}"/>
    <cellStyle name="Comma 10 2 4 2 2" xfId="3383" xr:uid="{00000000-0005-0000-0000-000002010000}"/>
    <cellStyle name="Comma 10 2 4 2 2 2" xfId="3741" xr:uid="{00000000-0005-0000-0000-000003010000}"/>
    <cellStyle name="Comma 10 2 4 2 2 2 2" xfId="10970" xr:uid="{00000000-0005-0000-0000-000004010000}"/>
    <cellStyle name="Comma 10 2 4 2 2 3" xfId="10612" xr:uid="{00000000-0005-0000-0000-000005010000}"/>
    <cellStyle name="Comma 10 2 4 2 3" xfId="3740" xr:uid="{00000000-0005-0000-0000-000006010000}"/>
    <cellStyle name="Comma 10 2 4 2 3 2" xfId="10969" xr:uid="{00000000-0005-0000-0000-000007010000}"/>
    <cellStyle name="Comma 10 2 4 2 4" xfId="8874" xr:uid="{00000000-0005-0000-0000-000008010000}"/>
    <cellStyle name="Comma 10 2 4 3" xfId="2516" xr:uid="{00000000-0005-0000-0000-000009010000}"/>
    <cellStyle name="Comma 10 2 4 3 2" xfId="3742" xr:uid="{00000000-0005-0000-0000-00000A010000}"/>
    <cellStyle name="Comma 10 2 4 3 2 2" xfId="10971" xr:uid="{00000000-0005-0000-0000-00000B010000}"/>
    <cellStyle name="Comma 10 2 4 3 3" xfId="9745" xr:uid="{00000000-0005-0000-0000-00000C010000}"/>
    <cellStyle name="Comma 10 2 4 4" xfId="3739" xr:uid="{00000000-0005-0000-0000-00000D010000}"/>
    <cellStyle name="Comma 10 2 4 4 2" xfId="10968" xr:uid="{00000000-0005-0000-0000-00000E010000}"/>
    <cellStyle name="Comma 10 2 4 5" xfId="8007" xr:uid="{00000000-0005-0000-0000-00000F010000}"/>
    <cellStyle name="Comma 10 2 5" xfId="1213" xr:uid="{00000000-0005-0000-0000-000010010000}"/>
    <cellStyle name="Comma 10 2 5 2" xfId="2952" xr:uid="{00000000-0005-0000-0000-000011010000}"/>
    <cellStyle name="Comma 10 2 5 2 2" xfId="3744" xr:uid="{00000000-0005-0000-0000-000012010000}"/>
    <cellStyle name="Comma 10 2 5 2 2 2" xfId="10973" xr:uid="{00000000-0005-0000-0000-000013010000}"/>
    <cellStyle name="Comma 10 2 5 2 3" xfId="10181" xr:uid="{00000000-0005-0000-0000-000014010000}"/>
    <cellStyle name="Comma 10 2 5 3" xfId="3743" xr:uid="{00000000-0005-0000-0000-000015010000}"/>
    <cellStyle name="Comma 10 2 5 3 2" xfId="10972" xr:uid="{00000000-0005-0000-0000-000016010000}"/>
    <cellStyle name="Comma 10 2 5 4" xfId="8443" xr:uid="{00000000-0005-0000-0000-000017010000}"/>
    <cellStyle name="Comma 10 2 6" xfId="2085" xr:uid="{00000000-0005-0000-0000-000018010000}"/>
    <cellStyle name="Comma 10 2 6 2" xfId="3745" xr:uid="{00000000-0005-0000-0000-000019010000}"/>
    <cellStyle name="Comma 10 2 6 2 2" xfId="10974" xr:uid="{00000000-0005-0000-0000-00001A010000}"/>
    <cellStyle name="Comma 10 2 6 3" xfId="9314" xr:uid="{00000000-0005-0000-0000-00001B010000}"/>
    <cellStyle name="Comma 10 2 7" xfId="3727" xr:uid="{00000000-0005-0000-0000-00001C010000}"/>
    <cellStyle name="Comma 10 2 7 2" xfId="10956" xr:uid="{00000000-0005-0000-0000-00001D010000}"/>
    <cellStyle name="Comma 10 2 8" xfId="7576" xr:uid="{00000000-0005-0000-0000-00001E010000}"/>
    <cellStyle name="Comma 10 3" xfId="447" xr:uid="{00000000-0005-0000-0000-00001F010000}"/>
    <cellStyle name="Comma 10 3 2" xfId="893" xr:uid="{00000000-0005-0000-0000-000020010000}"/>
    <cellStyle name="Comma 10 3 2 2" xfId="1760" xr:uid="{00000000-0005-0000-0000-000021010000}"/>
    <cellStyle name="Comma 10 3 2 2 2" xfId="3499" xr:uid="{00000000-0005-0000-0000-000022010000}"/>
    <cellStyle name="Comma 10 3 2 2 2 2" xfId="3749" xr:uid="{00000000-0005-0000-0000-000023010000}"/>
    <cellStyle name="Comma 10 3 2 2 2 2 2" xfId="10978" xr:uid="{00000000-0005-0000-0000-000024010000}"/>
    <cellStyle name="Comma 10 3 2 2 2 3" xfId="10728" xr:uid="{00000000-0005-0000-0000-000025010000}"/>
    <cellStyle name="Comma 10 3 2 2 3" xfId="3748" xr:uid="{00000000-0005-0000-0000-000026010000}"/>
    <cellStyle name="Comma 10 3 2 2 3 2" xfId="10977" xr:uid="{00000000-0005-0000-0000-000027010000}"/>
    <cellStyle name="Comma 10 3 2 2 4" xfId="8990" xr:uid="{00000000-0005-0000-0000-000028010000}"/>
    <cellStyle name="Comma 10 3 2 3" xfId="2632" xr:uid="{00000000-0005-0000-0000-000029010000}"/>
    <cellStyle name="Comma 10 3 2 3 2" xfId="3750" xr:uid="{00000000-0005-0000-0000-00002A010000}"/>
    <cellStyle name="Comma 10 3 2 3 2 2" xfId="10979" xr:uid="{00000000-0005-0000-0000-00002B010000}"/>
    <cellStyle name="Comma 10 3 2 3 3" xfId="9861" xr:uid="{00000000-0005-0000-0000-00002C010000}"/>
    <cellStyle name="Comma 10 3 2 4" xfId="3747" xr:uid="{00000000-0005-0000-0000-00002D010000}"/>
    <cellStyle name="Comma 10 3 2 4 2" xfId="10976" xr:uid="{00000000-0005-0000-0000-00002E010000}"/>
    <cellStyle name="Comma 10 3 2 5" xfId="8123" xr:uid="{00000000-0005-0000-0000-00002F010000}"/>
    <cellStyle name="Comma 10 3 3" xfId="1329" xr:uid="{00000000-0005-0000-0000-000030010000}"/>
    <cellStyle name="Comma 10 3 3 2" xfId="3068" xr:uid="{00000000-0005-0000-0000-000031010000}"/>
    <cellStyle name="Comma 10 3 3 2 2" xfId="3752" xr:uid="{00000000-0005-0000-0000-000032010000}"/>
    <cellStyle name="Comma 10 3 3 2 2 2" xfId="10981" xr:uid="{00000000-0005-0000-0000-000033010000}"/>
    <cellStyle name="Comma 10 3 3 2 3" xfId="10297" xr:uid="{00000000-0005-0000-0000-000034010000}"/>
    <cellStyle name="Comma 10 3 3 3" xfId="3751" xr:uid="{00000000-0005-0000-0000-000035010000}"/>
    <cellStyle name="Comma 10 3 3 3 2" xfId="10980" xr:uid="{00000000-0005-0000-0000-000036010000}"/>
    <cellStyle name="Comma 10 3 3 4" xfId="8559" xr:uid="{00000000-0005-0000-0000-000037010000}"/>
    <cellStyle name="Comma 10 3 4" xfId="2201" xr:uid="{00000000-0005-0000-0000-000038010000}"/>
    <cellStyle name="Comma 10 3 4 2" xfId="3753" xr:uid="{00000000-0005-0000-0000-000039010000}"/>
    <cellStyle name="Comma 10 3 4 2 2" xfId="10982" xr:uid="{00000000-0005-0000-0000-00003A010000}"/>
    <cellStyle name="Comma 10 3 4 3" xfId="9430" xr:uid="{00000000-0005-0000-0000-00003B010000}"/>
    <cellStyle name="Comma 10 3 5" xfId="3746" xr:uid="{00000000-0005-0000-0000-00003C010000}"/>
    <cellStyle name="Comma 10 3 5 2" xfId="10975" xr:uid="{00000000-0005-0000-0000-00003D010000}"/>
    <cellStyle name="Comma 10 3 6" xfId="7692" xr:uid="{00000000-0005-0000-0000-00003E010000}"/>
    <cellStyle name="Comma 10 4" xfId="666" xr:uid="{00000000-0005-0000-0000-00003F010000}"/>
    <cellStyle name="Comma 10 4 2" xfId="1542" xr:uid="{00000000-0005-0000-0000-000040010000}"/>
    <cellStyle name="Comma 10 4 2 2" xfId="3281" xr:uid="{00000000-0005-0000-0000-000041010000}"/>
    <cellStyle name="Comma 10 4 2 2 2" xfId="3756" xr:uid="{00000000-0005-0000-0000-000042010000}"/>
    <cellStyle name="Comma 10 4 2 2 2 2" xfId="10985" xr:uid="{00000000-0005-0000-0000-000043010000}"/>
    <cellStyle name="Comma 10 4 2 2 3" xfId="10510" xr:uid="{00000000-0005-0000-0000-000044010000}"/>
    <cellStyle name="Comma 10 4 2 3" xfId="3755" xr:uid="{00000000-0005-0000-0000-000045010000}"/>
    <cellStyle name="Comma 10 4 2 3 2" xfId="10984" xr:uid="{00000000-0005-0000-0000-000046010000}"/>
    <cellStyle name="Comma 10 4 2 4" xfId="8772" xr:uid="{00000000-0005-0000-0000-000047010000}"/>
    <cellStyle name="Comma 10 4 3" xfId="2414" xr:uid="{00000000-0005-0000-0000-000048010000}"/>
    <cellStyle name="Comma 10 4 3 2" xfId="3757" xr:uid="{00000000-0005-0000-0000-000049010000}"/>
    <cellStyle name="Comma 10 4 3 2 2" xfId="10986" xr:uid="{00000000-0005-0000-0000-00004A010000}"/>
    <cellStyle name="Comma 10 4 3 3" xfId="9643" xr:uid="{00000000-0005-0000-0000-00004B010000}"/>
    <cellStyle name="Comma 10 4 4" xfId="3754" xr:uid="{00000000-0005-0000-0000-00004C010000}"/>
    <cellStyle name="Comma 10 4 4 2" xfId="10983" xr:uid="{00000000-0005-0000-0000-00004D010000}"/>
    <cellStyle name="Comma 10 4 5" xfId="7905" xr:uid="{00000000-0005-0000-0000-00004E010000}"/>
    <cellStyle name="Comma 10 5" xfId="1111" xr:uid="{00000000-0005-0000-0000-00004F010000}"/>
    <cellStyle name="Comma 10 5 2" xfId="2850" xr:uid="{00000000-0005-0000-0000-000050010000}"/>
    <cellStyle name="Comma 10 5 2 2" xfId="3759" xr:uid="{00000000-0005-0000-0000-000051010000}"/>
    <cellStyle name="Comma 10 5 2 2 2" xfId="10988" xr:uid="{00000000-0005-0000-0000-000052010000}"/>
    <cellStyle name="Comma 10 5 2 3" xfId="10079" xr:uid="{00000000-0005-0000-0000-000053010000}"/>
    <cellStyle name="Comma 10 5 3" xfId="3758" xr:uid="{00000000-0005-0000-0000-000054010000}"/>
    <cellStyle name="Comma 10 5 3 2" xfId="10987" xr:uid="{00000000-0005-0000-0000-000055010000}"/>
    <cellStyle name="Comma 10 5 4" xfId="8341" xr:uid="{00000000-0005-0000-0000-000056010000}"/>
    <cellStyle name="Comma 10 6" xfId="1983" xr:uid="{00000000-0005-0000-0000-000057010000}"/>
    <cellStyle name="Comma 10 6 2" xfId="3760" xr:uid="{00000000-0005-0000-0000-000058010000}"/>
    <cellStyle name="Comma 10 6 2 2" xfId="10989" xr:uid="{00000000-0005-0000-0000-000059010000}"/>
    <cellStyle name="Comma 10 6 3" xfId="9212" xr:uid="{00000000-0005-0000-0000-00005A010000}"/>
    <cellStyle name="Comma 10 7" xfId="3726" xr:uid="{00000000-0005-0000-0000-00005B010000}"/>
    <cellStyle name="Comma 10 7 2" xfId="10955" xr:uid="{00000000-0005-0000-0000-00005C010000}"/>
    <cellStyle name="Comma 10 8" xfId="7472" xr:uid="{00000000-0005-0000-0000-00005D010000}"/>
    <cellStyle name="Comma 11" xfId="171" xr:uid="{00000000-0005-0000-0000-00005E010000}"/>
    <cellStyle name="Comma 11 2" xfId="324" xr:uid="{00000000-0005-0000-0000-00005F010000}"/>
    <cellStyle name="Comma 11 2 2" xfId="550" xr:uid="{00000000-0005-0000-0000-000060010000}"/>
    <cellStyle name="Comma 11 2 2 2" xfId="996" xr:uid="{00000000-0005-0000-0000-000061010000}"/>
    <cellStyle name="Comma 11 2 2 2 2" xfId="1863" xr:uid="{00000000-0005-0000-0000-000062010000}"/>
    <cellStyle name="Comma 11 2 2 2 2 2" xfId="3602" xr:uid="{00000000-0005-0000-0000-000063010000}"/>
    <cellStyle name="Comma 11 2 2 2 2 2 2" xfId="3766" xr:uid="{00000000-0005-0000-0000-000064010000}"/>
    <cellStyle name="Comma 11 2 2 2 2 2 2 2" xfId="10995" xr:uid="{00000000-0005-0000-0000-000065010000}"/>
    <cellStyle name="Comma 11 2 2 2 2 2 3" xfId="10831" xr:uid="{00000000-0005-0000-0000-000066010000}"/>
    <cellStyle name="Comma 11 2 2 2 2 3" xfId="3765" xr:uid="{00000000-0005-0000-0000-000067010000}"/>
    <cellStyle name="Comma 11 2 2 2 2 3 2" xfId="10994" xr:uid="{00000000-0005-0000-0000-000068010000}"/>
    <cellStyle name="Comma 11 2 2 2 2 4" xfId="9093" xr:uid="{00000000-0005-0000-0000-000069010000}"/>
    <cellStyle name="Comma 11 2 2 2 3" xfId="2735" xr:uid="{00000000-0005-0000-0000-00006A010000}"/>
    <cellStyle name="Comma 11 2 2 2 3 2" xfId="3767" xr:uid="{00000000-0005-0000-0000-00006B010000}"/>
    <cellStyle name="Comma 11 2 2 2 3 2 2" xfId="10996" xr:uid="{00000000-0005-0000-0000-00006C010000}"/>
    <cellStyle name="Comma 11 2 2 2 3 3" xfId="9964" xr:uid="{00000000-0005-0000-0000-00006D010000}"/>
    <cellStyle name="Comma 11 2 2 2 4" xfId="3764" xr:uid="{00000000-0005-0000-0000-00006E010000}"/>
    <cellStyle name="Comma 11 2 2 2 4 2" xfId="10993" xr:uid="{00000000-0005-0000-0000-00006F010000}"/>
    <cellStyle name="Comma 11 2 2 2 5" xfId="8226" xr:uid="{00000000-0005-0000-0000-000070010000}"/>
    <cellStyle name="Comma 11 2 2 3" xfId="1432" xr:uid="{00000000-0005-0000-0000-000071010000}"/>
    <cellStyle name="Comma 11 2 2 3 2" xfId="3171" xr:uid="{00000000-0005-0000-0000-000072010000}"/>
    <cellStyle name="Comma 11 2 2 3 2 2" xfId="3769" xr:uid="{00000000-0005-0000-0000-000073010000}"/>
    <cellStyle name="Comma 11 2 2 3 2 2 2" xfId="10998" xr:uid="{00000000-0005-0000-0000-000074010000}"/>
    <cellStyle name="Comma 11 2 2 3 2 3" xfId="10400" xr:uid="{00000000-0005-0000-0000-000075010000}"/>
    <cellStyle name="Comma 11 2 2 3 3" xfId="3768" xr:uid="{00000000-0005-0000-0000-000076010000}"/>
    <cellStyle name="Comma 11 2 2 3 3 2" xfId="10997" xr:uid="{00000000-0005-0000-0000-000077010000}"/>
    <cellStyle name="Comma 11 2 2 3 4" xfId="8662" xr:uid="{00000000-0005-0000-0000-000078010000}"/>
    <cellStyle name="Comma 11 2 2 4" xfId="2304" xr:uid="{00000000-0005-0000-0000-000079010000}"/>
    <cellStyle name="Comma 11 2 2 4 2" xfId="3770" xr:uid="{00000000-0005-0000-0000-00007A010000}"/>
    <cellStyle name="Comma 11 2 2 4 2 2" xfId="10999" xr:uid="{00000000-0005-0000-0000-00007B010000}"/>
    <cellStyle name="Comma 11 2 2 4 3" xfId="9533" xr:uid="{00000000-0005-0000-0000-00007C010000}"/>
    <cellStyle name="Comma 11 2 2 5" xfId="3763" xr:uid="{00000000-0005-0000-0000-00007D010000}"/>
    <cellStyle name="Comma 11 2 2 5 2" xfId="10992" xr:uid="{00000000-0005-0000-0000-00007E010000}"/>
    <cellStyle name="Comma 11 2 2 6" xfId="7795" xr:uid="{00000000-0005-0000-0000-00007F010000}"/>
    <cellStyle name="Comma 11 2 3" xfId="772" xr:uid="{00000000-0005-0000-0000-000080010000}"/>
    <cellStyle name="Comma 11 2 3 2" xfId="1645" xr:uid="{00000000-0005-0000-0000-000081010000}"/>
    <cellStyle name="Comma 11 2 3 2 2" xfId="3384" xr:uid="{00000000-0005-0000-0000-000082010000}"/>
    <cellStyle name="Comma 11 2 3 2 2 2" xfId="3773" xr:uid="{00000000-0005-0000-0000-000083010000}"/>
    <cellStyle name="Comma 11 2 3 2 2 2 2" xfId="11002" xr:uid="{00000000-0005-0000-0000-000084010000}"/>
    <cellStyle name="Comma 11 2 3 2 2 3" xfId="10613" xr:uid="{00000000-0005-0000-0000-000085010000}"/>
    <cellStyle name="Comma 11 2 3 2 3" xfId="3772" xr:uid="{00000000-0005-0000-0000-000086010000}"/>
    <cellStyle name="Comma 11 2 3 2 3 2" xfId="11001" xr:uid="{00000000-0005-0000-0000-000087010000}"/>
    <cellStyle name="Comma 11 2 3 2 4" xfId="8875" xr:uid="{00000000-0005-0000-0000-000088010000}"/>
    <cellStyle name="Comma 11 2 3 3" xfId="2517" xr:uid="{00000000-0005-0000-0000-000089010000}"/>
    <cellStyle name="Comma 11 2 3 3 2" xfId="3774" xr:uid="{00000000-0005-0000-0000-00008A010000}"/>
    <cellStyle name="Comma 11 2 3 3 2 2" xfId="11003" xr:uid="{00000000-0005-0000-0000-00008B010000}"/>
    <cellStyle name="Comma 11 2 3 3 3" xfId="9746" xr:uid="{00000000-0005-0000-0000-00008C010000}"/>
    <cellStyle name="Comma 11 2 3 4" xfId="3771" xr:uid="{00000000-0005-0000-0000-00008D010000}"/>
    <cellStyle name="Comma 11 2 3 4 2" xfId="11000" xr:uid="{00000000-0005-0000-0000-00008E010000}"/>
    <cellStyle name="Comma 11 2 3 5" xfId="8008" xr:uid="{00000000-0005-0000-0000-00008F010000}"/>
    <cellStyle name="Comma 11 2 4" xfId="1214" xr:uid="{00000000-0005-0000-0000-000090010000}"/>
    <cellStyle name="Comma 11 2 4 2" xfId="2953" xr:uid="{00000000-0005-0000-0000-000091010000}"/>
    <cellStyle name="Comma 11 2 4 2 2" xfId="3776" xr:uid="{00000000-0005-0000-0000-000092010000}"/>
    <cellStyle name="Comma 11 2 4 2 2 2" xfId="11005" xr:uid="{00000000-0005-0000-0000-000093010000}"/>
    <cellStyle name="Comma 11 2 4 2 3" xfId="10182" xr:uid="{00000000-0005-0000-0000-000094010000}"/>
    <cellStyle name="Comma 11 2 4 3" xfId="3775" xr:uid="{00000000-0005-0000-0000-000095010000}"/>
    <cellStyle name="Comma 11 2 4 3 2" xfId="11004" xr:uid="{00000000-0005-0000-0000-000096010000}"/>
    <cellStyle name="Comma 11 2 4 4" xfId="8444" xr:uid="{00000000-0005-0000-0000-000097010000}"/>
    <cellStyle name="Comma 11 2 5" xfId="2086" xr:uid="{00000000-0005-0000-0000-000098010000}"/>
    <cellStyle name="Comma 11 2 5 2" xfId="3777" xr:uid="{00000000-0005-0000-0000-000099010000}"/>
    <cellStyle name="Comma 11 2 5 2 2" xfId="11006" xr:uid="{00000000-0005-0000-0000-00009A010000}"/>
    <cellStyle name="Comma 11 2 5 3" xfId="9315" xr:uid="{00000000-0005-0000-0000-00009B010000}"/>
    <cellStyle name="Comma 11 2 6" xfId="3762" xr:uid="{00000000-0005-0000-0000-00009C010000}"/>
    <cellStyle name="Comma 11 2 6 2" xfId="10991" xr:uid="{00000000-0005-0000-0000-00009D010000}"/>
    <cellStyle name="Comma 11 2 7" xfId="7577" xr:uid="{00000000-0005-0000-0000-00009E010000}"/>
    <cellStyle name="Comma 11 3" xfId="448" xr:uid="{00000000-0005-0000-0000-00009F010000}"/>
    <cellStyle name="Comma 11 3 2" xfId="894" xr:uid="{00000000-0005-0000-0000-0000A0010000}"/>
    <cellStyle name="Comma 11 3 2 2" xfId="1761" xr:uid="{00000000-0005-0000-0000-0000A1010000}"/>
    <cellStyle name="Comma 11 3 2 2 2" xfId="3500" xr:uid="{00000000-0005-0000-0000-0000A2010000}"/>
    <cellStyle name="Comma 11 3 2 2 2 2" xfId="3781" xr:uid="{00000000-0005-0000-0000-0000A3010000}"/>
    <cellStyle name="Comma 11 3 2 2 2 2 2" xfId="11010" xr:uid="{00000000-0005-0000-0000-0000A4010000}"/>
    <cellStyle name="Comma 11 3 2 2 2 3" xfId="10729" xr:uid="{00000000-0005-0000-0000-0000A5010000}"/>
    <cellStyle name="Comma 11 3 2 2 3" xfId="3780" xr:uid="{00000000-0005-0000-0000-0000A6010000}"/>
    <cellStyle name="Comma 11 3 2 2 3 2" xfId="11009" xr:uid="{00000000-0005-0000-0000-0000A7010000}"/>
    <cellStyle name="Comma 11 3 2 2 4" xfId="8991" xr:uid="{00000000-0005-0000-0000-0000A8010000}"/>
    <cellStyle name="Comma 11 3 2 3" xfId="2633" xr:uid="{00000000-0005-0000-0000-0000A9010000}"/>
    <cellStyle name="Comma 11 3 2 3 2" xfId="3782" xr:uid="{00000000-0005-0000-0000-0000AA010000}"/>
    <cellStyle name="Comma 11 3 2 3 2 2" xfId="11011" xr:uid="{00000000-0005-0000-0000-0000AB010000}"/>
    <cellStyle name="Comma 11 3 2 3 3" xfId="9862" xr:uid="{00000000-0005-0000-0000-0000AC010000}"/>
    <cellStyle name="Comma 11 3 2 4" xfId="3779" xr:uid="{00000000-0005-0000-0000-0000AD010000}"/>
    <cellStyle name="Comma 11 3 2 4 2" xfId="11008" xr:uid="{00000000-0005-0000-0000-0000AE010000}"/>
    <cellStyle name="Comma 11 3 2 5" xfId="8124" xr:uid="{00000000-0005-0000-0000-0000AF010000}"/>
    <cellStyle name="Comma 11 3 3" xfId="1330" xr:uid="{00000000-0005-0000-0000-0000B0010000}"/>
    <cellStyle name="Comma 11 3 3 2" xfId="3069" xr:uid="{00000000-0005-0000-0000-0000B1010000}"/>
    <cellStyle name="Comma 11 3 3 2 2" xfId="3784" xr:uid="{00000000-0005-0000-0000-0000B2010000}"/>
    <cellStyle name="Comma 11 3 3 2 2 2" xfId="11013" xr:uid="{00000000-0005-0000-0000-0000B3010000}"/>
    <cellStyle name="Comma 11 3 3 2 3" xfId="10298" xr:uid="{00000000-0005-0000-0000-0000B4010000}"/>
    <cellStyle name="Comma 11 3 3 3" xfId="3783" xr:uid="{00000000-0005-0000-0000-0000B5010000}"/>
    <cellStyle name="Comma 11 3 3 3 2" xfId="11012" xr:uid="{00000000-0005-0000-0000-0000B6010000}"/>
    <cellStyle name="Comma 11 3 3 4" xfId="8560" xr:uid="{00000000-0005-0000-0000-0000B7010000}"/>
    <cellStyle name="Comma 11 3 4" xfId="2202" xr:uid="{00000000-0005-0000-0000-0000B8010000}"/>
    <cellStyle name="Comma 11 3 4 2" xfId="3785" xr:uid="{00000000-0005-0000-0000-0000B9010000}"/>
    <cellStyle name="Comma 11 3 4 2 2" xfId="11014" xr:uid="{00000000-0005-0000-0000-0000BA010000}"/>
    <cellStyle name="Comma 11 3 4 3" xfId="9431" xr:uid="{00000000-0005-0000-0000-0000BB010000}"/>
    <cellStyle name="Comma 11 3 5" xfId="3778" xr:uid="{00000000-0005-0000-0000-0000BC010000}"/>
    <cellStyle name="Comma 11 3 5 2" xfId="11007" xr:uid="{00000000-0005-0000-0000-0000BD010000}"/>
    <cellStyle name="Comma 11 3 6" xfId="7693" xr:uid="{00000000-0005-0000-0000-0000BE010000}"/>
    <cellStyle name="Comma 11 4" xfId="667" xr:uid="{00000000-0005-0000-0000-0000BF010000}"/>
    <cellStyle name="Comma 11 4 2" xfId="1543" xr:uid="{00000000-0005-0000-0000-0000C0010000}"/>
    <cellStyle name="Comma 11 4 2 2" xfId="3282" xr:uid="{00000000-0005-0000-0000-0000C1010000}"/>
    <cellStyle name="Comma 11 4 2 2 2" xfId="3788" xr:uid="{00000000-0005-0000-0000-0000C2010000}"/>
    <cellStyle name="Comma 11 4 2 2 2 2" xfId="11017" xr:uid="{00000000-0005-0000-0000-0000C3010000}"/>
    <cellStyle name="Comma 11 4 2 2 3" xfId="10511" xr:uid="{00000000-0005-0000-0000-0000C4010000}"/>
    <cellStyle name="Comma 11 4 2 3" xfId="3787" xr:uid="{00000000-0005-0000-0000-0000C5010000}"/>
    <cellStyle name="Comma 11 4 2 3 2" xfId="11016" xr:uid="{00000000-0005-0000-0000-0000C6010000}"/>
    <cellStyle name="Comma 11 4 2 4" xfId="8773" xr:uid="{00000000-0005-0000-0000-0000C7010000}"/>
    <cellStyle name="Comma 11 4 3" xfId="2415" xr:uid="{00000000-0005-0000-0000-0000C8010000}"/>
    <cellStyle name="Comma 11 4 3 2" xfId="3789" xr:uid="{00000000-0005-0000-0000-0000C9010000}"/>
    <cellStyle name="Comma 11 4 3 2 2" xfId="11018" xr:uid="{00000000-0005-0000-0000-0000CA010000}"/>
    <cellStyle name="Comma 11 4 3 3" xfId="9644" xr:uid="{00000000-0005-0000-0000-0000CB010000}"/>
    <cellStyle name="Comma 11 4 4" xfId="3786" xr:uid="{00000000-0005-0000-0000-0000CC010000}"/>
    <cellStyle name="Comma 11 4 4 2" xfId="11015" xr:uid="{00000000-0005-0000-0000-0000CD010000}"/>
    <cellStyle name="Comma 11 4 5" xfId="7906" xr:uid="{00000000-0005-0000-0000-0000CE010000}"/>
    <cellStyle name="Comma 11 5" xfId="1112" xr:uid="{00000000-0005-0000-0000-0000CF010000}"/>
    <cellStyle name="Comma 11 5 2" xfId="2851" xr:uid="{00000000-0005-0000-0000-0000D0010000}"/>
    <cellStyle name="Comma 11 5 2 2" xfId="3791" xr:uid="{00000000-0005-0000-0000-0000D1010000}"/>
    <cellStyle name="Comma 11 5 2 2 2" xfId="11020" xr:uid="{00000000-0005-0000-0000-0000D2010000}"/>
    <cellStyle name="Comma 11 5 2 3" xfId="10080" xr:uid="{00000000-0005-0000-0000-0000D3010000}"/>
    <cellStyle name="Comma 11 5 3" xfId="3790" xr:uid="{00000000-0005-0000-0000-0000D4010000}"/>
    <cellStyle name="Comma 11 5 3 2" xfId="11019" xr:uid="{00000000-0005-0000-0000-0000D5010000}"/>
    <cellStyle name="Comma 11 5 4" xfId="8342" xr:uid="{00000000-0005-0000-0000-0000D6010000}"/>
    <cellStyle name="Comma 11 6" xfId="1984" xr:uid="{00000000-0005-0000-0000-0000D7010000}"/>
    <cellStyle name="Comma 11 6 2" xfId="3792" xr:uid="{00000000-0005-0000-0000-0000D8010000}"/>
    <cellStyle name="Comma 11 6 2 2" xfId="11021" xr:uid="{00000000-0005-0000-0000-0000D9010000}"/>
    <cellStyle name="Comma 11 6 3" xfId="9213" xr:uid="{00000000-0005-0000-0000-0000DA010000}"/>
    <cellStyle name="Comma 11 7" xfId="3761" xr:uid="{00000000-0005-0000-0000-0000DB010000}"/>
    <cellStyle name="Comma 11 7 2" xfId="10990" xr:uid="{00000000-0005-0000-0000-0000DC010000}"/>
    <cellStyle name="Comma 11 8" xfId="7473" xr:uid="{00000000-0005-0000-0000-0000DD010000}"/>
    <cellStyle name="Comma 12" xfId="366" xr:uid="{00000000-0005-0000-0000-0000DE010000}"/>
    <cellStyle name="Comma 12 2" xfId="814" xr:uid="{00000000-0005-0000-0000-0000DF010000}"/>
    <cellStyle name="Comma 12 2 2" xfId="3794" xr:uid="{00000000-0005-0000-0000-0000E0010000}"/>
    <cellStyle name="Comma 12 2 2 2" xfId="11023" xr:uid="{00000000-0005-0000-0000-0000E1010000}"/>
    <cellStyle name="Comma 12 3" xfId="3793" xr:uid="{00000000-0005-0000-0000-0000E2010000}"/>
    <cellStyle name="Comma 12 3 2" xfId="11022" xr:uid="{00000000-0005-0000-0000-0000E3010000}"/>
    <cellStyle name="Comma 13" xfId="386" xr:uid="{00000000-0005-0000-0000-0000E4010000}"/>
    <cellStyle name="Comma 13 2" xfId="832" xr:uid="{00000000-0005-0000-0000-0000E5010000}"/>
    <cellStyle name="Comma 13 2 2" xfId="1699" xr:uid="{00000000-0005-0000-0000-0000E6010000}"/>
    <cellStyle name="Comma 13 2 2 2" xfId="3438" xr:uid="{00000000-0005-0000-0000-0000E7010000}"/>
    <cellStyle name="Comma 13 2 2 2 2" xfId="3798" xr:uid="{00000000-0005-0000-0000-0000E8010000}"/>
    <cellStyle name="Comma 13 2 2 2 2 2" xfId="11027" xr:uid="{00000000-0005-0000-0000-0000E9010000}"/>
    <cellStyle name="Comma 13 2 2 2 3" xfId="10667" xr:uid="{00000000-0005-0000-0000-0000EA010000}"/>
    <cellStyle name="Comma 13 2 2 3" xfId="3797" xr:uid="{00000000-0005-0000-0000-0000EB010000}"/>
    <cellStyle name="Comma 13 2 2 3 2" xfId="11026" xr:uid="{00000000-0005-0000-0000-0000EC010000}"/>
    <cellStyle name="Comma 13 2 2 4" xfId="8929" xr:uid="{00000000-0005-0000-0000-0000ED010000}"/>
    <cellStyle name="Comma 13 2 3" xfId="2571" xr:uid="{00000000-0005-0000-0000-0000EE010000}"/>
    <cellStyle name="Comma 13 2 3 2" xfId="3799" xr:uid="{00000000-0005-0000-0000-0000EF010000}"/>
    <cellStyle name="Comma 13 2 3 2 2" xfId="11028" xr:uid="{00000000-0005-0000-0000-0000F0010000}"/>
    <cellStyle name="Comma 13 2 3 3" xfId="9800" xr:uid="{00000000-0005-0000-0000-0000F1010000}"/>
    <cellStyle name="Comma 13 2 4" xfId="3796" xr:uid="{00000000-0005-0000-0000-0000F2010000}"/>
    <cellStyle name="Comma 13 2 4 2" xfId="11025" xr:uid="{00000000-0005-0000-0000-0000F3010000}"/>
    <cellStyle name="Comma 13 2 5" xfId="8062" xr:uid="{00000000-0005-0000-0000-0000F4010000}"/>
    <cellStyle name="Comma 13 3" xfId="1268" xr:uid="{00000000-0005-0000-0000-0000F5010000}"/>
    <cellStyle name="Comma 13 3 2" xfId="3007" xr:uid="{00000000-0005-0000-0000-0000F6010000}"/>
    <cellStyle name="Comma 13 3 2 2" xfId="3801" xr:uid="{00000000-0005-0000-0000-0000F7010000}"/>
    <cellStyle name="Comma 13 3 2 2 2" xfId="11030" xr:uid="{00000000-0005-0000-0000-0000F8010000}"/>
    <cellStyle name="Comma 13 3 2 3" xfId="10236" xr:uid="{00000000-0005-0000-0000-0000F9010000}"/>
    <cellStyle name="Comma 13 3 3" xfId="3800" xr:uid="{00000000-0005-0000-0000-0000FA010000}"/>
    <cellStyle name="Comma 13 3 3 2" xfId="11029" xr:uid="{00000000-0005-0000-0000-0000FB010000}"/>
    <cellStyle name="Comma 13 3 4" xfId="8498" xr:uid="{00000000-0005-0000-0000-0000FC010000}"/>
    <cellStyle name="Comma 13 4" xfId="2140" xr:uid="{00000000-0005-0000-0000-0000FD010000}"/>
    <cellStyle name="Comma 13 4 2" xfId="3802" xr:uid="{00000000-0005-0000-0000-0000FE010000}"/>
    <cellStyle name="Comma 13 4 2 2" xfId="11031" xr:uid="{00000000-0005-0000-0000-0000FF010000}"/>
    <cellStyle name="Comma 13 4 3" xfId="9369" xr:uid="{00000000-0005-0000-0000-000000020000}"/>
    <cellStyle name="Comma 13 5" xfId="3795" xr:uid="{00000000-0005-0000-0000-000001020000}"/>
    <cellStyle name="Comma 13 5 2" xfId="11024" xr:uid="{00000000-0005-0000-0000-000002020000}"/>
    <cellStyle name="Comma 13 6" xfId="7631" xr:uid="{00000000-0005-0000-0000-000003020000}"/>
    <cellStyle name="Comma 14" xfId="601" xr:uid="{00000000-0005-0000-0000-000004020000}"/>
    <cellStyle name="Comma 14 2" xfId="3803" xr:uid="{00000000-0005-0000-0000-000005020000}"/>
    <cellStyle name="Comma 14 2 2" xfId="11032" xr:uid="{00000000-0005-0000-0000-000006020000}"/>
    <cellStyle name="Comma 15" xfId="597" xr:uid="{00000000-0005-0000-0000-000007020000}"/>
    <cellStyle name="Comma 15 2" xfId="1479" xr:uid="{00000000-0005-0000-0000-000008020000}"/>
    <cellStyle name="Comma 15 2 2" xfId="3218" xr:uid="{00000000-0005-0000-0000-000009020000}"/>
    <cellStyle name="Comma 15 2 2 2" xfId="3806" xr:uid="{00000000-0005-0000-0000-00000A020000}"/>
    <cellStyle name="Comma 15 2 2 2 2" xfId="11035" xr:uid="{00000000-0005-0000-0000-00000B020000}"/>
    <cellStyle name="Comma 15 2 2 3" xfId="10447" xr:uid="{00000000-0005-0000-0000-00000C020000}"/>
    <cellStyle name="Comma 15 2 3" xfId="3805" xr:uid="{00000000-0005-0000-0000-00000D020000}"/>
    <cellStyle name="Comma 15 2 3 2" xfId="11034" xr:uid="{00000000-0005-0000-0000-00000E020000}"/>
    <cellStyle name="Comma 15 2 4" xfId="8709" xr:uid="{00000000-0005-0000-0000-00000F020000}"/>
    <cellStyle name="Comma 15 3" xfId="2351" xr:uid="{00000000-0005-0000-0000-000010020000}"/>
    <cellStyle name="Comma 15 3 2" xfId="3807" xr:uid="{00000000-0005-0000-0000-000011020000}"/>
    <cellStyle name="Comma 15 3 2 2" xfId="11036" xr:uid="{00000000-0005-0000-0000-000012020000}"/>
    <cellStyle name="Comma 15 3 3" xfId="9580" xr:uid="{00000000-0005-0000-0000-000013020000}"/>
    <cellStyle name="Comma 15 4" xfId="3804" xr:uid="{00000000-0005-0000-0000-000014020000}"/>
    <cellStyle name="Comma 15 4 2" xfId="11033" xr:uid="{00000000-0005-0000-0000-000015020000}"/>
    <cellStyle name="Comma 15 5" xfId="7842" xr:uid="{00000000-0005-0000-0000-000016020000}"/>
    <cellStyle name="Comma 16" xfId="1919" xr:uid="{00000000-0005-0000-0000-000017020000}"/>
    <cellStyle name="Comma 16 2" xfId="3658" xr:uid="{00000000-0005-0000-0000-000018020000}"/>
    <cellStyle name="Comma 16 2 2" xfId="3809" xr:uid="{00000000-0005-0000-0000-000019020000}"/>
    <cellStyle name="Comma 16 2 2 2" xfId="11038" xr:uid="{00000000-0005-0000-0000-00001A020000}"/>
    <cellStyle name="Comma 16 2 3" xfId="10887" xr:uid="{00000000-0005-0000-0000-00001B020000}"/>
    <cellStyle name="Comma 16 3" xfId="3808" xr:uid="{00000000-0005-0000-0000-00001C020000}"/>
    <cellStyle name="Comma 16 3 2" xfId="11037" xr:uid="{00000000-0005-0000-0000-00001D020000}"/>
    <cellStyle name="Comma 16 4" xfId="9149" xr:uid="{00000000-0005-0000-0000-00001E020000}"/>
    <cellStyle name="Comma 17" xfId="3662" xr:uid="{00000000-0005-0000-0000-00001F020000}"/>
    <cellStyle name="Comma 17 2" xfId="3810" xr:uid="{00000000-0005-0000-0000-000020020000}"/>
    <cellStyle name="Comma 17 2 2" xfId="11039" xr:uid="{00000000-0005-0000-0000-000021020000}"/>
    <cellStyle name="Comma 17 3" xfId="10891" xr:uid="{00000000-0005-0000-0000-000022020000}"/>
    <cellStyle name="Comma 18" xfId="3666" xr:uid="{00000000-0005-0000-0000-000023020000}"/>
    <cellStyle name="Comma 18 2" xfId="3811" xr:uid="{00000000-0005-0000-0000-000024020000}"/>
    <cellStyle name="Comma 18 2 2" xfId="11040" xr:uid="{00000000-0005-0000-0000-000025020000}"/>
    <cellStyle name="Comma 18 3" xfId="10895" xr:uid="{00000000-0005-0000-0000-000026020000}"/>
    <cellStyle name="Comma 19" xfId="3670" xr:uid="{00000000-0005-0000-0000-000027020000}"/>
    <cellStyle name="Comma 19 2" xfId="10899" xr:uid="{00000000-0005-0000-0000-000028020000}"/>
    <cellStyle name="Comma 2" xfId="2" xr:uid="{00000000-0005-0000-0000-000029020000}"/>
    <cellStyle name="Comma 2 10" xfId="3812" xr:uid="{00000000-0005-0000-0000-00002A020000}"/>
    <cellStyle name="Comma 2 10 2" xfId="11041" xr:uid="{00000000-0005-0000-0000-00002B020000}"/>
    <cellStyle name="Comma 2 2" xfId="3" xr:uid="{00000000-0005-0000-0000-00002C020000}"/>
    <cellStyle name="Comma 2 2 2" xfId="172" xr:uid="{00000000-0005-0000-0000-00002D020000}"/>
    <cellStyle name="Comma 2 2 2 2" xfId="3814" xr:uid="{00000000-0005-0000-0000-00002E020000}"/>
    <cellStyle name="Comma 2 2 2 2 2" xfId="11043" xr:uid="{00000000-0005-0000-0000-00002F020000}"/>
    <cellStyle name="Comma 2 2 3" xfId="173" xr:uid="{00000000-0005-0000-0000-000030020000}"/>
    <cellStyle name="Comma 2 2 3 2" xfId="668" xr:uid="{00000000-0005-0000-0000-000031020000}"/>
    <cellStyle name="Comma 2 2 3 2 2" xfId="3816" xr:uid="{00000000-0005-0000-0000-000032020000}"/>
    <cellStyle name="Comma 2 2 3 2 2 2" xfId="11045" xr:uid="{00000000-0005-0000-0000-000033020000}"/>
    <cellStyle name="Comma 2 2 3 3" xfId="3815" xr:uid="{00000000-0005-0000-0000-000034020000}"/>
    <cellStyle name="Comma 2 2 3 3 2" xfId="11044" xr:uid="{00000000-0005-0000-0000-000035020000}"/>
    <cellStyle name="Comma 2 2 4" xfId="603" xr:uid="{00000000-0005-0000-0000-000036020000}"/>
    <cellStyle name="Comma 2 2 4 2" xfId="3817" xr:uid="{00000000-0005-0000-0000-000037020000}"/>
    <cellStyle name="Comma 2 2 4 2 2" xfId="11046" xr:uid="{00000000-0005-0000-0000-000038020000}"/>
    <cellStyle name="Comma 2 2 5" xfId="599" xr:uid="{00000000-0005-0000-0000-000039020000}"/>
    <cellStyle name="Comma 2 2 5 2" xfId="1481" xr:uid="{00000000-0005-0000-0000-00003A020000}"/>
    <cellStyle name="Comma 2 2 5 2 2" xfId="3220" xr:uid="{00000000-0005-0000-0000-00003B020000}"/>
    <cellStyle name="Comma 2 2 5 2 2 2" xfId="3820" xr:uid="{00000000-0005-0000-0000-00003C020000}"/>
    <cellStyle name="Comma 2 2 5 2 2 2 2" xfId="11049" xr:uid="{00000000-0005-0000-0000-00003D020000}"/>
    <cellStyle name="Comma 2 2 5 2 2 3" xfId="10449" xr:uid="{00000000-0005-0000-0000-00003E020000}"/>
    <cellStyle name="Comma 2 2 5 2 3" xfId="3819" xr:uid="{00000000-0005-0000-0000-00003F020000}"/>
    <cellStyle name="Comma 2 2 5 2 3 2" xfId="11048" xr:uid="{00000000-0005-0000-0000-000040020000}"/>
    <cellStyle name="Comma 2 2 5 2 4" xfId="8711" xr:uid="{00000000-0005-0000-0000-000041020000}"/>
    <cellStyle name="Comma 2 2 5 3" xfId="2353" xr:uid="{00000000-0005-0000-0000-000042020000}"/>
    <cellStyle name="Comma 2 2 5 3 2" xfId="3821" xr:uid="{00000000-0005-0000-0000-000043020000}"/>
    <cellStyle name="Comma 2 2 5 3 2 2" xfId="11050" xr:uid="{00000000-0005-0000-0000-000044020000}"/>
    <cellStyle name="Comma 2 2 5 3 3" xfId="9582" xr:uid="{00000000-0005-0000-0000-000045020000}"/>
    <cellStyle name="Comma 2 2 5 4" xfId="3818" xr:uid="{00000000-0005-0000-0000-000046020000}"/>
    <cellStyle name="Comma 2 2 5 4 2" xfId="11047" xr:uid="{00000000-0005-0000-0000-000047020000}"/>
    <cellStyle name="Comma 2 2 5 5" xfId="7844" xr:uid="{00000000-0005-0000-0000-000048020000}"/>
    <cellStyle name="Comma 2 2 6" xfId="3813" xr:uid="{00000000-0005-0000-0000-000049020000}"/>
    <cellStyle name="Comma 2 2 6 2" xfId="11042" xr:uid="{00000000-0005-0000-0000-00004A020000}"/>
    <cellStyle name="Comma 2 3" xfId="4" xr:uid="{00000000-0005-0000-0000-00004B020000}"/>
    <cellStyle name="Comma 2 3 2" xfId="79" xr:uid="{00000000-0005-0000-0000-00004C020000}"/>
    <cellStyle name="Comma 2 3 2 2" xfId="3823" xr:uid="{00000000-0005-0000-0000-00004D020000}"/>
    <cellStyle name="Comma 2 3 2 2 2" xfId="11052" xr:uid="{00000000-0005-0000-0000-00004E020000}"/>
    <cellStyle name="Comma 2 3 3" xfId="63" xr:uid="{00000000-0005-0000-0000-00004F020000}"/>
    <cellStyle name="Comma 2 3 3 2" xfId="3824" xr:uid="{00000000-0005-0000-0000-000050020000}"/>
    <cellStyle name="Comma 2 3 3 2 2" xfId="11053" xr:uid="{00000000-0005-0000-0000-000051020000}"/>
    <cellStyle name="Comma 2 3 4" xfId="3822" xr:uid="{00000000-0005-0000-0000-000052020000}"/>
    <cellStyle name="Comma 2 3 4 2" xfId="11051" xr:uid="{00000000-0005-0000-0000-000053020000}"/>
    <cellStyle name="Comma 2 4" xfId="23" xr:uid="{00000000-0005-0000-0000-000054020000}"/>
    <cellStyle name="Comma 2 4 2" xfId="174" xr:uid="{00000000-0005-0000-0000-000055020000}"/>
    <cellStyle name="Comma 2 4 2 2" xfId="3826" xr:uid="{00000000-0005-0000-0000-000056020000}"/>
    <cellStyle name="Comma 2 4 2 2 2" xfId="11055" xr:uid="{00000000-0005-0000-0000-000057020000}"/>
    <cellStyle name="Comma 2 4 3" xfId="3825" xr:uid="{00000000-0005-0000-0000-000058020000}"/>
    <cellStyle name="Comma 2 4 3 2" xfId="11054" xr:uid="{00000000-0005-0000-0000-000059020000}"/>
    <cellStyle name="Comma 2 5" xfId="30" xr:uid="{00000000-0005-0000-0000-00005A020000}"/>
    <cellStyle name="Comma 2 5 2" xfId="3827" xr:uid="{00000000-0005-0000-0000-00005B020000}"/>
    <cellStyle name="Comma 2 5 2 2" xfId="11056" xr:uid="{00000000-0005-0000-0000-00005C020000}"/>
    <cellStyle name="Comma 2 6" xfId="373" xr:uid="{00000000-0005-0000-0000-00005D020000}"/>
    <cellStyle name="Comma 2 6 2" xfId="819" xr:uid="{00000000-0005-0000-0000-00005E020000}"/>
    <cellStyle name="Comma 2 6 2 2" xfId="3829" xr:uid="{00000000-0005-0000-0000-00005F020000}"/>
    <cellStyle name="Comma 2 6 2 2 2" xfId="11058" xr:uid="{00000000-0005-0000-0000-000060020000}"/>
    <cellStyle name="Comma 2 6 3" xfId="3828" xr:uid="{00000000-0005-0000-0000-000061020000}"/>
    <cellStyle name="Comma 2 6 3 2" xfId="11057" xr:uid="{00000000-0005-0000-0000-000062020000}"/>
    <cellStyle name="Comma 2 7" xfId="602" xr:uid="{00000000-0005-0000-0000-000063020000}"/>
    <cellStyle name="Comma 2 7 2" xfId="3830" xr:uid="{00000000-0005-0000-0000-000064020000}"/>
    <cellStyle name="Comma 2 7 2 2" xfId="11059" xr:uid="{00000000-0005-0000-0000-000065020000}"/>
    <cellStyle name="Comma 2 8" xfId="598" xr:uid="{00000000-0005-0000-0000-000066020000}"/>
    <cellStyle name="Comma 2 8 2" xfId="1480" xr:uid="{00000000-0005-0000-0000-000067020000}"/>
    <cellStyle name="Comma 2 8 2 2" xfId="3219" xr:uid="{00000000-0005-0000-0000-000068020000}"/>
    <cellStyle name="Comma 2 8 2 2 2" xfId="3833" xr:uid="{00000000-0005-0000-0000-000069020000}"/>
    <cellStyle name="Comma 2 8 2 2 2 2" xfId="11062" xr:uid="{00000000-0005-0000-0000-00006A020000}"/>
    <cellStyle name="Comma 2 8 2 2 3" xfId="10448" xr:uid="{00000000-0005-0000-0000-00006B020000}"/>
    <cellStyle name="Comma 2 8 2 3" xfId="3832" xr:uid="{00000000-0005-0000-0000-00006C020000}"/>
    <cellStyle name="Comma 2 8 2 3 2" xfId="11061" xr:uid="{00000000-0005-0000-0000-00006D020000}"/>
    <cellStyle name="Comma 2 8 2 4" xfId="8710" xr:uid="{00000000-0005-0000-0000-00006E020000}"/>
    <cellStyle name="Comma 2 8 3" xfId="2352" xr:uid="{00000000-0005-0000-0000-00006F020000}"/>
    <cellStyle name="Comma 2 8 3 2" xfId="3834" xr:uid="{00000000-0005-0000-0000-000070020000}"/>
    <cellStyle name="Comma 2 8 3 2 2" xfId="11063" xr:uid="{00000000-0005-0000-0000-000071020000}"/>
    <cellStyle name="Comma 2 8 3 3" xfId="9581" xr:uid="{00000000-0005-0000-0000-000072020000}"/>
    <cellStyle name="Comma 2 8 4" xfId="3831" xr:uid="{00000000-0005-0000-0000-000073020000}"/>
    <cellStyle name="Comma 2 8 4 2" xfId="11060" xr:uid="{00000000-0005-0000-0000-000074020000}"/>
    <cellStyle name="Comma 2 8 5" xfId="7843" xr:uid="{00000000-0005-0000-0000-000075020000}"/>
    <cellStyle name="Comma 2 9" xfId="3835" xr:uid="{00000000-0005-0000-0000-000076020000}"/>
    <cellStyle name="Comma 2 9 2" xfId="11064" xr:uid="{00000000-0005-0000-0000-000077020000}"/>
    <cellStyle name="Comma 20" xfId="7348" xr:uid="{00000000-0005-0000-0000-000078020000}"/>
    <cellStyle name="Comma 20 2" xfId="14575" xr:uid="{00000000-0005-0000-0000-000079020000}"/>
    <cellStyle name="Comma 21" xfId="7405" xr:uid="{00000000-0005-0000-0000-00007A020000}"/>
    <cellStyle name="Comma 21 2" xfId="14606" xr:uid="{00000000-0005-0000-0000-00007B020000}"/>
    <cellStyle name="Comma 22" xfId="369" xr:uid="{00000000-0005-0000-0000-00007C020000}"/>
    <cellStyle name="Comma 22 10" xfId="1257" xr:uid="{00000000-0005-0000-0000-00007D020000}"/>
    <cellStyle name="Comma 22 10 2" xfId="2996" xr:uid="{00000000-0005-0000-0000-00007E020000}"/>
    <cellStyle name="Comma 22 10 2 2" xfId="3838" xr:uid="{00000000-0005-0000-0000-00007F020000}"/>
    <cellStyle name="Comma 22 10 2 2 2" xfId="11067" xr:uid="{00000000-0005-0000-0000-000080020000}"/>
    <cellStyle name="Comma 22 10 2 3" xfId="10225" xr:uid="{00000000-0005-0000-0000-000081020000}"/>
    <cellStyle name="Comma 22 10 3" xfId="3837" xr:uid="{00000000-0005-0000-0000-000082020000}"/>
    <cellStyle name="Comma 22 10 3 2" xfId="11066" xr:uid="{00000000-0005-0000-0000-000083020000}"/>
    <cellStyle name="Comma 22 10 4" xfId="8487" xr:uid="{00000000-0005-0000-0000-000084020000}"/>
    <cellStyle name="Comma 22 11" xfId="2129" xr:uid="{00000000-0005-0000-0000-000085020000}"/>
    <cellStyle name="Comma 22 11 2" xfId="3839" xr:uid="{00000000-0005-0000-0000-000086020000}"/>
    <cellStyle name="Comma 22 11 2 2" xfId="11068" xr:uid="{00000000-0005-0000-0000-000087020000}"/>
    <cellStyle name="Comma 22 11 3" xfId="9358" xr:uid="{00000000-0005-0000-0000-000088020000}"/>
    <cellStyle name="Comma 22 12" xfId="3840" xr:uid="{00000000-0005-0000-0000-000089020000}"/>
    <cellStyle name="Comma 22 12 2" xfId="11069" xr:uid="{00000000-0005-0000-0000-00008A020000}"/>
    <cellStyle name="Comma 22 13" xfId="3836" xr:uid="{00000000-0005-0000-0000-00008B020000}"/>
    <cellStyle name="Comma 22 13 2" xfId="11065" xr:uid="{00000000-0005-0000-0000-00008C020000}"/>
    <cellStyle name="Comma 22 14" xfId="7346" xr:uid="{00000000-0005-0000-0000-00008D020000}"/>
    <cellStyle name="Comma 22 14 2" xfId="14573" xr:uid="{00000000-0005-0000-0000-00008E020000}"/>
    <cellStyle name="Comma 22 15" xfId="7353" xr:uid="{00000000-0005-0000-0000-00008F020000}"/>
    <cellStyle name="Comma 22 15 2" xfId="14580" xr:uid="{00000000-0005-0000-0000-000090020000}"/>
    <cellStyle name="Comma 22 16" xfId="7356" xr:uid="{00000000-0005-0000-0000-000091020000}"/>
    <cellStyle name="Comma 22 16 2" xfId="14583" xr:uid="{00000000-0005-0000-0000-000092020000}"/>
    <cellStyle name="Comma 22 17" xfId="7359" xr:uid="{00000000-0005-0000-0000-000093020000}"/>
    <cellStyle name="Comma 22 17 2" xfId="14586" xr:uid="{00000000-0005-0000-0000-000094020000}"/>
    <cellStyle name="Comma 22 18" xfId="7620" xr:uid="{00000000-0005-0000-0000-000095020000}"/>
    <cellStyle name="Comma 22 19" xfId="14611" xr:uid="{00000000-0005-0000-0000-000096020000}"/>
    <cellStyle name="Comma 22 2" xfId="378" xr:uid="{00000000-0005-0000-0000-000097020000}"/>
    <cellStyle name="Comma 22 2 2" xfId="824" xr:uid="{00000000-0005-0000-0000-000098020000}"/>
    <cellStyle name="Comma 22 2 2 2" xfId="1691" xr:uid="{00000000-0005-0000-0000-000099020000}"/>
    <cellStyle name="Comma 22 2 2 2 2" xfId="3430" xr:uid="{00000000-0005-0000-0000-00009A020000}"/>
    <cellStyle name="Comma 22 2 2 2 2 2" xfId="3844" xr:uid="{00000000-0005-0000-0000-00009B020000}"/>
    <cellStyle name="Comma 22 2 2 2 2 2 2" xfId="11073" xr:uid="{00000000-0005-0000-0000-00009C020000}"/>
    <cellStyle name="Comma 22 2 2 2 2 3" xfId="10659" xr:uid="{00000000-0005-0000-0000-00009D020000}"/>
    <cellStyle name="Comma 22 2 2 2 3" xfId="3843" xr:uid="{00000000-0005-0000-0000-00009E020000}"/>
    <cellStyle name="Comma 22 2 2 2 3 2" xfId="11072" xr:uid="{00000000-0005-0000-0000-00009F020000}"/>
    <cellStyle name="Comma 22 2 2 2 4" xfId="8921" xr:uid="{00000000-0005-0000-0000-0000A0020000}"/>
    <cellStyle name="Comma 22 2 2 3" xfId="2563" xr:uid="{00000000-0005-0000-0000-0000A1020000}"/>
    <cellStyle name="Comma 22 2 2 3 2" xfId="3845" xr:uid="{00000000-0005-0000-0000-0000A2020000}"/>
    <cellStyle name="Comma 22 2 2 3 2 2" xfId="11074" xr:uid="{00000000-0005-0000-0000-0000A3020000}"/>
    <cellStyle name="Comma 22 2 2 3 3" xfId="9792" xr:uid="{00000000-0005-0000-0000-0000A4020000}"/>
    <cellStyle name="Comma 22 2 2 4" xfId="3842" xr:uid="{00000000-0005-0000-0000-0000A5020000}"/>
    <cellStyle name="Comma 22 2 2 4 2" xfId="11071" xr:uid="{00000000-0005-0000-0000-0000A6020000}"/>
    <cellStyle name="Comma 22 2 2 5" xfId="8054" xr:uid="{00000000-0005-0000-0000-0000A7020000}"/>
    <cellStyle name="Comma 22 2 3" xfId="1260" xr:uid="{00000000-0005-0000-0000-0000A8020000}"/>
    <cellStyle name="Comma 22 2 3 2" xfId="2999" xr:uid="{00000000-0005-0000-0000-0000A9020000}"/>
    <cellStyle name="Comma 22 2 3 2 2" xfId="3847" xr:uid="{00000000-0005-0000-0000-0000AA020000}"/>
    <cellStyle name="Comma 22 2 3 2 2 2" xfId="11076" xr:uid="{00000000-0005-0000-0000-0000AB020000}"/>
    <cellStyle name="Comma 22 2 3 2 3" xfId="10228" xr:uid="{00000000-0005-0000-0000-0000AC020000}"/>
    <cellStyle name="Comma 22 2 3 3" xfId="3846" xr:uid="{00000000-0005-0000-0000-0000AD020000}"/>
    <cellStyle name="Comma 22 2 3 3 2" xfId="11075" xr:uid="{00000000-0005-0000-0000-0000AE020000}"/>
    <cellStyle name="Comma 22 2 3 4" xfId="8490" xr:uid="{00000000-0005-0000-0000-0000AF020000}"/>
    <cellStyle name="Comma 22 2 4" xfId="2132" xr:uid="{00000000-0005-0000-0000-0000B0020000}"/>
    <cellStyle name="Comma 22 2 4 2" xfId="3848" xr:uid="{00000000-0005-0000-0000-0000B1020000}"/>
    <cellStyle name="Comma 22 2 4 2 2" xfId="11077" xr:uid="{00000000-0005-0000-0000-0000B2020000}"/>
    <cellStyle name="Comma 22 2 4 3" xfId="9361" xr:uid="{00000000-0005-0000-0000-0000B3020000}"/>
    <cellStyle name="Comma 22 2 5" xfId="3841" xr:uid="{00000000-0005-0000-0000-0000B4020000}"/>
    <cellStyle name="Comma 22 2 5 2" xfId="11070" xr:uid="{00000000-0005-0000-0000-0000B5020000}"/>
    <cellStyle name="Comma 22 2 6" xfId="7623" xr:uid="{00000000-0005-0000-0000-0000B6020000}"/>
    <cellStyle name="Comma 22 3" xfId="381" xr:uid="{00000000-0005-0000-0000-0000B7020000}"/>
    <cellStyle name="Comma 22 3 2" xfId="827" xr:uid="{00000000-0005-0000-0000-0000B8020000}"/>
    <cellStyle name="Comma 22 3 2 2" xfId="1694" xr:uid="{00000000-0005-0000-0000-0000B9020000}"/>
    <cellStyle name="Comma 22 3 2 2 2" xfId="3433" xr:uid="{00000000-0005-0000-0000-0000BA020000}"/>
    <cellStyle name="Comma 22 3 2 2 2 2" xfId="3852" xr:uid="{00000000-0005-0000-0000-0000BB020000}"/>
    <cellStyle name="Comma 22 3 2 2 2 2 2" xfId="11081" xr:uid="{00000000-0005-0000-0000-0000BC020000}"/>
    <cellStyle name="Comma 22 3 2 2 2 3" xfId="10662" xr:uid="{00000000-0005-0000-0000-0000BD020000}"/>
    <cellStyle name="Comma 22 3 2 2 3" xfId="3851" xr:uid="{00000000-0005-0000-0000-0000BE020000}"/>
    <cellStyle name="Comma 22 3 2 2 3 2" xfId="11080" xr:uid="{00000000-0005-0000-0000-0000BF020000}"/>
    <cellStyle name="Comma 22 3 2 2 4" xfId="8924" xr:uid="{00000000-0005-0000-0000-0000C0020000}"/>
    <cellStyle name="Comma 22 3 2 3" xfId="2566" xr:uid="{00000000-0005-0000-0000-0000C1020000}"/>
    <cellStyle name="Comma 22 3 2 3 2" xfId="3853" xr:uid="{00000000-0005-0000-0000-0000C2020000}"/>
    <cellStyle name="Comma 22 3 2 3 2 2" xfId="11082" xr:uid="{00000000-0005-0000-0000-0000C3020000}"/>
    <cellStyle name="Comma 22 3 2 3 3" xfId="9795" xr:uid="{00000000-0005-0000-0000-0000C4020000}"/>
    <cellStyle name="Comma 22 3 2 4" xfId="3850" xr:uid="{00000000-0005-0000-0000-0000C5020000}"/>
    <cellStyle name="Comma 22 3 2 4 2" xfId="11079" xr:uid="{00000000-0005-0000-0000-0000C6020000}"/>
    <cellStyle name="Comma 22 3 2 5" xfId="8057" xr:uid="{00000000-0005-0000-0000-0000C7020000}"/>
    <cellStyle name="Comma 22 3 3" xfId="1263" xr:uid="{00000000-0005-0000-0000-0000C8020000}"/>
    <cellStyle name="Comma 22 3 3 2" xfId="3002" xr:uid="{00000000-0005-0000-0000-0000C9020000}"/>
    <cellStyle name="Comma 22 3 3 2 2" xfId="3855" xr:uid="{00000000-0005-0000-0000-0000CA020000}"/>
    <cellStyle name="Comma 22 3 3 2 2 2" xfId="11084" xr:uid="{00000000-0005-0000-0000-0000CB020000}"/>
    <cellStyle name="Comma 22 3 3 2 3" xfId="10231" xr:uid="{00000000-0005-0000-0000-0000CC020000}"/>
    <cellStyle name="Comma 22 3 3 3" xfId="3854" xr:uid="{00000000-0005-0000-0000-0000CD020000}"/>
    <cellStyle name="Comma 22 3 3 3 2" xfId="11083" xr:uid="{00000000-0005-0000-0000-0000CE020000}"/>
    <cellStyle name="Comma 22 3 3 4" xfId="8493" xr:uid="{00000000-0005-0000-0000-0000CF020000}"/>
    <cellStyle name="Comma 22 3 4" xfId="2135" xr:uid="{00000000-0005-0000-0000-0000D0020000}"/>
    <cellStyle name="Comma 22 3 4 2" xfId="3856" xr:uid="{00000000-0005-0000-0000-0000D1020000}"/>
    <cellStyle name="Comma 22 3 4 2 2" xfId="11085" xr:uid="{00000000-0005-0000-0000-0000D2020000}"/>
    <cellStyle name="Comma 22 3 4 3" xfId="9364" xr:uid="{00000000-0005-0000-0000-0000D3020000}"/>
    <cellStyle name="Comma 22 3 5" xfId="3849" xr:uid="{00000000-0005-0000-0000-0000D4020000}"/>
    <cellStyle name="Comma 22 3 5 2" xfId="11078" xr:uid="{00000000-0005-0000-0000-0000D5020000}"/>
    <cellStyle name="Comma 22 3 6" xfId="7626" xr:uid="{00000000-0005-0000-0000-0000D6020000}"/>
    <cellStyle name="Comma 22 4" xfId="384" xr:uid="{00000000-0005-0000-0000-0000D7020000}"/>
    <cellStyle name="Comma 22 4 2" xfId="830" xr:uid="{00000000-0005-0000-0000-0000D8020000}"/>
    <cellStyle name="Comma 22 4 2 2" xfId="1697" xr:uid="{00000000-0005-0000-0000-0000D9020000}"/>
    <cellStyle name="Comma 22 4 2 2 2" xfId="3436" xr:uid="{00000000-0005-0000-0000-0000DA020000}"/>
    <cellStyle name="Comma 22 4 2 2 2 2" xfId="3860" xr:uid="{00000000-0005-0000-0000-0000DB020000}"/>
    <cellStyle name="Comma 22 4 2 2 2 2 2" xfId="11089" xr:uid="{00000000-0005-0000-0000-0000DC020000}"/>
    <cellStyle name="Comma 22 4 2 2 2 3" xfId="10665" xr:uid="{00000000-0005-0000-0000-0000DD020000}"/>
    <cellStyle name="Comma 22 4 2 2 3" xfId="3859" xr:uid="{00000000-0005-0000-0000-0000DE020000}"/>
    <cellStyle name="Comma 22 4 2 2 3 2" xfId="11088" xr:uid="{00000000-0005-0000-0000-0000DF020000}"/>
    <cellStyle name="Comma 22 4 2 2 4" xfId="8927" xr:uid="{00000000-0005-0000-0000-0000E0020000}"/>
    <cellStyle name="Comma 22 4 2 3" xfId="2569" xr:uid="{00000000-0005-0000-0000-0000E1020000}"/>
    <cellStyle name="Comma 22 4 2 3 2" xfId="3861" xr:uid="{00000000-0005-0000-0000-0000E2020000}"/>
    <cellStyle name="Comma 22 4 2 3 2 2" xfId="11090" xr:uid="{00000000-0005-0000-0000-0000E3020000}"/>
    <cellStyle name="Comma 22 4 2 3 3" xfId="9798" xr:uid="{00000000-0005-0000-0000-0000E4020000}"/>
    <cellStyle name="Comma 22 4 2 4" xfId="3858" xr:uid="{00000000-0005-0000-0000-0000E5020000}"/>
    <cellStyle name="Comma 22 4 2 4 2" xfId="11087" xr:uid="{00000000-0005-0000-0000-0000E6020000}"/>
    <cellStyle name="Comma 22 4 2 5" xfId="8060" xr:uid="{00000000-0005-0000-0000-0000E7020000}"/>
    <cellStyle name="Comma 22 4 3" xfId="1266" xr:uid="{00000000-0005-0000-0000-0000E8020000}"/>
    <cellStyle name="Comma 22 4 3 2" xfId="3005" xr:uid="{00000000-0005-0000-0000-0000E9020000}"/>
    <cellStyle name="Comma 22 4 3 2 2" xfId="3863" xr:uid="{00000000-0005-0000-0000-0000EA020000}"/>
    <cellStyle name="Comma 22 4 3 2 2 2" xfId="11092" xr:uid="{00000000-0005-0000-0000-0000EB020000}"/>
    <cellStyle name="Comma 22 4 3 2 3" xfId="10234" xr:uid="{00000000-0005-0000-0000-0000EC020000}"/>
    <cellStyle name="Comma 22 4 3 3" xfId="3862" xr:uid="{00000000-0005-0000-0000-0000ED020000}"/>
    <cellStyle name="Comma 22 4 3 3 2" xfId="11091" xr:uid="{00000000-0005-0000-0000-0000EE020000}"/>
    <cellStyle name="Comma 22 4 3 4" xfId="8496" xr:uid="{00000000-0005-0000-0000-0000EF020000}"/>
    <cellStyle name="Comma 22 4 4" xfId="2138" xr:uid="{00000000-0005-0000-0000-0000F0020000}"/>
    <cellStyle name="Comma 22 4 4 2" xfId="3864" xr:uid="{00000000-0005-0000-0000-0000F1020000}"/>
    <cellStyle name="Comma 22 4 4 2 2" xfId="11093" xr:uid="{00000000-0005-0000-0000-0000F2020000}"/>
    <cellStyle name="Comma 22 4 4 3" xfId="9367" xr:uid="{00000000-0005-0000-0000-0000F3020000}"/>
    <cellStyle name="Comma 22 4 5" xfId="3857" xr:uid="{00000000-0005-0000-0000-0000F4020000}"/>
    <cellStyle name="Comma 22 4 5 2" xfId="11086" xr:uid="{00000000-0005-0000-0000-0000F5020000}"/>
    <cellStyle name="Comma 22 4 6" xfId="7629" xr:uid="{00000000-0005-0000-0000-0000F6020000}"/>
    <cellStyle name="Comma 22 5" xfId="595" xr:uid="{00000000-0005-0000-0000-0000F7020000}"/>
    <cellStyle name="Comma 22 5 2" xfId="1041" xr:uid="{00000000-0005-0000-0000-0000F8020000}"/>
    <cellStyle name="Comma 22 5 2 2" xfId="1908" xr:uid="{00000000-0005-0000-0000-0000F9020000}"/>
    <cellStyle name="Comma 22 5 2 2 2" xfId="3647" xr:uid="{00000000-0005-0000-0000-0000FA020000}"/>
    <cellStyle name="Comma 22 5 2 2 2 2" xfId="3868" xr:uid="{00000000-0005-0000-0000-0000FB020000}"/>
    <cellStyle name="Comma 22 5 2 2 2 2 2" xfId="11097" xr:uid="{00000000-0005-0000-0000-0000FC020000}"/>
    <cellStyle name="Comma 22 5 2 2 2 3" xfId="10876" xr:uid="{00000000-0005-0000-0000-0000FD020000}"/>
    <cellStyle name="Comma 22 5 2 2 3" xfId="3867" xr:uid="{00000000-0005-0000-0000-0000FE020000}"/>
    <cellStyle name="Comma 22 5 2 2 3 2" xfId="11096" xr:uid="{00000000-0005-0000-0000-0000FF020000}"/>
    <cellStyle name="Comma 22 5 2 2 4" xfId="9138" xr:uid="{00000000-0005-0000-0000-000000030000}"/>
    <cellStyle name="Comma 22 5 2 3" xfId="2780" xr:uid="{00000000-0005-0000-0000-000001030000}"/>
    <cellStyle name="Comma 22 5 2 3 2" xfId="3869" xr:uid="{00000000-0005-0000-0000-000002030000}"/>
    <cellStyle name="Comma 22 5 2 3 2 2" xfId="11098" xr:uid="{00000000-0005-0000-0000-000003030000}"/>
    <cellStyle name="Comma 22 5 2 3 3" xfId="10009" xr:uid="{00000000-0005-0000-0000-000004030000}"/>
    <cellStyle name="Comma 22 5 2 4" xfId="3866" xr:uid="{00000000-0005-0000-0000-000005030000}"/>
    <cellStyle name="Comma 22 5 2 4 2" xfId="11095" xr:uid="{00000000-0005-0000-0000-000006030000}"/>
    <cellStyle name="Comma 22 5 2 5" xfId="8271" xr:uid="{00000000-0005-0000-0000-000007030000}"/>
    <cellStyle name="Comma 22 5 3" xfId="1477" xr:uid="{00000000-0005-0000-0000-000008030000}"/>
    <cellStyle name="Comma 22 5 3 2" xfId="3216" xr:uid="{00000000-0005-0000-0000-000009030000}"/>
    <cellStyle name="Comma 22 5 3 2 2" xfId="3871" xr:uid="{00000000-0005-0000-0000-00000A030000}"/>
    <cellStyle name="Comma 22 5 3 2 2 2" xfId="11100" xr:uid="{00000000-0005-0000-0000-00000B030000}"/>
    <cellStyle name="Comma 22 5 3 2 3" xfId="10445" xr:uid="{00000000-0005-0000-0000-00000C030000}"/>
    <cellStyle name="Comma 22 5 3 3" xfId="3870" xr:uid="{00000000-0005-0000-0000-00000D030000}"/>
    <cellStyle name="Comma 22 5 3 3 2" xfId="11099" xr:uid="{00000000-0005-0000-0000-00000E030000}"/>
    <cellStyle name="Comma 22 5 3 4" xfId="8707" xr:uid="{00000000-0005-0000-0000-00000F030000}"/>
    <cellStyle name="Comma 22 5 4" xfId="2349" xr:uid="{00000000-0005-0000-0000-000010030000}"/>
    <cellStyle name="Comma 22 5 4 2" xfId="3872" xr:uid="{00000000-0005-0000-0000-000011030000}"/>
    <cellStyle name="Comma 22 5 4 2 2" xfId="11101" xr:uid="{00000000-0005-0000-0000-000012030000}"/>
    <cellStyle name="Comma 22 5 4 3" xfId="9578" xr:uid="{00000000-0005-0000-0000-000013030000}"/>
    <cellStyle name="Comma 22 5 5" xfId="3865" xr:uid="{00000000-0005-0000-0000-000014030000}"/>
    <cellStyle name="Comma 22 5 5 2" xfId="11094" xr:uid="{00000000-0005-0000-0000-000015030000}"/>
    <cellStyle name="Comma 22 5 6" xfId="7840" xr:uid="{00000000-0005-0000-0000-000016030000}"/>
    <cellStyle name="Comma 22 6" xfId="816" xr:uid="{00000000-0005-0000-0000-000017030000}"/>
    <cellStyle name="Comma 22 6 2" xfId="1688" xr:uid="{00000000-0005-0000-0000-000018030000}"/>
    <cellStyle name="Comma 22 6 2 2" xfId="3427" xr:uid="{00000000-0005-0000-0000-000019030000}"/>
    <cellStyle name="Comma 22 6 2 2 2" xfId="3875" xr:uid="{00000000-0005-0000-0000-00001A030000}"/>
    <cellStyle name="Comma 22 6 2 2 2 2" xfId="11104" xr:uid="{00000000-0005-0000-0000-00001B030000}"/>
    <cellStyle name="Comma 22 6 2 2 3" xfId="10656" xr:uid="{00000000-0005-0000-0000-00001C030000}"/>
    <cellStyle name="Comma 22 6 2 3" xfId="3874" xr:uid="{00000000-0005-0000-0000-00001D030000}"/>
    <cellStyle name="Comma 22 6 2 3 2" xfId="11103" xr:uid="{00000000-0005-0000-0000-00001E030000}"/>
    <cellStyle name="Comma 22 6 2 4" xfId="8918" xr:uid="{00000000-0005-0000-0000-00001F030000}"/>
    <cellStyle name="Comma 22 6 3" xfId="2560" xr:uid="{00000000-0005-0000-0000-000020030000}"/>
    <cellStyle name="Comma 22 6 3 2" xfId="3876" xr:uid="{00000000-0005-0000-0000-000021030000}"/>
    <cellStyle name="Comma 22 6 3 2 2" xfId="11105" xr:uid="{00000000-0005-0000-0000-000022030000}"/>
    <cellStyle name="Comma 22 6 3 3" xfId="9789" xr:uid="{00000000-0005-0000-0000-000023030000}"/>
    <cellStyle name="Comma 22 6 4" xfId="3873" xr:uid="{00000000-0005-0000-0000-000024030000}"/>
    <cellStyle name="Comma 22 6 4 2" xfId="11102" xr:uid="{00000000-0005-0000-0000-000025030000}"/>
    <cellStyle name="Comma 22 6 5" xfId="8051" xr:uid="{00000000-0005-0000-0000-000026030000}"/>
    <cellStyle name="Comma 22 7" xfId="1044" xr:uid="{00000000-0005-0000-0000-000027030000}"/>
    <cellStyle name="Comma 22 7 2" xfId="1911" xr:uid="{00000000-0005-0000-0000-000028030000}"/>
    <cellStyle name="Comma 22 7 2 2" xfId="3650" xr:uid="{00000000-0005-0000-0000-000029030000}"/>
    <cellStyle name="Comma 22 7 2 2 2" xfId="3879" xr:uid="{00000000-0005-0000-0000-00002A030000}"/>
    <cellStyle name="Comma 22 7 2 2 2 2" xfId="11108" xr:uid="{00000000-0005-0000-0000-00002B030000}"/>
    <cellStyle name="Comma 22 7 2 2 3" xfId="10879" xr:uid="{00000000-0005-0000-0000-00002C030000}"/>
    <cellStyle name="Comma 22 7 2 3" xfId="3878" xr:uid="{00000000-0005-0000-0000-00002D030000}"/>
    <cellStyle name="Comma 22 7 2 3 2" xfId="11107" xr:uid="{00000000-0005-0000-0000-00002E030000}"/>
    <cellStyle name="Comma 22 7 2 4" xfId="9141" xr:uid="{00000000-0005-0000-0000-00002F030000}"/>
    <cellStyle name="Comma 22 7 3" xfId="2783" xr:uid="{00000000-0005-0000-0000-000030030000}"/>
    <cellStyle name="Comma 22 7 3 2" xfId="3880" xr:uid="{00000000-0005-0000-0000-000031030000}"/>
    <cellStyle name="Comma 22 7 3 2 2" xfId="11109" xr:uid="{00000000-0005-0000-0000-000032030000}"/>
    <cellStyle name="Comma 22 7 3 3" xfId="10012" xr:uid="{00000000-0005-0000-0000-000033030000}"/>
    <cellStyle name="Comma 22 7 4" xfId="3877" xr:uid="{00000000-0005-0000-0000-000034030000}"/>
    <cellStyle name="Comma 22 7 4 2" xfId="11106" xr:uid="{00000000-0005-0000-0000-000035030000}"/>
    <cellStyle name="Comma 22 7 5" xfId="8274" xr:uid="{00000000-0005-0000-0000-000036030000}"/>
    <cellStyle name="Comma 22 8" xfId="1047" xr:uid="{00000000-0005-0000-0000-000037030000}"/>
    <cellStyle name="Comma 22 8 2" xfId="1914" xr:uid="{00000000-0005-0000-0000-000038030000}"/>
    <cellStyle name="Comma 22 8 2 2" xfId="3653" xr:uid="{00000000-0005-0000-0000-000039030000}"/>
    <cellStyle name="Comma 22 8 2 2 2" xfId="3883" xr:uid="{00000000-0005-0000-0000-00003A030000}"/>
    <cellStyle name="Comma 22 8 2 2 2 2" xfId="11112" xr:uid="{00000000-0005-0000-0000-00003B030000}"/>
    <cellStyle name="Comma 22 8 2 2 3" xfId="10882" xr:uid="{00000000-0005-0000-0000-00003C030000}"/>
    <cellStyle name="Comma 22 8 2 3" xfId="3882" xr:uid="{00000000-0005-0000-0000-00003D030000}"/>
    <cellStyle name="Comma 22 8 2 3 2" xfId="11111" xr:uid="{00000000-0005-0000-0000-00003E030000}"/>
    <cellStyle name="Comma 22 8 2 4" xfId="9144" xr:uid="{00000000-0005-0000-0000-00003F030000}"/>
    <cellStyle name="Comma 22 8 3" xfId="2786" xr:uid="{00000000-0005-0000-0000-000040030000}"/>
    <cellStyle name="Comma 22 8 3 2" xfId="3884" xr:uid="{00000000-0005-0000-0000-000041030000}"/>
    <cellStyle name="Comma 22 8 3 2 2" xfId="11113" xr:uid="{00000000-0005-0000-0000-000042030000}"/>
    <cellStyle name="Comma 22 8 3 3" xfId="10015" xr:uid="{00000000-0005-0000-0000-000043030000}"/>
    <cellStyle name="Comma 22 8 4" xfId="3881" xr:uid="{00000000-0005-0000-0000-000044030000}"/>
    <cellStyle name="Comma 22 8 4 2" xfId="11110" xr:uid="{00000000-0005-0000-0000-000045030000}"/>
    <cellStyle name="Comma 22 8 5" xfId="8277" xr:uid="{00000000-0005-0000-0000-000046030000}"/>
    <cellStyle name="Comma 22 9" xfId="1050" xr:uid="{00000000-0005-0000-0000-000047030000}"/>
    <cellStyle name="Comma 22 9 2" xfId="1917" xr:uid="{00000000-0005-0000-0000-000048030000}"/>
    <cellStyle name="Comma 22 9 2 2" xfId="3656" xr:uid="{00000000-0005-0000-0000-000049030000}"/>
    <cellStyle name="Comma 22 9 2 2 2" xfId="3887" xr:uid="{00000000-0005-0000-0000-00004A030000}"/>
    <cellStyle name="Comma 22 9 2 2 2 2" xfId="11116" xr:uid="{00000000-0005-0000-0000-00004B030000}"/>
    <cellStyle name="Comma 22 9 2 2 3" xfId="10885" xr:uid="{00000000-0005-0000-0000-00004C030000}"/>
    <cellStyle name="Comma 22 9 2 3" xfId="3886" xr:uid="{00000000-0005-0000-0000-00004D030000}"/>
    <cellStyle name="Comma 22 9 2 3 2" xfId="11115" xr:uid="{00000000-0005-0000-0000-00004E030000}"/>
    <cellStyle name="Comma 22 9 2 4" xfId="9147" xr:uid="{00000000-0005-0000-0000-00004F030000}"/>
    <cellStyle name="Comma 22 9 3" xfId="2789" xr:uid="{00000000-0005-0000-0000-000050030000}"/>
    <cellStyle name="Comma 22 9 3 2" xfId="3888" xr:uid="{00000000-0005-0000-0000-000051030000}"/>
    <cellStyle name="Comma 22 9 3 2 2" xfId="11117" xr:uid="{00000000-0005-0000-0000-000052030000}"/>
    <cellStyle name="Comma 22 9 3 3" xfId="10018" xr:uid="{00000000-0005-0000-0000-000053030000}"/>
    <cellStyle name="Comma 22 9 4" xfId="3885" xr:uid="{00000000-0005-0000-0000-000054030000}"/>
    <cellStyle name="Comma 22 9 4 2" xfId="11114" xr:uid="{00000000-0005-0000-0000-000055030000}"/>
    <cellStyle name="Comma 22 9 5" xfId="8280" xr:uid="{00000000-0005-0000-0000-000056030000}"/>
    <cellStyle name="Comma 3" xfId="5" xr:uid="{00000000-0005-0000-0000-000057030000}"/>
    <cellStyle name="Comma 3 2" xfId="6" xr:uid="{00000000-0005-0000-0000-000058030000}"/>
    <cellStyle name="Comma 3 2 2" xfId="47" xr:uid="{00000000-0005-0000-0000-000059030000}"/>
    <cellStyle name="Comma 3 2 2 2" xfId="103" xr:uid="{00000000-0005-0000-0000-00005A030000}"/>
    <cellStyle name="Comma 3 2 2 2 2" xfId="310" xr:uid="{00000000-0005-0000-0000-00005B030000}"/>
    <cellStyle name="Comma 3 2 2 2 2 2" xfId="536" xr:uid="{00000000-0005-0000-0000-00005C030000}"/>
    <cellStyle name="Comma 3 2 2 2 2 2 2" xfId="982" xr:uid="{00000000-0005-0000-0000-00005D030000}"/>
    <cellStyle name="Comma 3 2 2 2 2 2 2 2" xfId="1849" xr:uid="{00000000-0005-0000-0000-00005E030000}"/>
    <cellStyle name="Comma 3 2 2 2 2 2 2 2 2" xfId="3588" xr:uid="{00000000-0005-0000-0000-00005F030000}"/>
    <cellStyle name="Comma 3 2 2 2 2 2 2 2 2 2" xfId="3897" xr:uid="{00000000-0005-0000-0000-000060030000}"/>
    <cellStyle name="Comma 3 2 2 2 2 2 2 2 2 2 2" xfId="11126" xr:uid="{00000000-0005-0000-0000-000061030000}"/>
    <cellStyle name="Comma 3 2 2 2 2 2 2 2 2 3" xfId="10817" xr:uid="{00000000-0005-0000-0000-000062030000}"/>
    <cellStyle name="Comma 3 2 2 2 2 2 2 2 3" xfId="3896" xr:uid="{00000000-0005-0000-0000-000063030000}"/>
    <cellStyle name="Comma 3 2 2 2 2 2 2 2 3 2" xfId="11125" xr:uid="{00000000-0005-0000-0000-000064030000}"/>
    <cellStyle name="Comma 3 2 2 2 2 2 2 2 4" xfId="9079" xr:uid="{00000000-0005-0000-0000-000065030000}"/>
    <cellStyle name="Comma 3 2 2 2 2 2 2 3" xfId="2721" xr:uid="{00000000-0005-0000-0000-000066030000}"/>
    <cellStyle name="Comma 3 2 2 2 2 2 2 3 2" xfId="3898" xr:uid="{00000000-0005-0000-0000-000067030000}"/>
    <cellStyle name="Comma 3 2 2 2 2 2 2 3 2 2" xfId="11127" xr:uid="{00000000-0005-0000-0000-000068030000}"/>
    <cellStyle name="Comma 3 2 2 2 2 2 2 3 3" xfId="9950" xr:uid="{00000000-0005-0000-0000-000069030000}"/>
    <cellStyle name="Comma 3 2 2 2 2 2 2 4" xfId="3895" xr:uid="{00000000-0005-0000-0000-00006A030000}"/>
    <cellStyle name="Comma 3 2 2 2 2 2 2 4 2" xfId="11124" xr:uid="{00000000-0005-0000-0000-00006B030000}"/>
    <cellStyle name="Comma 3 2 2 2 2 2 2 5" xfId="8212" xr:uid="{00000000-0005-0000-0000-00006C030000}"/>
    <cellStyle name="Comma 3 2 2 2 2 2 3" xfId="1418" xr:uid="{00000000-0005-0000-0000-00006D030000}"/>
    <cellStyle name="Comma 3 2 2 2 2 2 3 2" xfId="3157" xr:uid="{00000000-0005-0000-0000-00006E030000}"/>
    <cellStyle name="Comma 3 2 2 2 2 2 3 2 2" xfId="3900" xr:uid="{00000000-0005-0000-0000-00006F030000}"/>
    <cellStyle name="Comma 3 2 2 2 2 2 3 2 2 2" xfId="11129" xr:uid="{00000000-0005-0000-0000-000070030000}"/>
    <cellStyle name="Comma 3 2 2 2 2 2 3 2 3" xfId="10386" xr:uid="{00000000-0005-0000-0000-000071030000}"/>
    <cellStyle name="Comma 3 2 2 2 2 2 3 3" xfId="3899" xr:uid="{00000000-0005-0000-0000-000072030000}"/>
    <cellStyle name="Comma 3 2 2 2 2 2 3 3 2" xfId="11128" xr:uid="{00000000-0005-0000-0000-000073030000}"/>
    <cellStyle name="Comma 3 2 2 2 2 2 3 4" xfId="8648" xr:uid="{00000000-0005-0000-0000-000074030000}"/>
    <cellStyle name="Comma 3 2 2 2 2 2 4" xfId="2290" xr:uid="{00000000-0005-0000-0000-000075030000}"/>
    <cellStyle name="Comma 3 2 2 2 2 2 4 2" xfId="3901" xr:uid="{00000000-0005-0000-0000-000076030000}"/>
    <cellStyle name="Comma 3 2 2 2 2 2 4 2 2" xfId="11130" xr:uid="{00000000-0005-0000-0000-000077030000}"/>
    <cellStyle name="Comma 3 2 2 2 2 2 4 3" xfId="9519" xr:uid="{00000000-0005-0000-0000-000078030000}"/>
    <cellStyle name="Comma 3 2 2 2 2 2 5" xfId="3894" xr:uid="{00000000-0005-0000-0000-000079030000}"/>
    <cellStyle name="Comma 3 2 2 2 2 2 5 2" xfId="11123" xr:uid="{00000000-0005-0000-0000-00007A030000}"/>
    <cellStyle name="Comma 3 2 2 2 2 2 6" xfId="7781" xr:uid="{00000000-0005-0000-0000-00007B030000}"/>
    <cellStyle name="Comma 3 2 2 2 2 3" xfId="758" xr:uid="{00000000-0005-0000-0000-00007C030000}"/>
    <cellStyle name="Comma 3 2 2 2 2 3 2" xfId="1631" xr:uid="{00000000-0005-0000-0000-00007D030000}"/>
    <cellStyle name="Comma 3 2 2 2 2 3 2 2" xfId="3370" xr:uid="{00000000-0005-0000-0000-00007E030000}"/>
    <cellStyle name="Comma 3 2 2 2 2 3 2 2 2" xfId="3904" xr:uid="{00000000-0005-0000-0000-00007F030000}"/>
    <cellStyle name="Comma 3 2 2 2 2 3 2 2 2 2" xfId="11133" xr:uid="{00000000-0005-0000-0000-000080030000}"/>
    <cellStyle name="Comma 3 2 2 2 2 3 2 2 3" xfId="10599" xr:uid="{00000000-0005-0000-0000-000081030000}"/>
    <cellStyle name="Comma 3 2 2 2 2 3 2 3" xfId="3903" xr:uid="{00000000-0005-0000-0000-000082030000}"/>
    <cellStyle name="Comma 3 2 2 2 2 3 2 3 2" xfId="11132" xr:uid="{00000000-0005-0000-0000-000083030000}"/>
    <cellStyle name="Comma 3 2 2 2 2 3 2 4" xfId="8861" xr:uid="{00000000-0005-0000-0000-000084030000}"/>
    <cellStyle name="Comma 3 2 2 2 2 3 3" xfId="2503" xr:uid="{00000000-0005-0000-0000-000085030000}"/>
    <cellStyle name="Comma 3 2 2 2 2 3 3 2" xfId="3905" xr:uid="{00000000-0005-0000-0000-000086030000}"/>
    <cellStyle name="Comma 3 2 2 2 2 3 3 2 2" xfId="11134" xr:uid="{00000000-0005-0000-0000-000087030000}"/>
    <cellStyle name="Comma 3 2 2 2 2 3 3 3" xfId="9732" xr:uid="{00000000-0005-0000-0000-000088030000}"/>
    <cellStyle name="Comma 3 2 2 2 2 3 4" xfId="3902" xr:uid="{00000000-0005-0000-0000-000089030000}"/>
    <cellStyle name="Comma 3 2 2 2 2 3 4 2" xfId="11131" xr:uid="{00000000-0005-0000-0000-00008A030000}"/>
    <cellStyle name="Comma 3 2 2 2 2 3 5" xfId="7994" xr:uid="{00000000-0005-0000-0000-00008B030000}"/>
    <cellStyle name="Comma 3 2 2 2 2 4" xfId="1200" xr:uid="{00000000-0005-0000-0000-00008C030000}"/>
    <cellStyle name="Comma 3 2 2 2 2 4 2" xfId="2939" xr:uid="{00000000-0005-0000-0000-00008D030000}"/>
    <cellStyle name="Comma 3 2 2 2 2 4 2 2" xfId="3907" xr:uid="{00000000-0005-0000-0000-00008E030000}"/>
    <cellStyle name="Comma 3 2 2 2 2 4 2 2 2" xfId="11136" xr:uid="{00000000-0005-0000-0000-00008F030000}"/>
    <cellStyle name="Comma 3 2 2 2 2 4 2 3" xfId="10168" xr:uid="{00000000-0005-0000-0000-000090030000}"/>
    <cellStyle name="Comma 3 2 2 2 2 4 3" xfId="3906" xr:uid="{00000000-0005-0000-0000-000091030000}"/>
    <cellStyle name="Comma 3 2 2 2 2 4 3 2" xfId="11135" xr:uid="{00000000-0005-0000-0000-000092030000}"/>
    <cellStyle name="Comma 3 2 2 2 2 4 4" xfId="8430" xr:uid="{00000000-0005-0000-0000-000093030000}"/>
    <cellStyle name="Comma 3 2 2 2 2 5" xfId="2072" xr:uid="{00000000-0005-0000-0000-000094030000}"/>
    <cellStyle name="Comma 3 2 2 2 2 5 2" xfId="3908" xr:uid="{00000000-0005-0000-0000-000095030000}"/>
    <cellStyle name="Comma 3 2 2 2 2 5 2 2" xfId="11137" xr:uid="{00000000-0005-0000-0000-000096030000}"/>
    <cellStyle name="Comma 3 2 2 2 2 5 3" xfId="9301" xr:uid="{00000000-0005-0000-0000-000097030000}"/>
    <cellStyle name="Comma 3 2 2 2 2 6" xfId="3893" xr:uid="{00000000-0005-0000-0000-000098030000}"/>
    <cellStyle name="Comma 3 2 2 2 2 6 2" xfId="11122" xr:uid="{00000000-0005-0000-0000-000099030000}"/>
    <cellStyle name="Comma 3 2 2 2 2 7" xfId="7563" xr:uid="{00000000-0005-0000-0000-00009A030000}"/>
    <cellStyle name="Comma 3 2 2 2 3" xfId="434" xr:uid="{00000000-0005-0000-0000-00009B030000}"/>
    <cellStyle name="Comma 3 2 2 2 3 2" xfId="880" xr:uid="{00000000-0005-0000-0000-00009C030000}"/>
    <cellStyle name="Comma 3 2 2 2 3 2 2" xfId="1747" xr:uid="{00000000-0005-0000-0000-00009D030000}"/>
    <cellStyle name="Comma 3 2 2 2 3 2 2 2" xfId="3486" xr:uid="{00000000-0005-0000-0000-00009E030000}"/>
    <cellStyle name="Comma 3 2 2 2 3 2 2 2 2" xfId="3912" xr:uid="{00000000-0005-0000-0000-00009F030000}"/>
    <cellStyle name="Comma 3 2 2 2 3 2 2 2 2 2" xfId="11141" xr:uid="{00000000-0005-0000-0000-0000A0030000}"/>
    <cellStyle name="Comma 3 2 2 2 3 2 2 2 3" xfId="10715" xr:uid="{00000000-0005-0000-0000-0000A1030000}"/>
    <cellStyle name="Comma 3 2 2 2 3 2 2 3" xfId="3911" xr:uid="{00000000-0005-0000-0000-0000A2030000}"/>
    <cellStyle name="Comma 3 2 2 2 3 2 2 3 2" xfId="11140" xr:uid="{00000000-0005-0000-0000-0000A3030000}"/>
    <cellStyle name="Comma 3 2 2 2 3 2 2 4" xfId="8977" xr:uid="{00000000-0005-0000-0000-0000A4030000}"/>
    <cellStyle name="Comma 3 2 2 2 3 2 3" xfId="2619" xr:uid="{00000000-0005-0000-0000-0000A5030000}"/>
    <cellStyle name="Comma 3 2 2 2 3 2 3 2" xfId="3913" xr:uid="{00000000-0005-0000-0000-0000A6030000}"/>
    <cellStyle name="Comma 3 2 2 2 3 2 3 2 2" xfId="11142" xr:uid="{00000000-0005-0000-0000-0000A7030000}"/>
    <cellStyle name="Comma 3 2 2 2 3 2 3 3" xfId="9848" xr:uid="{00000000-0005-0000-0000-0000A8030000}"/>
    <cellStyle name="Comma 3 2 2 2 3 2 4" xfId="3910" xr:uid="{00000000-0005-0000-0000-0000A9030000}"/>
    <cellStyle name="Comma 3 2 2 2 3 2 4 2" xfId="11139" xr:uid="{00000000-0005-0000-0000-0000AA030000}"/>
    <cellStyle name="Comma 3 2 2 2 3 2 5" xfId="8110" xr:uid="{00000000-0005-0000-0000-0000AB030000}"/>
    <cellStyle name="Comma 3 2 2 2 3 3" xfId="1316" xr:uid="{00000000-0005-0000-0000-0000AC030000}"/>
    <cellStyle name="Comma 3 2 2 2 3 3 2" xfId="3055" xr:uid="{00000000-0005-0000-0000-0000AD030000}"/>
    <cellStyle name="Comma 3 2 2 2 3 3 2 2" xfId="3915" xr:uid="{00000000-0005-0000-0000-0000AE030000}"/>
    <cellStyle name="Comma 3 2 2 2 3 3 2 2 2" xfId="11144" xr:uid="{00000000-0005-0000-0000-0000AF030000}"/>
    <cellStyle name="Comma 3 2 2 2 3 3 2 3" xfId="10284" xr:uid="{00000000-0005-0000-0000-0000B0030000}"/>
    <cellStyle name="Comma 3 2 2 2 3 3 3" xfId="3914" xr:uid="{00000000-0005-0000-0000-0000B1030000}"/>
    <cellStyle name="Comma 3 2 2 2 3 3 3 2" xfId="11143" xr:uid="{00000000-0005-0000-0000-0000B2030000}"/>
    <cellStyle name="Comma 3 2 2 2 3 3 4" xfId="8546" xr:uid="{00000000-0005-0000-0000-0000B3030000}"/>
    <cellStyle name="Comma 3 2 2 2 3 4" xfId="2188" xr:uid="{00000000-0005-0000-0000-0000B4030000}"/>
    <cellStyle name="Comma 3 2 2 2 3 4 2" xfId="3916" xr:uid="{00000000-0005-0000-0000-0000B5030000}"/>
    <cellStyle name="Comma 3 2 2 2 3 4 2 2" xfId="11145" xr:uid="{00000000-0005-0000-0000-0000B6030000}"/>
    <cellStyle name="Comma 3 2 2 2 3 4 3" xfId="9417" xr:uid="{00000000-0005-0000-0000-0000B7030000}"/>
    <cellStyle name="Comma 3 2 2 2 3 5" xfId="3909" xr:uid="{00000000-0005-0000-0000-0000B8030000}"/>
    <cellStyle name="Comma 3 2 2 2 3 5 2" xfId="11138" xr:uid="{00000000-0005-0000-0000-0000B9030000}"/>
    <cellStyle name="Comma 3 2 2 2 3 6" xfId="7679" xr:uid="{00000000-0005-0000-0000-0000BA030000}"/>
    <cellStyle name="Comma 3 2 2 2 4" xfId="653" xr:uid="{00000000-0005-0000-0000-0000BB030000}"/>
    <cellStyle name="Comma 3 2 2 2 4 2" xfId="1529" xr:uid="{00000000-0005-0000-0000-0000BC030000}"/>
    <cellStyle name="Comma 3 2 2 2 4 2 2" xfId="3268" xr:uid="{00000000-0005-0000-0000-0000BD030000}"/>
    <cellStyle name="Comma 3 2 2 2 4 2 2 2" xfId="3919" xr:uid="{00000000-0005-0000-0000-0000BE030000}"/>
    <cellStyle name="Comma 3 2 2 2 4 2 2 2 2" xfId="11148" xr:uid="{00000000-0005-0000-0000-0000BF030000}"/>
    <cellStyle name="Comma 3 2 2 2 4 2 2 3" xfId="10497" xr:uid="{00000000-0005-0000-0000-0000C0030000}"/>
    <cellStyle name="Comma 3 2 2 2 4 2 3" xfId="3918" xr:uid="{00000000-0005-0000-0000-0000C1030000}"/>
    <cellStyle name="Comma 3 2 2 2 4 2 3 2" xfId="11147" xr:uid="{00000000-0005-0000-0000-0000C2030000}"/>
    <cellStyle name="Comma 3 2 2 2 4 2 4" xfId="8759" xr:uid="{00000000-0005-0000-0000-0000C3030000}"/>
    <cellStyle name="Comma 3 2 2 2 4 3" xfId="2401" xr:uid="{00000000-0005-0000-0000-0000C4030000}"/>
    <cellStyle name="Comma 3 2 2 2 4 3 2" xfId="3920" xr:uid="{00000000-0005-0000-0000-0000C5030000}"/>
    <cellStyle name="Comma 3 2 2 2 4 3 2 2" xfId="11149" xr:uid="{00000000-0005-0000-0000-0000C6030000}"/>
    <cellStyle name="Comma 3 2 2 2 4 3 3" xfId="9630" xr:uid="{00000000-0005-0000-0000-0000C7030000}"/>
    <cellStyle name="Comma 3 2 2 2 4 4" xfId="3917" xr:uid="{00000000-0005-0000-0000-0000C8030000}"/>
    <cellStyle name="Comma 3 2 2 2 4 4 2" xfId="11146" xr:uid="{00000000-0005-0000-0000-0000C9030000}"/>
    <cellStyle name="Comma 3 2 2 2 4 5" xfId="7892" xr:uid="{00000000-0005-0000-0000-0000CA030000}"/>
    <cellStyle name="Comma 3 2 2 2 5" xfId="1098" xr:uid="{00000000-0005-0000-0000-0000CB030000}"/>
    <cellStyle name="Comma 3 2 2 2 5 2" xfId="2837" xr:uid="{00000000-0005-0000-0000-0000CC030000}"/>
    <cellStyle name="Comma 3 2 2 2 5 2 2" xfId="3922" xr:uid="{00000000-0005-0000-0000-0000CD030000}"/>
    <cellStyle name="Comma 3 2 2 2 5 2 2 2" xfId="11151" xr:uid="{00000000-0005-0000-0000-0000CE030000}"/>
    <cellStyle name="Comma 3 2 2 2 5 2 3" xfId="10066" xr:uid="{00000000-0005-0000-0000-0000CF030000}"/>
    <cellStyle name="Comma 3 2 2 2 5 3" xfId="3921" xr:uid="{00000000-0005-0000-0000-0000D0030000}"/>
    <cellStyle name="Comma 3 2 2 2 5 3 2" xfId="11150" xr:uid="{00000000-0005-0000-0000-0000D1030000}"/>
    <cellStyle name="Comma 3 2 2 2 5 4" xfId="8328" xr:uid="{00000000-0005-0000-0000-0000D2030000}"/>
    <cellStyle name="Comma 3 2 2 2 6" xfId="1970" xr:uid="{00000000-0005-0000-0000-0000D3030000}"/>
    <cellStyle name="Comma 3 2 2 2 6 2" xfId="3923" xr:uid="{00000000-0005-0000-0000-0000D4030000}"/>
    <cellStyle name="Comma 3 2 2 2 6 2 2" xfId="11152" xr:uid="{00000000-0005-0000-0000-0000D5030000}"/>
    <cellStyle name="Comma 3 2 2 2 6 3" xfId="9199" xr:uid="{00000000-0005-0000-0000-0000D6030000}"/>
    <cellStyle name="Comma 3 2 2 2 7" xfId="3892" xr:uid="{00000000-0005-0000-0000-0000D7030000}"/>
    <cellStyle name="Comma 3 2 2 2 7 2" xfId="11121" xr:uid="{00000000-0005-0000-0000-0000D8030000}"/>
    <cellStyle name="Comma 3 2 2 2 8" xfId="7459" xr:uid="{00000000-0005-0000-0000-0000D9030000}"/>
    <cellStyle name="Comma 3 2 2 3" xfId="277" xr:uid="{00000000-0005-0000-0000-0000DA030000}"/>
    <cellStyle name="Comma 3 2 2 3 2" xfId="503" xr:uid="{00000000-0005-0000-0000-0000DB030000}"/>
    <cellStyle name="Comma 3 2 2 3 2 2" xfId="949" xr:uid="{00000000-0005-0000-0000-0000DC030000}"/>
    <cellStyle name="Comma 3 2 2 3 2 2 2" xfId="1816" xr:uid="{00000000-0005-0000-0000-0000DD030000}"/>
    <cellStyle name="Comma 3 2 2 3 2 2 2 2" xfId="3555" xr:uid="{00000000-0005-0000-0000-0000DE030000}"/>
    <cellStyle name="Comma 3 2 2 3 2 2 2 2 2" xfId="3928" xr:uid="{00000000-0005-0000-0000-0000DF030000}"/>
    <cellStyle name="Comma 3 2 2 3 2 2 2 2 2 2" xfId="11157" xr:uid="{00000000-0005-0000-0000-0000E0030000}"/>
    <cellStyle name="Comma 3 2 2 3 2 2 2 2 3" xfId="10784" xr:uid="{00000000-0005-0000-0000-0000E1030000}"/>
    <cellStyle name="Comma 3 2 2 3 2 2 2 3" xfId="3927" xr:uid="{00000000-0005-0000-0000-0000E2030000}"/>
    <cellStyle name="Comma 3 2 2 3 2 2 2 3 2" xfId="11156" xr:uid="{00000000-0005-0000-0000-0000E3030000}"/>
    <cellStyle name="Comma 3 2 2 3 2 2 2 4" xfId="9046" xr:uid="{00000000-0005-0000-0000-0000E4030000}"/>
    <cellStyle name="Comma 3 2 2 3 2 2 3" xfId="2688" xr:uid="{00000000-0005-0000-0000-0000E5030000}"/>
    <cellStyle name="Comma 3 2 2 3 2 2 3 2" xfId="3929" xr:uid="{00000000-0005-0000-0000-0000E6030000}"/>
    <cellStyle name="Comma 3 2 2 3 2 2 3 2 2" xfId="11158" xr:uid="{00000000-0005-0000-0000-0000E7030000}"/>
    <cellStyle name="Comma 3 2 2 3 2 2 3 3" xfId="9917" xr:uid="{00000000-0005-0000-0000-0000E8030000}"/>
    <cellStyle name="Comma 3 2 2 3 2 2 4" xfId="3926" xr:uid="{00000000-0005-0000-0000-0000E9030000}"/>
    <cellStyle name="Comma 3 2 2 3 2 2 4 2" xfId="11155" xr:uid="{00000000-0005-0000-0000-0000EA030000}"/>
    <cellStyle name="Comma 3 2 2 3 2 2 5" xfId="8179" xr:uid="{00000000-0005-0000-0000-0000EB030000}"/>
    <cellStyle name="Comma 3 2 2 3 2 3" xfId="1385" xr:uid="{00000000-0005-0000-0000-0000EC030000}"/>
    <cellStyle name="Comma 3 2 2 3 2 3 2" xfId="3124" xr:uid="{00000000-0005-0000-0000-0000ED030000}"/>
    <cellStyle name="Comma 3 2 2 3 2 3 2 2" xfId="3931" xr:uid="{00000000-0005-0000-0000-0000EE030000}"/>
    <cellStyle name="Comma 3 2 2 3 2 3 2 2 2" xfId="11160" xr:uid="{00000000-0005-0000-0000-0000EF030000}"/>
    <cellStyle name="Comma 3 2 2 3 2 3 2 3" xfId="10353" xr:uid="{00000000-0005-0000-0000-0000F0030000}"/>
    <cellStyle name="Comma 3 2 2 3 2 3 3" xfId="3930" xr:uid="{00000000-0005-0000-0000-0000F1030000}"/>
    <cellStyle name="Comma 3 2 2 3 2 3 3 2" xfId="11159" xr:uid="{00000000-0005-0000-0000-0000F2030000}"/>
    <cellStyle name="Comma 3 2 2 3 2 3 4" xfId="8615" xr:uid="{00000000-0005-0000-0000-0000F3030000}"/>
    <cellStyle name="Comma 3 2 2 3 2 4" xfId="2257" xr:uid="{00000000-0005-0000-0000-0000F4030000}"/>
    <cellStyle name="Comma 3 2 2 3 2 4 2" xfId="3932" xr:uid="{00000000-0005-0000-0000-0000F5030000}"/>
    <cellStyle name="Comma 3 2 2 3 2 4 2 2" xfId="11161" xr:uid="{00000000-0005-0000-0000-0000F6030000}"/>
    <cellStyle name="Comma 3 2 2 3 2 4 3" xfId="9486" xr:uid="{00000000-0005-0000-0000-0000F7030000}"/>
    <cellStyle name="Comma 3 2 2 3 2 5" xfId="3925" xr:uid="{00000000-0005-0000-0000-0000F8030000}"/>
    <cellStyle name="Comma 3 2 2 3 2 5 2" xfId="11154" xr:uid="{00000000-0005-0000-0000-0000F9030000}"/>
    <cellStyle name="Comma 3 2 2 3 2 6" xfId="7748" xr:uid="{00000000-0005-0000-0000-0000FA030000}"/>
    <cellStyle name="Comma 3 2 2 3 3" xfId="725" xr:uid="{00000000-0005-0000-0000-0000FB030000}"/>
    <cellStyle name="Comma 3 2 2 3 3 2" xfId="1598" xr:uid="{00000000-0005-0000-0000-0000FC030000}"/>
    <cellStyle name="Comma 3 2 2 3 3 2 2" xfId="3337" xr:uid="{00000000-0005-0000-0000-0000FD030000}"/>
    <cellStyle name="Comma 3 2 2 3 3 2 2 2" xfId="3935" xr:uid="{00000000-0005-0000-0000-0000FE030000}"/>
    <cellStyle name="Comma 3 2 2 3 3 2 2 2 2" xfId="11164" xr:uid="{00000000-0005-0000-0000-0000FF030000}"/>
    <cellStyle name="Comma 3 2 2 3 3 2 2 3" xfId="10566" xr:uid="{00000000-0005-0000-0000-000000040000}"/>
    <cellStyle name="Comma 3 2 2 3 3 2 3" xfId="3934" xr:uid="{00000000-0005-0000-0000-000001040000}"/>
    <cellStyle name="Comma 3 2 2 3 3 2 3 2" xfId="11163" xr:uid="{00000000-0005-0000-0000-000002040000}"/>
    <cellStyle name="Comma 3 2 2 3 3 2 4" xfId="8828" xr:uid="{00000000-0005-0000-0000-000003040000}"/>
    <cellStyle name="Comma 3 2 2 3 3 3" xfId="2470" xr:uid="{00000000-0005-0000-0000-000004040000}"/>
    <cellStyle name="Comma 3 2 2 3 3 3 2" xfId="3936" xr:uid="{00000000-0005-0000-0000-000005040000}"/>
    <cellStyle name="Comma 3 2 2 3 3 3 2 2" xfId="11165" xr:uid="{00000000-0005-0000-0000-000006040000}"/>
    <cellStyle name="Comma 3 2 2 3 3 3 3" xfId="9699" xr:uid="{00000000-0005-0000-0000-000007040000}"/>
    <cellStyle name="Comma 3 2 2 3 3 4" xfId="3933" xr:uid="{00000000-0005-0000-0000-000008040000}"/>
    <cellStyle name="Comma 3 2 2 3 3 4 2" xfId="11162" xr:uid="{00000000-0005-0000-0000-000009040000}"/>
    <cellStyle name="Comma 3 2 2 3 3 5" xfId="7961" xr:uid="{00000000-0005-0000-0000-00000A040000}"/>
    <cellStyle name="Comma 3 2 2 3 4" xfId="1167" xr:uid="{00000000-0005-0000-0000-00000B040000}"/>
    <cellStyle name="Comma 3 2 2 3 4 2" xfId="2906" xr:uid="{00000000-0005-0000-0000-00000C040000}"/>
    <cellStyle name="Comma 3 2 2 3 4 2 2" xfId="3938" xr:uid="{00000000-0005-0000-0000-00000D040000}"/>
    <cellStyle name="Comma 3 2 2 3 4 2 2 2" xfId="11167" xr:uid="{00000000-0005-0000-0000-00000E040000}"/>
    <cellStyle name="Comma 3 2 2 3 4 2 3" xfId="10135" xr:uid="{00000000-0005-0000-0000-00000F040000}"/>
    <cellStyle name="Comma 3 2 2 3 4 3" xfId="3937" xr:uid="{00000000-0005-0000-0000-000010040000}"/>
    <cellStyle name="Comma 3 2 2 3 4 3 2" xfId="11166" xr:uid="{00000000-0005-0000-0000-000011040000}"/>
    <cellStyle name="Comma 3 2 2 3 4 4" xfId="8397" xr:uid="{00000000-0005-0000-0000-000012040000}"/>
    <cellStyle name="Comma 3 2 2 3 5" xfId="2039" xr:uid="{00000000-0005-0000-0000-000013040000}"/>
    <cellStyle name="Comma 3 2 2 3 5 2" xfId="3939" xr:uid="{00000000-0005-0000-0000-000014040000}"/>
    <cellStyle name="Comma 3 2 2 3 5 2 2" xfId="11168" xr:uid="{00000000-0005-0000-0000-000015040000}"/>
    <cellStyle name="Comma 3 2 2 3 5 3" xfId="9268" xr:uid="{00000000-0005-0000-0000-000016040000}"/>
    <cellStyle name="Comma 3 2 2 3 6" xfId="3924" xr:uid="{00000000-0005-0000-0000-000017040000}"/>
    <cellStyle name="Comma 3 2 2 3 6 2" xfId="11153" xr:uid="{00000000-0005-0000-0000-000018040000}"/>
    <cellStyle name="Comma 3 2 2 3 7" xfId="7530" xr:uid="{00000000-0005-0000-0000-000019040000}"/>
    <cellStyle name="Comma 3 2 2 4" xfId="401" xr:uid="{00000000-0005-0000-0000-00001A040000}"/>
    <cellStyle name="Comma 3 2 2 4 2" xfId="847" xr:uid="{00000000-0005-0000-0000-00001B040000}"/>
    <cellStyle name="Comma 3 2 2 4 2 2" xfId="1714" xr:uid="{00000000-0005-0000-0000-00001C040000}"/>
    <cellStyle name="Comma 3 2 2 4 2 2 2" xfId="3453" xr:uid="{00000000-0005-0000-0000-00001D040000}"/>
    <cellStyle name="Comma 3 2 2 4 2 2 2 2" xfId="3943" xr:uid="{00000000-0005-0000-0000-00001E040000}"/>
    <cellStyle name="Comma 3 2 2 4 2 2 2 2 2" xfId="11172" xr:uid="{00000000-0005-0000-0000-00001F040000}"/>
    <cellStyle name="Comma 3 2 2 4 2 2 2 3" xfId="10682" xr:uid="{00000000-0005-0000-0000-000020040000}"/>
    <cellStyle name="Comma 3 2 2 4 2 2 3" xfId="3942" xr:uid="{00000000-0005-0000-0000-000021040000}"/>
    <cellStyle name="Comma 3 2 2 4 2 2 3 2" xfId="11171" xr:uid="{00000000-0005-0000-0000-000022040000}"/>
    <cellStyle name="Comma 3 2 2 4 2 2 4" xfId="8944" xr:uid="{00000000-0005-0000-0000-000023040000}"/>
    <cellStyle name="Comma 3 2 2 4 2 3" xfId="2586" xr:uid="{00000000-0005-0000-0000-000024040000}"/>
    <cellStyle name="Comma 3 2 2 4 2 3 2" xfId="3944" xr:uid="{00000000-0005-0000-0000-000025040000}"/>
    <cellStyle name="Comma 3 2 2 4 2 3 2 2" xfId="11173" xr:uid="{00000000-0005-0000-0000-000026040000}"/>
    <cellStyle name="Comma 3 2 2 4 2 3 3" xfId="9815" xr:uid="{00000000-0005-0000-0000-000027040000}"/>
    <cellStyle name="Comma 3 2 2 4 2 4" xfId="3941" xr:uid="{00000000-0005-0000-0000-000028040000}"/>
    <cellStyle name="Comma 3 2 2 4 2 4 2" xfId="11170" xr:uid="{00000000-0005-0000-0000-000029040000}"/>
    <cellStyle name="Comma 3 2 2 4 2 5" xfId="8077" xr:uid="{00000000-0005-0000-0000-00002A040000}"/>
    <cellStyle name="Comma 3 2 2 4 3" xfId="1283" xr:uid="{00000000-0005-0000-0000-00002B040000}"/>
    <cellStyle name="Comma 3 2 2 4 3 2" xfId="3022" xr:uid="{00000000-0005-0000-0000-00002C040000}"/>
    <cellStyle name="Comma 3 2 2 4 3 2 2" xfId="3946" xr:uid="{00000000-0005-0000-0000-00002D040000}"/>
    <cellStyle name="Comma 3 2 2 4 3 2 2 2" xfId="11175" xr:uid="{00000000-0005-0000-0000-00002E040000}"/>
    <cellStyle name="Comma 3 2 2 4 3 2 3" xfId="10251" xr:uid="{00000000-0005-0000-0000-00002F040000}"/>
    <cellStyle name="Comma 3 2 2 4 3 3" xfId="3945" xr:uid="{00000000-0005-0000-0000-000030040000}"/>
    <cellStyle name="Comma 3 2 2 4 3 3 2" xfId="11174" xr:uid="{00000000-0005-0000-0000-000031040000}"/>
    <cellStyle name="Comma 3 2 2 4 3 4" xfId="8513" xr:uid="{00000000-0005-0000-0000-000032040000}"/>
    <cellStyle name="Comma 3 2 2 4 4" xfId="2155" xr:uid="{00000000-0005-0000-0000-000033040000}"/>
    <cellStyle name="Comma 3 2 2 4 4 2" xfId="3947" xr:uid="{00000000-0005-0000-0000-000034040000}"/>
    <cellStyle name="Comma 3 2 2 4 4 2 2" xfId="11176" xr:uid="{00000000-0005-0000-0000-000035040000}"/>
    <cellStyle name="Comma 3 2 2 4 4 3" xfId="9384" xr:uid="{00000000-0005-0000-0000-000036040000}"/>
    <cellStyle name="Comma 3 2 2 4 5" xfId="3940" xr:uid="{00000000-0005-0000-0000-000037040000}"/>
    <cellStyle name="Comma 3 2 2 4 5 2" xfId="11169" xr:uid="{00000000-0005-0000-0000-000038040000}"/>
    <cellStyle name="Comma 3 2 2 4 6" xfId="7646" xr:uid="{00000000-0005-0000-0000-000039040000}"/>
    <cellStyle name="Comma 3 2 2 5" xfId="620" xr:uid="{00000000-0005-0000-0000-00003A040000}"/>
    <cellStyle name="Comma 3 2 2 5 2" xfId="1496" xr:uid="{00000000-0005-0000-0000-00003B040000}"/>
    <cellStyle name="Comma 3 2 2 5 2 2" xfId="3235" xr:uid="{00000000-0005-0000-0000-00003C040000}"/>
    <cellStyle name="Comma 3 2 2 5 2 2 2" xfId="3950" xr:uid="{00000000-0005-0000-0000-00003D040000}"/>
    <cellStyle name="Comma 3 2 2 5 2 2 2 2" xfId="11179" xr:uid="{00000000-0005-0000-0000-00003E040000}"/>
    <cellStyle name="Comma 3 2 2 5 2 2 3" xfId="10464" xr:uid="{00000000-0005-0000-0000-00003F040000}"/>
    <cellStyle name="Comma 3 2 2 5 2 3" xfId="3949" xr:uid="{00000000-0005-0000-0000-000040040000}"/>
    <cellStyle name="Comma 3 2 2 5 2 3 2" xfId="11178" xr:uid="{00000000-0005-0000-0000-000041040000}"/>
    <cellStyle name="Comma 3 2 2 5 2 4" xfId="8726" xr:uid="{00000000-0005-0000-0000-000042040000}"/>
    <cellStyle name="Comma 3 2 2 5 3" xfId="2368" xr:uid="{00000000-0005-0000-0000-000043040000}"/>
    <cellStyle name="Comma 3 2 2 5 3 2" xfId="3951" xr:uid="{00000000-0005-0000-0000-000044040000}"/>
    <cellStyle name="Comma 3 2 2 5 3 2 2" xfId="11180" xr:uid="{00000000-0005-0000-0000-000045040000}"/>
    <cellStyle name="Comma 3 2 2 5 3 3" xfId="9597" xr:uid="{00000000-0005-0000-0000-000046040000}"/>
    <cellStyle name="Comma 3 2 2 5 4" xfId="3948" xr:uid="{00000000-0005-0000-0000-000047040000}"/>
    <cellStyle name="Comma 3 2 2 5 4 2" xfId="11177" xr:uid="{00000000-0005-0000-0000-000048040000}"/>
    <cellStyle name="Comma 3 2 2 5 5" xfId="7859" xr:uid="{00000000-0005-0000-0000-000049040000}"/>
    <cellStyle name="Comma 3 2 2 6" xfId="1065" xr:uid="{00000000-0005-0000-0000-00004A040000}"/>
    <cellStyle name="Comma 3 2 2 6 2" xfId="2804" xr:uid="{00000000-0005-0000-0000-00004B040000}"/>
    <cellStyle name="Comma 3 2 2 6 2 2" xfId="3953" xr:uid="{00000000-0005-0000-0000-00004C040000}"/>
    <cellStyle name="Comma 3 2 2 6 2 2 2" xfId="11182" xr:uid="{00000000-0005-0000-0000-00004D040000}"/>
    <cellStyle name="Comma 3 2 2 6 2 3" xfId="10033" xr:uid="{00000000-0005-0000-0000-00004E040000}"/>
    <cellStyle name="Comma 3 2 2 6 3" xfId="3952" xr:uid="{00000000-0005-0000-0000-00004F040000}"/>
    <cellStyle name="Comma 3 2 2 6 3 2" xfId="11181" xr:uid="{00000000-0005-0000-0000-000050040000}"/>
    <cellStyle name="Comma 3 2 2 6 4" xfId="8295" xr:uid="{00000000-0005-0000-0000-000051040000}"/>
    <cellStyle name="Comma 3 2 2 7" xfId="1937" xr:uid="{00000000-0005-0000-0000-000052040000}"/>
    <cellStyle name="Comma 3 2 2 7 2" xfId="3954" xr:uid="{00000000-0005-0000-0000-000053040000}"/>
    <cellStyle name="Comma 3 2 2 7 2 2" xfId="11183" xr:uid="{00000000-0005-0000-0000-000054040000}"/>
    <cellStyle name="Comma 3 2 2 7 3" xfId="9166" xr:uid="{00000000-0005-0000-0000-000055040000}"/>
    <cellStyle name="Comma 3 2 2 8" xfId="3891" xr:uid="{00000000-0005-0000-0000-000056040000}"/>
    <cellStyle name="Comma 3 2 2 8 2" xfId="11120" xr:uid="{00000000-0005-0000-0000-000057040000}"/>
    <cellStyle name="Comma 3 2 2 9" xfId="7426" xr:uid="{00000000-0005-0000-0000-000058040000}"/>
    <cellStyle name="Comma 3 2 3" xfId="81" xr:uid="{00000000-0005-0000-0000-000059040000}"/>
    <cellStyle name="Comma 3 2 3 2" xfId="3955" xr:uid="{00000000-0005-0000-0000-00005A040000}"/>
    <cellStyle name="Comma 3 2 3 2 2" xfId="11184" xr:uid="{00000000-0005-0000-0000-00005B040000}"/>
    <cellStyle name="Comma 3 2 4" xfId="65" xr:uid="{00000000-0005-0000-0000-00005C040000}"/>
    <cellStyle name="Comma 3 2 4 2" xfId="3956" xr:uid="{00000000-0005-0000-0000-00005D040000}"/>
    <cellStyle name="Comma 3 2 4 2 2" xfId="11185" xr:uid="{00000000-0005-0000-0000-00005E040000}"/>
    <cellStyle name="Comma 3 2 5" xfId="175" xr:uid="{00000000-0005-0000-0000-00005F040000}"/>
    <cellStyle name="Comma 3 2 5 2" xfId="3957" xr:uid="{00000000-0005-0000-0000-000060040000}"/>
    <cellStyle name="Comma 3 2 5 2 2" xfId="11186" xr:uid="{00000000-0005-0000-0000-000061040000}"/>
    <cellStyle name="Comma 3 2 6" xfId="3890" xr:uid="{00000000-0005-0000-0000-000062040000}"/>
    <cellStyle name="Comma 3 2 6 2" xfId="11119" xr:uid="{00000000-0005-0000-0000-000063040000}"/>
    <cellStyle name="Comma 3 3" xfId="31" xr:uid="{00000000-0005-0000-0000-000064040000}"/>
    <cellStyle name="Comma 3 3 2" xfId="176" xr:uid="{00000000-0005-0000-0000-000065040000}"/>
    <cellStyle name="Comma 3 3 2 2" xfId="3959" xr:uid="{00000000-0005-0000-0000-000066040000}"/>
    <cellStyle name="Comma 3 3 2 2 2" xfId="11188" xr:uid="{00000000-0005-0000-0000-000067040000}"/>
    <cellStyle name="Comma 3 3 3" xfId="3958" xr:uid="{00000000-0005-0000-0000-000068040000}"/>
    <cellStyle name="Comma 3 3 3 2" xfId="11187" xr:uid="{00000000-0005-0000-0000-000069040000}"/>
    <cellStyle name="Comma 3 4" xfId="80" xr:uid="{00000000-0005-0000-0000-00006A040000}"/>
    <cellStyle name="Comma 3 4 2" xfId="3960" xr:uid="{00000000-0005-0000-0000-00006B040000}"/>
    <cellStyle name="Comma 3 4 2 2" xfId="11189" xr:uid="{00000000-0005-0000-0000-00006C040000}"/>
    <cellStyle name="Comma 3 5" xfId="64" xr:uid="{00000000-0005-0000-0000-00006D040000}"/>
    <cellStyle name="Comma 3 5 2" xfId="3961" xr:uid="{00000000-0005-0000-0000-00006E040000}"/>
    <cellStyle name="Comma 3 5 2 2" xfId="11190" xr:uid="{00000000-0005-0000-0000-00006F040000}"/>
    <cellStyle name="Comma 3 6" xfId="177" xr:uid="{00000000-0005-0000-0000-000070040000}"/>
    <cellStyle name="Comma 3 6 2" xfId="669" xr:uid="{00000000-0005-0000-0000-000071040000}"/>
    <cellStyle name="Comma 3 6 2 2" xfId="3963" xr:uid="{00000000-0005-0000-0000-000072040000}"/>
    <cellStyle name="Comma 3 6 2 2 2" xfId="11192" xr:uid="{00000000-0005-0000-0000-000073040000}"/>
    <cellStyle name="Comma 3 6 3" xfId="3962" xr:uid="{00000000-0005-0000-0000-000074040000}"/>
    <cellStyle name="Comma 3 6 3 2" xfId="11191" xr:uid="{00000000-0005-0000-0000-000075040000}"/>
    <cellStyle name="Comma 3 7" xfId="372" xr:uid="{00000000-0005-0000-0000-000076040000}"/>
    <cellStyle name="Comma 3 7 2" xfId="818" xr:uid="{00000000-0005-0000-0000-000077040000}"/>
    <cellStyle name="Comma 3 7 2 2" xfId="3965" xr:uid="{00000000-0005-0000-0000-000078040000}"/>
    <cellStyle name="Comma 3 7 2 2 2" xfId="11194" xr:uid="{00000000-0005-0000-0000-000079040000}"/>
    <cellStyle name="Comma 3 7 3" xfId="3964" xr:uid="{00000000-0005-0000-0000-00007A040000}"/>
    <cellStyle name="Comma 3 7 3 2" xfId="11193" xr:uid="{00000000-0005-0000-0000-00007B040000}"/>
    <cellStyle name="Comma 3 8" xfId="3966" xr:uid="{00000000-0005-0000-0000-00007C040000}"/>
    <cellStyle name="Comma 3 8 2" xfId="11195" xr:uid="{00000000-0005-0000-0000-00007D040000}"/>
    <cellStyle name="Comma 3 9" xfId="3889" xr:uid="{00000000-0005-0000-0000-00007E040000}"/>
    <cellStyle name="Comma 3 9 2" xfId="11118" xr:uid="{00000000-0005-0000-0000-00007F040000}"/>
    <cellStyle name="Comma 30" xfId="374" xr:uid="{00000000-0005-0000-0000-000080040000}"/>
    <cellStyle name="Comma 30 2" xfId="820" xr:uid="{00000000-0005-0000-0000-000081040000}"/>
    <cellStyle name="Comma 30 2 2" xfId="3969" xr:uid="{00000000-0005-0000-0000-000082040000}"/>
    <cellStyle name="Comma 30 2 2 2" xfId="11198" xr:uid="{00000000-0005-0000-0000-000083040000}"/>
    <cellStyle name="Comma 30 2 3" xfId="3968" xr:uid="{00000000-0005-0000-0000-000084040000}"/>
    <cellStyle name="Comma 30 2 3 2" xfId="11197" xr:uid="{00000000-0005-0000-0000-000085040000}"/>
    <cellStyle name="Comma 30 3" xfId="3970" xr:uid="{00000000-0005-0000-0000-000086040000}"/>
    <cellStyle name="Comma 30 3 2" xfId="11199" xr:uid="{00000000-0005-0000-0000-000087040000}"/>
    <cellStyle name="Comma 30 4" xfId="3967" xr:uid="{00000000-0005-0000-0000-000088040000}"/>
    <cellStyle name="Comma 30 4 2" xfId="11196" xr:uid="{00000000-0005-0000-0000-000089040000}"/>
    <cellStyle name="Comma 4" xfId="7" xr:uid="{00000000-0005-0000-0000-00008A040000}"/>
    <cellStyle name="Comma 4 2" xfId="8" xr:uid="{00000000-0005-0000-0000-00008B040000}"/>
    <cellStyle name="Comma 4 2 2" xfId="83" xr:uid="{00000000-0005-0000-0000-00008C040000}"/>
    <cellStyle name="Comma 4 2 2 2" xfId="3973" xr:uid="{00000000-0005-0000-0000-00008D040000}"/>
    <cellStyle name="Comma 4 2 2 2 2" xfId="11202" xr:uid="{00000000-0005-0000-0000-00008E040000}"/>
    <cellStyle name="Comma 4 2 3" xfId="67" xr:uid="{00000000-0005-0000-0000-00008F040000}"/>
    <cellStyle name="Comma 4 2 3 2" xfId="3974" xr:uid="{00000000-0005-0000-0000-000090040000}"/>
    <cellStyle name="Comma 4 2 3 2 2" xfId="11203" xr:uid="{00000000-0005-0000-0000-000091040000}"/>
    <cellStyle name="Comma 4 2 4" xfId="3972" xr:uid="{00000000-0005-0000-0000-000092040000}"/>
    <cellStyle name="Comma 4 2 4 2" xfId="11201" xr:uid="{00000000-0005-0000-0000-000093040000}"/>
    <cellStyle name="Comma 4 3" xfId="46" xr:uid="{00000000-0005-0000-0000-000094040000}"/>
    <cellStyle name="Comma 4 3 2" xfId="619" xr:uid="{00000000-0005-0000-0000-000095040000}"/>
    <cellStyle name="Comma 4 3 2 2" xfId="3976" xr:uid="{00000000-0005-0000-0000-000096040000}"/>
    <cellStyle name="Comma 4 3 2 2 2" xfId="11205" xr:uid="{00000000-0005-0000-0000-000097040000}"/>
    <cellStyle name="Comma 4 3 3" xfId="3975" xr:uid="{00000000-0005-0000-0000-000098040000}"/>
    <cellStyle name="Comma 4 3 3 2" xfId="11204" xr:uid="{00000000-0005-0000-0000-000099040000}"/>
    <cellStyle name="Comma 4 4" xfId="82" xr:uid="{00000000-0005-0000-0000-00009A040000}"/>
    <cellStyle name="Comma 4 4 2" xfId="3977" xr:uid="{00000000-0005-0000-0000-00009B040000}"/>
    <cellStyle name="Comma 4 4 2 2" xfId="11206" xr:uid="{00000000-0005-0000-0000-00009C040000}"/>
    <cellStyle name="Comma 4 5" xfId="66" xr:uid="{00000000-0005-0000-0000-00009D040000}"/>
    <cellStyle name="Comma 4 5 2" xfId="3978" xr:uid="{00000000-0005-0000-0000-00009E040000}"/>
    <cellStyle name="Comma 4 5 2 2" xfId="11207" xr:uid="{00000000-0005-0000-0000-00009F040000}"/>
    <cellStyle name="Comma 4 6" xfId="375" xr:uid="{00000000-0005-0000-0000-0000A0040000}"/>
    <cellStyle name="Comma 4 6 2" xfId="821" xr:uid="{00000000-0005-0000-0000-0000A1040000}"/>
    <cellStyle name="Comma 4 6 2 2" xfId="3980" xr:uid="{00000000-0005-0000-0000-0000A2040000}"/>
    <cellStyle name="Comma 4 6 2 2 2" xfId="11209" xr:uid="{00000000-0005-0000-0000-0000A3040000}"/>
    <cellStyle name="Comma 4 6 3" xfId="3979" xr:uid="{00000000-0005-0000-0000-0000A4040000}"/>
    <cellStyle name="Comma 4 6 3 2" xfId="11208" xr:uid="{00000000-0005-0000-0000-0000A5040000}"/>
    <cellStyle name="Comma 4 7" xfId="3971" xr:uid="{00000000-0005-0000-0000-0000A6040000}"/>
    <cellStyle name="Comma 4 7 2" xfId="11200" xr:uid="{00000000-0005-0000-0000-0000A7040000}"/>
    <cellStyle name="Comma 5" xfId="61" xr:uid="{00000000-0005-0000-0000-0000A8040000}"/>
    <cellStyle name="Comma 5 2" xfId="3981" xr:uid="{00000000-0005-0000-0000-0000A9040000}"/>
    <cellStyle name="Comma 5 2 2" xfId="11210" xr:uid="{00000000-0005-0000-0000-0000AA040000}"/>
    <cellStyle name="Comma 6" xfId="9" xr:uid="{00000000-0005-0000-0000-0000AB040000}"/>
    <cellStyle name="Comma 6 2" xfId="10" xr:uid="{00000000-0005-0000-0000-0000AC040000}"/>
    <cellStyle name="Comma 6 2 2" xfId="85" xr:uid="{00000000-0005-0000-0000-0000AD040000}"/>
    <cellStyle name="Comma 6 2 2 2" xfId="3984" xr:uid="{00000000-0005-0000-0000-0000AE040000}"/>
    <cellStyle name="Comma 6 2 2 2 2" xfId="11213" xr:uid="{00000000-0005-0000-0000-0000AF040000}"/>
    <cellStyle name="Comma 6 2 3" xfId="69" xr:uid="{00000000-0005-0000-0000-0000B0040000}"/>
    <cellStyle name="Comma 6 2 3 2" xfId="3985" xr:uid="{00000000-0005-0000-0000-0000B1040000}"/>
    <cellStyle name="Comma 6 2 3 2 2" xfId="11214" xr:uid="{00000000-0005-0000-0000-0000B2040000}"/>
    <cellStyle name="Comma 6 2 4" xfId="3983" xr:uid="{00000000-0005-0000-0000-0000B3040000}"/>
    <cellStyle name="Comma 6 2 4 2" xfId="11212" xr:uid="{00000000-0005-0000-0000-0000B4040000}"/>
    <cellStyle name="Comma 6 3" xfId="84" xr:uid="{00000000-0005-0000-0000-0000B5040000}"/>
    <cellStyle name="Comma 6 3 2" xfId="3986" xr:uid="{00000000-0005-0000-0000-0000B6040000}"/>
    <cellStyle name="Comma 6 3 2 2" xfId="11215" xr:uid="{00000000-0005-0000-0000-0000B7040000}"/>
    <cellStyle name="Comma 6 4" xfId="68" xr:uid="{00000000-0005-0000-0000-0000B8040000}"/>
    <cellStyle name="Comma 6 4 2" xfId="3987" xr:uid="{00000000-0005-0000-0000-0000B9040000}"/>
    <cellStyle name="Comma 6 4 2 2" xfId="11216" xr:uid="{00000000-0005-0000-0000-0000BA040000}"/>
    <cellStyle name="Comma 6 5" xfId="3982" xr:uid="{00000000-0005-0000-0000-0000BB040000}"/>
    <cellStyle name="Comma 6 5 2" xfId="11211" xr:uid="{00000000-0005-0000-0000-0000BC040000}"/>
    <cellStyle name="Comma 7" xfId="11" xr:uid="{00000000-0005-0000-0000-0000BD040000}"/>
    <cellStyle name="Comma 7 2" xfId="25" xr:uid="{00000000-0005-0000-0000-0000BE040000}"/>
    <cellStyle name="Comma 7 2 2" xfId="178" xr:uid="{00000000-0005-0000-0000-0000BF040000}"/>
    <cellStyle name="Comma 7 2 2 2" xfId="670" xr:uid="{00000000-0005-0000-0000-0000C0040000}"/>
    <cellStyle name="Comma 7 2 2 2 2" xfId="3991" xr:uid="{00000000-0005-0000-0000-0000C1040000}"/>
    <cellStyle name="Comma 7 2 2 2 2 2" xfId="11220" xr:uid="{00000000-0005-0000-0000-0000C2040000}"/>
    <cellStyle name="Comma 7 2 2 3" xfId="3990" xr:uid="{00000000-0005-0000-0000-0000C3040000}"/>
    <cellStyle name="Comma 7 2 2 3 2" xfId="11219" xr:uid="{00000000-0005-0000-0000-0000C4040000}"/>
    <cellStyle name="Comma 7 2 3" xfId="3989" xr:uid="{00000000-0005-0000-0000-0000C5040000}"/>
    <cellStyle name="Comma 7 2 3 2" xfId="11218" xr:uid="{00000000-0005-0000-0000-0000C6040000}"/>
    <cellStyle name="Comma 7 3" xfId="86" xr:uid="{00000000-0005-0000-0000-0000C7040000}"/>
    <cellStyle name="Comma 7 3 2" xfId="3992" xr:uid="{00000000-0005-0000-0000-0000C8040000}"/>
    <cellStyle name="Comma 7 3 2 2" xfId="11221" xr:uid="{00000000-0005-0000-0000-0000C9040000}"/>
    <cellStyle name="Comma 7 4" xfId="3988" xr:uid="{00000000-0005-0000-0000-0000CA040000}"/>
    <cellStyle name="Comma 7 4 2" xfId="11217" xr:uid="{00000000-0005-0000-0000-0000CB040000}"/>
    <cellStyle name="Comma 8" xfId="12" xr:uid="{00000000-0005-0000-0000-0000CC040000}"/>
    <cellStyle name="Comma 8 2" xfId="87" xr:uid="{00000000-0005-0000-0000-0000CD040000}"/>
    <cellStyle name="Comma 8 2 2" xfId="3994" xr:uid="{00000000-0005-0000-0000-0000CE040000}"/>
    <cellStyle name="Comma 8 2 2 2" xfId="11223" xr:uid="{00000000-0005-0000-0000-0000CF040000}"/>
    <cellStyle name="Comma 8 3" xfId="70" xr:uid="{00000000-0005-0000-0000-0000D0040000}"/>
    <cellStyle name="Comma 8 3 2" xfId="3995" xr:uid="{00000000-0005-0000-0000-0000D1040000}"/>
    <cellStyle name="Comma 8 3 2 2" xfId="11224" xr:uid="{00000000-0005-0000-0000-0000D2040000}"/>
    <cellStyle name="Comma 8 4" xfId="3993" xr:uid="{00000000-0005-0000-0000-0000D3040000}"/>
    <cellStyle name="Comma 8 4 2" xfId="11222" xr:uid="{00000000-0005-0000-0000-0000D4040000}"/>
    <cellStyle name="Comma 9" xfId="29" xr:uid="{00000000-0005-0000-0000-0000D5040000}"/>
    <cellStyle name="Comma 9 2" xfId="96" xr:uid="{00000000-0005-0000-0000-0000D6040000}"/>
    <cellStyle name="Comma 9 2 2" xfId="303" xr:uid="{00000000-0005-0000-0000-0000D7040000}"/>
    <cellStyle name="Comma 9 2 2 2" xfId="529" xr:uid="{00000000-0005-0000-0000-0000D8040000}"/>
    <cellStyle name="Comma 9 2 2 2 2" xfId="975" xr:uid="{00000000-0005-0000-0000-0000D9040000}"/>
    <cellStyle name="Comma 9 2 2 2 2 2" xfId="1842" xr:uid="{00000000-0005-0000-0000-0000DA040000}"/>
    <cellStyle name="Comma 9 2 2 2 2 2 2" xfId="3581" xr:uid="{00000000-0005-0000-0000-0000DB040000}"/>
    <cellStyle name="Comma 9 2 2 2 2 2 2 2" xfId="4002" xr:uid="{00000000-0005-0000-0000-0000DC040000}"/>
    <cellStyle name="Comma 9 2 2 2 2 2 2 2 2" xfId="11231" xr:uid="{00000000-0005-0000-0000-0000DD040000}"/>
    <cellStyle name="Comma 9 2 2 2 2 2 2 3" xfId="10810" xr:uid="{00000000-0005-0000-0000-0000DE040000}"/>
    <cellStyle name="Comma 9 2 2 2 2 2 3" xfId="4001" xr:uid="{00000000-0005-0000-0000-0000DF040000}"/>
    <cellStyle name="Comma 9 2 2 2 2 2 3 2" xfId="11230" xr:uid="{00000000-0005-0000-0000-0000E0040000}"/>
    <cellStyle name="Comma 9 2 2 2 2 2 4" xfId="9072" xr:uid="{00000000-0005-0000-0000-0000E1040000}"/>
    <cellStyle name="Comma 9 2 2 2 2 3" xfId="2714" xr:uid="{00000000-0005-0000-0000-0000E2040000}"/>
    <cellStyle name="Comma 9 2 2 2 2 3 2" xfId="4003" xr:uid="{00000000-0005-0000-0000-0000E3040000}"/>
    <cellStyle name="Comma 9 2 2 2 2 3 2 2" xfId="11232" xr:uid="{00000000-0005-0000-0000-0000E4040000}"/>
    <cellStyle name="Comma 9 2 2 2 2 3 3" xfId="9943" xr:uid="{00000000-0005-0000-0000-0000E5040000}"/>
    <cellStyle name="Comma 9 2 2 2 2 4" xfId="4000" xr:uid="{00000000-0005-0000-0000-0000E6040000}"/>
    <cellStyle name="Comma 9 2 2 2 2 4 2" xfId="11229" xr:uid="{00000000-0005-0000-0000-0000E7040000}"/>
    <cellStyle name="Comma 9 2 2 2 2 5" xfId="8205" xr:uid="{00000000-0005-0000-0000-0000E8040000}"/>
    <cellStyle name="Comma 9 2 2 2 3" xfId="1411" xr:uid="{00000000-0005-0000-0000-0000E9040000}"/>
    <cellStyle name="Comma 9 2 2 2 3 2" xfId="3150" xr:uid="{00000000-0005-0000-0000-0000EA040000}"/>
    <cellStyle name="Comma 9 2 2 2 3 2 2" xfId="4005" xr:uid="{00000000-0005-0000-0000-0000EB040000}"/>
    <cellStyle name="Comma 9 2 2 2 3 2 2 2" xfId="11234" xr:uid="{00000000-0005-0000-0000-0000EC040000}"/>
    <cellStyle name="Comma 9 2 2 2 3 2 3" xfId="10379" xr:uid="{00000000-0005-0000-0000-0000ED040000}"/>
    <cellStyle name="Comma 9 2 2 2 3 3" xfId="4004" xr:uid="{00000000-0005-0000-0000-0000EE040000}"/>
    <cellStyle name="Comma 9 2 2 2 3 3 2" xfId="11233" xr:uid="{00000000-0005-0000-0000-0000EF040000}"/>
    <cellStyle name="Comma 9 2 2 2 3 4" xfId="8641" xr:uid="{00000000-0005-0000-0000-0000F0040000}"/>
    <cellStyle name="Comma 9 2 2 2 4" xfId="2283" xr:uid="{00000000-0005-0000-0000-0000F1040000}"/>
    <cellStyle name="Comma 9 2 2 2 4 2" xfId="4006" xr:uid="{00000000-0005-0000-0000-0000F2040000}"/>
    <cellStyle name="Comma 9 2 2 2 4 2 2" xfId="11235" xr:uid="{00000000-0005-0000-0000-0000F3040000}"/>
    <cellStyle name="Comma 9 2 2 2 4 3" xfId="9512" xr:uid="{00000000-0005-0000-0000-0000F4040000}"/>
    <cellStyle name="Comma 9 2 2 2 5" xfId="3999" xr:uid="{00000000-0005-0000-0000-0000F5040000}"/>
    <cellStyle name="Comma 9 2 2 2 5 2" xfId="11228" xr:uid="{00000000-0005-0000-0000-0000F6040000}"/>
    <cellStyle name="Comma 9 2 2 2 6" xfId="7774" xr:uid="{00000000-0005-0000-0000-0000F7040000}"/>
    <cellStyle name="Comma 9 2 2 3" xfId="751" xr:uid="{00000000-0005-0000-0000-0000F8040000}"/>
    <cellStyle name="Comma 9 2 2 3 2" xfId="1624" xr:uid="{00000000-0005-0000-0000-0000F9040000}"/>
    <cellStyle name="Comma 9 2 2 3 2 2" xfId="3363" xr:uid="{00000000-0005-0000-0000-0000FA040000}"/>
    <cellStyle name="Comma 9 2 2 3 2 2 2" xfId="4009" xr:uid="{00000000-0005-0000-0000-0000FB040000}"/>
    <cellStyle name="Comma 9 2 2 3 2 2 2 2" xfId="11238" xr:uid="{00000000-0005-0000-0000-0000FC040000}"/>
    <cellStyle name="Comma 9 2 2 3 2 2 3" xfId="10592" xr:uid="{00000000-0005-0000-0000-0000FD040000}"/>
    <cellStyle name="Comma 9 2 2 3 2 3" xfId="4008" xr:uid="{00000000-0005-0000-0000-0000FE040000}"/>
    <cellStyle name="Comma 9 2 2 3 2 3 2" xfId="11237" xr:uid="{00000000-0005-0000-0000-0000FF040000}"/>
    <cellStyle name="Comma 9 2 2 3 2 4" xfId="8854" xr:uid="{00000000-0005-0000-0000-000000050000}"/>
    <cellStyle name="Comma 9 2 2 3 3" xfId="2496" xr:uid="{00000000-0005-0000-0000-000001050000}"/>
    <cellStyle name="Comma 9 2 2 3 3 2" xfId="4010" xr:uid="{00000000-0005-0000-0000-000002050000}"/>
    <cellStyle name="Comma 9 2 2 3 3 2 2" xfId="11239" xr:uid="{00000000-0005-0000-0000-000003050000}"/>
    <cellStyle name="Comma 9 2 2 3 3 3" xfId="9725" xr:uid="{00000000-0005-0000-0000-000004050000}"/>
    <cellStyle name="Comma 9 2 2 3 4" xfId="4007" xr:uid="{00000000-0005-0000-0000-000005050000}"/>
    <cellStyle name="Comma 9 2 2 3 4 2" xfId="11236" xr:uid="{00000000-0005-0000-0000-000006050000}"/>
    <cellStyle name="Comma 9 2 2 3 5" xfId="7987" xr:uid="{00000000-0005-0000-0000-000007050000}"/>
    <cellStyle name="Comma 9 2 2 4" xfId="1193" xr:uid="{00000000-0005-0000-0000-000008050000}"/>
    <cellStyle name="Comma 9 2 2 4 2" xfId="2932" xr:uid="{00000000-0005-0000-0000-000009050000}"/>
    <cellStyle name="Comma 9 2 2 4 2 2" xfId="4012" xr:uid="{00000000-0005-0000-0000-00000A050000}"/>
    <cellStyle name="Comma 9 2 2 4 2 2 2" xfId="11241" xr:uid="{00000000-0005-0000-0000-00000B050000}"/>
    <cellStyle name="Comma 9 2 2 4 2 3" xfId="10161" xr:uid="{00000000-0005-0000-0000-00000C050000}"/>
    <cellStyle name="Comma 9 2 2 4 3" xfId="4011" xr:uid="{00000000-0005-0000-0000-00000D050000}"/>
    <cellStyle name="Comma 9 2 2 4 3 2" xfId="11240" xr:uid="{00000000-0005-0000-0000-00000E050000}"/>
    <cellStyle name="Comma 9 2 2 4 4" xfId="8423" xr:uid="{00000000-0005-0000-0000-00000F050000}"/>
    <cellStyle name="Comma 9 2 2 5" xfId="2065" xr:uid="{00000000-0005-0000-0000-000010050000}"/>
    <cellStyle name="Comma 9 2 2 5 2" xfId="4013" xr:uid="{00000000-0005-0000-0000-000011050000}"/>
    <cellStyle name="Comma 9 2 2 5 2 2" xfId="11242" xr:uid="{00000000-0005-0000-0000-000012050000}"/>
    <cellStyle name="Comma 9 2 2 5 3" xfId="9294" xr:uid="{00000000-0005-0000-0000-000013050000}"/>
    <cellStyle name="Comma 9 2 2 6" xfId="3998" xr:uid="{00000000-0005-0000-0000-000014050000}"/>
    <cellStyle name="Comma 9 2 2 6 2" xfId="11227" xr:uid="{00000000-0005-0000-0000-000015050000}"/>
    <cellStyle name="Comma 9 2 2 7" xfId="7556" xr:uid="{00000000-0005-0000-0000-000016050000}"/>
    <cellStyle name="Comma 9 2 3" xfId="427" xr:uid="{00000000-0005-0000-0000-000017050000}"/>
    <cellStyle name="Comma 9 2 3 2" xfId="873" xr:uid="{00000000-0005-0000-0000-000018050000}"/>
    <cellStyle name="Comma 9 2 3 2 2" xfId="1740" xr:uid="{00000000-0005-0000-0000-000019050000}"/>
    <cellStyle name="Comma 9 2 3 2 2 2" xfId="3479" xr:uid="{00000000-0005-0000-0000-00001A050000}"/>
    <cellStyle name="Comma 9 2 3 2 2 2 2" xfId="4017" xr:uid="{00000000-0005-0000-0000-00001B050000}"/>
    <cellStyle name="Comma 9 2 3 2 2 2 2 2" xfId="11246" xr:uid="{00000000-0005-0000-0000-00001C050000}"/>
    <cellStyle name="Comma 9 2 3 2 2 2 3" xfId="10708" xr:uid="{00000000-0005-0000-0000-00001D050000}"/>
    <cellStyle name="Comma 9 2 3 2 2 3" xfId="4016" xr:uid="{00000000-0005-0000-0000-00001E050000}"/>
    <cellStyle name="Comma 9 2 3 2 2 3 2" xfId="11245" xr:uid="{00000000-0005-0000-0000-00001F050000}"/>
    <cellStyle name="Comma 9 2 3 2 2 4" xfId="8970" xr:uid="{00000000-0005-0000-0000-000020050000}"/>
    <cellStyle name="Comma 9 2 3 2 3" xfId="2612" xr:uid="{00000000-0005-0000-0000-000021050000}"/>
    <cellStyle name="Comma 9 2 3 2 3 2" xfId="4018" xr:uid="{00000000-0005-0000-0000-000022050000}"/>
    <cellStyle name="Comma 9 2 3 2 3 2 2" xfId="11247" xr:uid="{00000000-0005-0000-0000-000023050000}"/>
    <cellStyle name="Comma 9 2 3 2 3 3" xfId="9841" xr:uid="{00000000-0005-0000-0000-000024050000}"/>
    <cellStyle name="Comma 9 2 3 2 4" xfId="4015" xr:uid="{00000000-0005-0000-0000-000025050000}"/>
    <cellStyle name="Comma 9 2 3 2 4 2" xfId="11244" xr:uid="{00000000-0005-0000-0000-000026050000}"/>
    <cellStyle name="Comma 9 2 3 2 5" xfId="8103" xr:uid="{00000000-0005-0000-0000-000027050000}"/>
    <cellStyle name="Comma 9 2 3 3" xfId="1309" xr:uid="{00000000-0005-0000-0000-000028050000}"/>
    <cellStyle name="Comma 9 2 3 3 2" xfId="3048" xr:uid="{00000000-0005-0000-0000-000029050000}"/>
    <cellStyle name="Comma 9 2 3 3 2 2" xfId="4020" xr:uid="{00000000-0005-0000-0000-00002A050000}"/>
    <cellStyle name="Comma 9 2 3 3 2 2 2" xfId="11249" xr:uid="{00000000-0005-0000-0000-00002B050000}"/>
    <cellStyle name="Comma 9 2 3 3 2 3" xfId="10277" xr:uid="{00000000-0005-0000-0000-00002C050000}"/>
    <cellStyle name="Comma 9 2 3 3 3" xfId="4019" xr:uid="{00000000-0005-0000-0000-00002D050000}"/>
    <cellStyle name="Comma 9 2 3 3 3 2" xfId="11248" xr:uid="{00000000-0005-0000-0000-00002E050000}"/>
    <cellStyle name="Comma 9 2 3 3 4" xfId="8539" xr:uid="{00000000-0005-0000-0000-00002F050000}"/>
    <cellStyle name="Comma 9 2 3 4" xfId="2181" xr:uid="{00000000-0005-0000-0000-000030050000}"/>
    <cellStyle name="Comma 9 2 3 4 2" xfId="4021" xr:uid="{00000000-0005-0000-0000-000031050000}"/>
    <cellStyle name="Comma 9 2 3 4 2 2" xfId="11250" xr:uid="{00000000-0005-0000-0000-000032050000}"/>
    <cellStyle name="Comma 9 2 3 4 3" xfId="9410" xr:uid="{00000000-0005-0000-0000-000033050000}"/>
    <cellStyle name="Comma 9 2 3 5" xfId="4014" xr:uid="{00000000-0005-0000-0000-000034050000}"/>
    <cellStyle name="Comma 9 2 3 5 2" xfId="11243" xr:uid="{00000000-0005-0000-0000-000035050000}"/>
    <cellStyle name="Comma 9 2 3 6" xfId="7672" xr:uid="{00000000-0005-0000-0000-000036050000}"/>
    <cellStyle name="Comma 9 2 4" xfId="646" xr:uid="{00000000-0005-0000-0000-000037050000}"/>
    <cellStyle name="Comma 9 2 4 2" xfId="1522" xr:uid="{00000000-0005-0000-0000-000038050000}"/>
    <cellStyle name="Comma 9 2 4 2 2" xfId="3261" xr:uid="{00000000-0005-0000-0000-000039050000}"/>
    <cellStyle name="Comma 9 2 4 2 2 2" xfId="4024" xr:uid="{00000000-0005-0000-0000-00003A050000}"/>
    <cellStyle name="Comma 9 2 4 2 2 2 2" xfId="11253" xr:uid="{00000000-0005-0000-0000-00003B050000}"/>
    <cellStyle name="Comma 9 2 4 2 2 3" xfId="10490" xr:uid="{00000000-0005-0000-0000-00003C050000}"/>
    <cellStyle name="Comma 9 2 4 2 3" xfId="4023" xr:uid="{00000000-0005-0000-0000-00003D050000}"/>
    <cellStyle name="Comma 9 2 4 2 3 2" xfId="11252" xr:uid="{00000000-0005-0000-0000-00003E050000}"/>
    <cellStyle name="Comma 9 2 4 2 4" xfId="8752" xr:uid="{00000000-0005-0000-0000-00003F050000}"/>
    <cellStyle name="Comma 9 2 4 3" xfId="2394" xr:uid="{00000000-0005-0000-0000-000040050000}"/>
    <cellStyle name="Comma 9 2 4 3 2" xfId="4025" xr:uid="{00000000-0005-0000-0000-000041050000}"/>
    <cellStyle name="Comma 9 2 4 3 2 2" xfId="11254" xr:uid="{00000000-0005-0000-0000-000042050000}"/>
    <cellStyle name="Comma 9 2 4 3 3" xfId="9623" xr:uid="{00000000-0005-0000-0000-000043050000}"/>
    <cellStyle name="Comma 9 2 4 4" xfId="4022" xr:uid="{00000000-0005-0000-0000-000044050000}"/>
    <cellStyle name="Comma 9 2 4 4 2" xfId="11251" xr:uid="{00000000-0005-0000-0000-000045050000}"/>
    <cellStyle name="Comma 9 2 4 5" xfId="7885" xr:uid="{00000000-0005-0000-0000-000046050000}"/>
    <cellStyle name="Comma 9 2 5" xfId="1091" xr:uid="{00000000-0005-0000-0000-000047050000}"/>
    <cellStyle name="Comma 9 2 5 2" xfId="2830" xr:uid="{00000000-0005-0000-0000-000048050000}"/>
    <cellStyle name="Comma 9 2 5 2 2" xfId="4027" xr:uid="{00000000-0005-0000-0000-000049050000}"/>
    <cellStyle name="Comma 9 2 5 2 2 2" xfId="11256" xr:uid="{00000000-0005-0000-0000-00004A050000}"/>
    <cellStyle name="Comma 9 2 5 2 3" xfId="10059" xr:uid="{00000000-0005-0000-0000-00004B050000}"/>
    <cellStyle name="Comma 9 2 5 3" xfId="4026" xr:uid="{00000000-0005-0000-0000-00004C050000}"/>
    <cellStyle name="Comma 9 2 5 3 2" xfId="11255" xr:uid="{00000000-0005-0000-0000-00004D050000}"/>
    <cellStyle name="Comma 9 2 5 4" xfId="8321" xr:uid="{00000000-0005-0000-0000-00004E050000}"/>
    <cellStyle name="Comma 9 2 6" xfId="1963" xr:uid="{00000000-0005-0000-0000-00004F050000}"/>
    <cellStyle name="Comma 9 2 6 2" xfId="4028" xr:uid="{00000000-0005-0000-0000-000050050000}"/>
    <cellStyle name="Comma 9 2 6 2 2" xfId="11257" xr:uid="{00000000-0005-0000-0000-000051050000}"/>
    <cellStyle name="Comma 9 2 6 3" xfId="9192" xr:uid="{00000000-0005-0000-0000-000052050000}"/>
    <cellStyle name="Comma 9 2 7" xfId="3997" xr:uid="{00000000-0005-0000-0000-000053050000}"/>
    <cellStyle name="Comma 9 2 7 2" xfId="11226" xr:uid="{00000000-0005-0000-0000-000054050000}"/>
    <cellStyle name="Comma 9 2 8" xfId="7452" xr:uid="{00000000-0005-0000-0000-000055050000}"/>
    <cellStyle name="Comma 9 3" xfId="270" xr:uid="{00000000-0005-0000-0000-000056050000}"/>
    <cellStyle name="Comma 9 3 2" xfId="496" xr:uid="{00000000-0005-0000-0000-000057050000}"/>
    <cellStyle name="Comma 9 3 2 2" xfId="942" xr:uid="{00000000-0005-0000-0000-000058050000}"/>
    <cellStyle name="Comma 9 3 2 2 2" xfId="1809" xr:uid="{00000000-0005-0000-0000-000059050000}"/>
    <cellStyle name="Comma 9 3 2 2 2 2" xfId="3548" xr:uid="{00000000-0005-0000-0000-00005A050000}"/>
    <cellStyle name="Comma 9 3 2 2 2 2 2" xfId="4033" xr:uid="{00000000-0005-0000-0000-00005B050000}"/>
    <cellStyle name="Comma 9 3 2 2 2 2 2 2" xfId="11262" xr:uid="{00000000-0005-0000-0000-00005C050000}"/>
    <cellStyle name="Comma 9 3 2 2 2 2 3" xfId="10777" xr:uid="{00000000-0005-0000-0000-00005D050000}"/>
    <cellStyle name="Comma 9 3 2 2 2 3" xfId="4032" xr:uid="{00000000-0005-0000-0000-00005E050000}"/>
    <cellStyle name="Comma 9 3 2 2 2 3 2" xfId="11261" xr:uid="{00000000-0005-0000-0000-00005F050000}"/>
    <cellStyle name="Comma 9 3 2 2 2 4" xfId="9039" xr:uid="{00000000-0005-0000-0000-000060050000}"/>
    <cellStyle name="Comma 9 3 2 2 3" xfId="2681" xr:uid="{00000000-0005-0000-0000-000061050000}"/>
    <cellStyle name="Comma 9 3 2 2 3 2" xfId="4034" xr:uid="{00000000-0005-0000-0000-000062050000}"/>
    <cellStyle name="Comma 9 3 2 2 3 2 2" xfId="11263" xr:uid="{00000000-0005-0000-0000-000063050000}"/>
    <cellStyle name="Comma 9 3 2 2 3 3" xfId="9910" xr:uid="{00000000-0005-0000-0000-000064050000}"/>
    <cellStyle name="Comma 9 3 2 2 4" xfId="4031" xr:uid="{00000000-0005-0000-0000-000065050000}"/>
    <cellStyle name="Comma 9 3 2 2 4 2" xfId="11260" xr:uid="{00000000-0005-0000-0000-000066050000}"/>
    <cellStyle name="Comma 9 3 2 2 5" xfId="8172" xr:uid="{00000000-0005-0000-0000-000067050000}"/>
    <cellStyle name="Comma 9 3 2 3" xfId="1378" xr:uid="{00000000-0005-0000-0000-000068050000}"/>
    <cellStyle name="Comma 9 3 2 3 2" xfId="3117" xr:uid="{00000000-0005-0000-0000-000069050000}"/>
    <cellStyle name="Comma 9 3 2 3 2 2" xfId="4036" xr:uid="{00000000-0005-0000-0000-00006A050000}"/>
    <cellStyle name="Comma 9 3 2 3 2 2 2" xfId="11265" xr:uid="{00000000-0005-0000-0000-00006B050000}"/>
    <cellStyle name="Comma 9 3 2 3 2 3" xfId="10346" xr:uid="{00000000-0005-0000-0000-00006C050000}"/>
    <cellStyle name="Comma 9 3 2 3 3" xfId="4035" xr:uid="{00000000-0005-0000-0000-00006D050000}"/>
    <cellStyle name="Comma 9 3 2 3 3 2" xfId="11264" xr:uid="{00000000-0005-0000-0000-00006E050000}"/>
    <cellStyle name="Comma 9 3 2 3 4" xfId="8608" xr:uid="{00000000-0005-0000-0000-00006F050000}"/>
    <cellStyle name="Comma 9 3 2 4" xfId="2250" xr:uid="{00000000-0005-0000-0000-000070050000}"/>
    <cellStyle name="Comma 9 3 2 4 2" xfId="4037" xr:uid="{00000000-0005-0000-0000-000071050000}"/>
    <cellStyle name="Comma 9 3 2 4 2 2" xfId="11266" xr:uid="{00000000-0005-0000-0000-000072050000}"/>
    <cellStyle name="Comma 9 3 2 4 3" xfId="9479" xr:uid="{00000000-0005-0000-0000-000073050000}"/>
    <cellStyle name="Comma 9 3 2 5" xfId="4030" xr:uid="{00000000-0005-0000-0000-000074050000}"/>
    <cellStyle name="Comma 9 3 2 5 2" xfId="11259" xr:uid="{00000000-0005-0000-0000-000075050000}"/>
    <cellStyle name="Comma 9 3 2 6" xfId="7741" xr:uid="{00000000-0005-0000-0000-000076050000}"/>
    <cellStyle name="Comma 9 3 3" xfId="718" xr:uid="{00000000-0005-0000-0000-000077050000}"/>
    <cellStyle name="Comma 9 3 3 2" xfId="1591" xr:uid="{00000000-0005-0000-0000-000078050000}"/>
    <cellStyle name="Comma 9 3 3 2 2" xfId="3330" xr:uid="{00000000-0005-0000-0000-000079050000}"/>
    <cellStyle name="Comma 9 3 3 2 2 2" xfId="4040" xr:uid="{00000000-0005-0000-0000-00007A050000}"/>
    <cellStyle name="Comma 9 3 3 2 2 2 2" xfId="11269" xr:uid="{00000000-0005-0000-0000-00007B050000}"/>
    <cellStyle name="Comma 9 3 3 2 2 3" xfId="10559" xr:uid="{00000000-0005-0000-0000-00007C050000}"/>
    <cellStyle name="Comma 9 3 3 2 3" xfId="4039" xr:uid="{00000000-0005-0000-0000-00007D050000}"/>
    <cellStyle name="Comma 9 3 3 2 3 2" xfId="11268" xr:uid="{00000000-0005-0000-0000-00007E050000}"/>
    <cellStyle name="Comma 9 3 3 2 4" xfId="8821" xr:uid="{00000000-0005-0000-0000-00007F050000}"/>
    <cellStyle name="Comma 9 3 3 3" xfId="2463" xr:uid="{00000000-0005-0000-0000-000080050000}"/>
    <cellStyle name="Comma 9 3 3 3 2" xfId="4041" xr:uid="{00000000-0005-0000-0000-000081050000}"/>
    <cellStyle name="Comma 9 3 3 3 2 2" xfId="11270" xr:uid="{00000000-0005-0000-0000-000082050000}"/>
    <cellStyle name="Comma 9 3 3 3 3" xfId="9692" xr:uid="{00000000-0005-0000-0000-000083050000}"/>
    <cellStyle name="Comma 9 3 3 4" xfId="4038" xr:uid="{00000000-0005-0000-0000-000084050000}"/>
    <cellStyle name="Comma 9 3 3 4 2" xfId="11267" xr:uid="{00000000-0005-0000-0000-000085050000}"/>
    <cellStyle name="Comma 9 3 3 5" xfId="7954" xr:uid="{00000000-0005-0000-0000-000086050000}"/>
    <cellStyle name="Comma 9 3 4" xfId="1160" xr:uid="{00000000-0005-0000-0000-000087050000}"/>
    <cellStyle name="Comma 9 3 4 2" xfId="2899" xr:uid="{00000000-0005-0000-0000-000088050000}"/>
    <cellStyle name="Comma 9 3 4 2 2" xfId="4043" xr:uid="{00000000-0005-0000-0000-000089050000}"/>
    <cellStyle name="Comma 9 3 4 2 2 2" xfId="11272" xr:uid="{00000000-0005-0000-0000-00008A050000}"/>
    <cellStyle name="Comma 9 3 4 2 3" xfId="10128" xr:uid="{00000000-0005-0000-0000-00008B050000}"/>
    <cellStyle name="Comma 9 3 4 3" xfId="4042" xr:uid="{00000000-0005-0000-0000-00008C050000}"/>
    <cellStyle name="Comma 9 3 4 3 2" xfId="11271" xr:uid="{00000000-0005-0000-0000-00008D050000}"/>
    <cellStyle name="Comma 9 3 4 4" xfId="8390" xr:uid="{00000000-0005-0000-0000-00008E050000}"/>
    <cellStyle name="Comma 9 3 5" xfId="2032" xr:uid="{00000000-0005-0000-0000-00008F050000}"/>
    <cellStyle name="Comma 9 3 5 2" xfId="4044" xr:uid="{00000000-0005-0000-0000-000090050000}"/>
    <cellStyle name="Comma 9 3 5 2 2" xfId="11273" xr:uid="{00000000-0005-0000-0000-000091050000}"/>
    <cellStyle name="Comma 9 3 5 3" xfId="9261" xr:uid="{00000000-0005-0000-0000-000092050000}"/>
    <cellStyle name="Comma 9 3 6" xfId="4029" xr:uid="{00000000-0005-0000-0000-000093050000}"/>
    <cellStyle name="Comma 9 3 6 2" xfId="11258" xr:uid="{00000000-0005-0000-0000-000094050000}"/>
    <cellStyle name="Comma 9 3 7" xfId="7523" xr:uid="{00000000-0005-0000-0000-000095050000}"/>
    <cellStyle name="Comma 9 4" xfId="394" xr:uid="{00000000-0005-0000-0000-000096050000}"/>
    <cellStyle name="Comma 9 4 2" xfId="840" xr:uid="{00000000-0005-0000-0000-000097050000}"/>
    <cellStyle name="Comma 9 4 2 2" xfId="1707" xr:uid="{00000000-0005-0000-0000-000098050000}"/>
    <cellStyle name="Comma 9 4 2 2 2" xfId="3446" xr:uid="{00000000-0005-0000-0000-000099050000}"/>
    <cellStyle name="Comma 9 4 2 2 2 2" xfId="4048" xr:uid="{00000000-0005-0000-0000-00009A050000}"/>
    <cellStyle name="Comma 9 4 2 2 2 2 2" xfId="11277" xr:uid="{00000000-0005-0000-0000-00009B050000}"/>
    <cellStyle name="Comma 9 4 2 2 2 3" xfId="10675" xr:uid="{00000000-0005-0000-0000-00009C050000}"/>
    <cellStyle name="Comma 9 4 2 2 3" xfId="4047" xr:uid="{00000000-0005-0000-0000-00009D050000}"/>
    <cellStyle name="Comma 9 4 2 2 3 2" xfId="11276" xr:uid="{00000000-0005-0000-0000-00009E050000}"/>
    <cellStyle name="Comma 9 4 2 2 4" xfId="8937" xr:uid="{00000000-0005-0000-0000-00009F050000}"/>
    <cellStyle name="Comma 9 4 2 3" xfId="2579" xr:uid="{00000000-0005-0000-0000-0000A0050000}"/>
    <cellStyle name="Comma 9 4 2 3 2" xfId="4049" xr:uid="{00000000-0005-0000-0000-0000A1050000}"/>
    <cellStyle name="Comma 9 4 2 3 2 2" xfId="11278" xr:uid="{00000000-0005-0000-0000-0000A2050000}"/>
    <cellStyle name="Comma 9 4 2 3 3" xfId="9808" xr:uid="{00000000-0005-0000-0000-0000A3050000}"/>
    <cellStyle name="Comma 9 4 2 4" xfId="4046" xr:uid="{00000000-0005-0000-0000-0000A4050000}"/>
    <cellStyle name="Comma 9 4 2 4 2" xfId="11275" xr:uid="{00000000-0005-0000-0000-0000A5050000}"/>
    <cellStyle name="Comma 9 4 2 5" xfId="8070" xr:uid="{00000000-0005-0000-0000-0000A6050000}"/>
    <cellStyle name="Comma 9 4 3" xfId="1276" xr:uid="{00000000-0005-0000-0000-0000A7050000}"/>
    <cellStyle name="Comma 9 4 3 2" xfId="3015" xr:uid="{00000000-0005-0000-0000-0000A8050000}"/>
    <cellStyle name="Comma 9 4 3 2 2" xfId="4051" xr:uid="{00000000-0005-0000-0000-0000A9050000}"/>
    <cellStyle name="Comma 9 4 3 2 2 2" xfId="11280" xr:uid="{00000000-0005-0000-0000-0000AA050000}"/>
    <cellStyle name="Comma 9 4 3 2 3" xfId="10244" xr:uid="{00000000-0005-0000-0000-0000AB050000}"/>
    <cellStyle name="Comma 9 4 3 3" xfId="4050" xr:uid="{00000000-0005-0000-0000-0000AC050000}"/>
    <cellStyle name="Comma 9 4 3 3 2" xfId="11279" xr:uid="{00000000-0005-0000-0000-0000AD050000}"/>
    <cellStyle name="Comma 9 4 3 4" xfId="8506" xr:uid="{00000000-0005-0000-0000-0000AE050000}"/>
    <cellStyle name="Comma 9 4 4" xfId="2148" xr:uid="{00000000-0005-0000-0000-0000AF050000}"/>
    <cellStyle name="Comma 9 4 4 2" xfId="4052" xr:uid="{00000000-0005-0000-0000-0000B0050000}"/>
    <cellStyle name="Comma 9 4 4 2 2" xfId="11281" xr:uid="{00000000-0005-0000-0000-0000B1050000}"/>
    <cellStyle name="Comma 9 4 4 3" xfId="9377" xr:uid="{00000000-0005-0000-0000-0000B2050000}"/>
    <cellStyle name="Comma 9 4 5" xfId="4045" xr:uid="{00000000-0005-0000-0000-0000B3050000}"/>
    <cellStyle name="Comma 9 4 5 2" xfId="11274" xr:uid="{00000000-0005-0000-0000-0000B4050000}"/>
    <cellStyle name="Comma 9 4 6" xfId="7639" xr:uid="{00000000-0005-0000-0000-0000B5050000}"/>
    <cellStyle name="Comma 9 5" xfId="612" xr:uid="{00000000-0005-0000-0000-0000B6050000}"/>
    <cellStyle name="Comma 9 5 2" xfId="1489" xr:uid="{00000000-0005-0000-0000-0000B7050000}"/>
    <cellStyle name="Comma 9 5 2 2" xfId="3228" xr:uid="{00000000-0005-0000-0000-0000B8050000}"/>
    <cellStyle name="Comma 9 5 2 2 2" xfId="4055" xr:uid="{00000000-0005-0000-0000-0000B9050000}"/>
    <cellStyle name="Comma 9 5 2 2 2 2" xfId="11284" xr:uid="{00000000-0005-0000-0000-0000BA050000}"/>
    <cellStyle name="Comma 9 5 2 2 3" xfId="10457" xr:uid="{00000000-0005-0000-0000-0000BB050000}"/>
    <cellStyle name="Comma 9 5 2 3" xfId="4054" xr:uid="{00000000-0005-0000-0000-0000BC050000}"/>
    <cellStyle name="Comma 9 5 2 3 2" xfId="11283" xr:uid="{00000000-0005-0000-0000-0000BD050000}"/>
    <cellStyle name="Comma 9 5 2 4" xfId="8719" xr:uid="{00000000-0005-0000-0000-0000BE050000}"/>
    <cellStyle name="Comma 9 5 3" xfId="2361" xr:uid="{00000000-0005-0000-0000-0000BF050000}"/>
    <cellStyle name="Comma 9 5 3 2" xfId="4056" xr:uid="{00000000-0005-0000-0000-0000C0050000}"/>
    <cellStyle name="Comma 9 5 3 2 2" xfId="11285" xr:uid="{00000000-0005-0000-0000-0000C1050000}"/>
    <cellStyle name="Comma 9 5 3 3" xfId="9590" xr:uid="{00000000-0005-0000-0000-0000C2050000}"/>
    <cellStyle name="Comma 9 5 4" xfId="4053" xr:uid="{00000000-0005-0000-0000-0000C3050000}"/>
    <cellStyle name="Comma 9 5 4 2" xfId="11282" xr:uid="{00000000-0005-0000-0000-0000C4050000}"/>
    <cellStyle name="Comma 9 5 5" xfId="7852" xr:uid="{00000000-0005-0000-0000-0000C5050000}"/>
    <cellStyle name="Comma 9 6" xfId="1058" xr:uid="{00000000-0005-0000-0000-0000C6050000}"/>
    <cellStyle name="Comma 9 6 2" xfId="2797" xr:uid="{00000000-0005-0000-0000-0000C7050000}"/>
    <cellStyle name="Comma 9 6 2 2" xfId="4058" xr:uid="{00000000-0005-0000-0000-0000C8050000}"/>
    <cellStyle name="Comma 9 6 2 2 2" xfId="11287" xr:uid="{00000000-0005-0000-0000-0000C9050000}"/>
    <cellStyle name="Comma 9 6 2 3" xfId="10026" xr:uid="{00000000-0005-0000-0000-0000CA050000}"/>
    <cellStyle name="Comma 9 6 3" xfId="4057" xr:uid="{00000000-0005-0000-0000-0000CB050000}"/>
    <cellStyle name="Comma 9 6 3 2" xfId="11286" xr:uid="{00000000-0005-0000-0000-0000CC050000}"/>
    <cellStyle name="Comma 9 6 4" xfId="8288" xr:uid="{00000000-0005-0000-0000-0000CD050000}"/>
    <cellStyle name="Comma 9 7" xfId="1930" xr:uid="{00000000-0005-0000-0000-0000CE050000}"/>
    <cellStyle name="Comma 9 7 2" xfId="4059" xr:uid="{00000000-0005-0000-0000-0000CF050000}"/>
    <cellStyle name="Comma 9 7 2 2" xfId="11288" xr:uid="{00000000-0005-0000-0000-0000D0050000}"/>
    <cellStyle name="Comma 9 7 3" xfId="9159" xr:uid="{00000000-0005-0000-0000-0000D1050000}"/>
    <cellStyle name="Comma 9 8" xfId="3996" xr:uid="{00000000-0005-0000-0000-0000D2050000}"/>
    <cellStyle name="Comma 9 8 2" xfId="11225" xr:uid="{00000000-0005-0000-0000-0000D3050000}"/>
    <cellStyle name="Comma 9 9" xfId="7419" xr:uid="{00000000-0005-0000-0000-0000D4050000}"/>
    <cellStyle name="Currency 2" xfId="78" xr:uid="{00000000-0005-0000-0000-0000D5050000}"/>
    <cellStyle name="Currency 2 2" xfId="4060" xr:uid="{00000000-0005-0000-0000-0000D6050000}"/>
    <cellStyle name="Currency 2 2 2" xfId="11289" xr:uid="{00000000-0005-0000-0000-0000D7050000}"/>
    <cellStyle name="Explanatory Text" xfId="7372" builtinId="53" customBuiltin="1"/>
    <cellStyle name="Explanatory Text 2" xfId="179" xr:uid="{00000000-0005-0000-0000-0000D9050000}"/>
    <cellStyle name="Explanatory Text 2 2" xfId="180" xr:uid="{00000000-0005-0000-0000-0000DA050000}"/>
    <cellStyle name="Explanatory Text 2 2 2" xfId="4062" xr:uid="{00000000-0005-0000-0000-0000DB050000}"/>
    <cellStyle name="Explanatory Text 2 2 2 2" xfId="11291" xr:uid="{00000000-0005-0000-0000-0000DC050000}"/>
    <cellStyle name="Explanatory Text 2 3" xfId="4061" xr:uid="{00000000-0005-0000-0000-0000DD050000}"/>
    <cellStyle name="Explanatory Text 2 3 2" xfId="11290" xr:uid="{00000000-0005-0000-0000-0000DE050000}"/>
    <cellStyle name="Good" xfId="7364" builtinId="26" customBuiltin="1"/>
    <cellStyle name="Good 2" xfId="181" xr:uid="{00000000-0005-0000-0000-0000E0050000}"/>
    <cellStyle name="Good 2 2" xfId="182" xr:uid="{00000000-0005-0000-0000-0000E1050000}"/>
    <cellStyle name="Good 2 2 2" xfId="4064" xr:uid="{00000000-0005-0000-0000-0000E2050000}"/>
    <cellStyle name="Good 2 2 2 2" xfId="11293" xr:uid="{00000000-0005-0000-0000-0000E3050000}"/>
    <cellStyle name="Good 2 3" xfId="4063" xr:uid="{00000000-0005-0000-0000-0000E4050000}"/>
    <cellStyle name="Good 2 3 2" xfId="11292" xr:uid="{00000000-0005-0000-0000-0000E5050000}"/>
    <cellStyle name="Heading 1" xfId="7360" builtinId="16" customBuiltin="1"/>
    <cellStyle name="Heading 1 2" xfId="183" xr:uid="{00000000-0005-0000-0000-0000E7050000}"/>
    <cellStyle name="Heading 1 2 2" xfId="184" xr:uid="{00000000-0005-0000-0000-0000E8050000}"/>
    <cellStyle name="Heading 1 2 2 2" xfId="4066" xr:uid="{00000000-0005-0000-0000-0000E9050000}"/>
    <cellStyle name="Heading 1 2 2 2 2" xfId="11295" xr:uid="{00000000-0005-0000-0000-0000EA050000}"/>
    <cellStyle name="Heading 1 2 3" xfId="4065" xr:uid="{00000000-0005-0000-0000-0000EB050000}"/>
    <cellStyle name="Heading 1 2 3 2" xfId="11294" xr:uid="{00000000-0005-0000-0000-0000EC050000}"/>
    <cellStyle name="Heading 2" xfId="7361" builtinId="17" customBuiltin="1"/>
    <cellStyle name="Heading 2 2" xfId="185" xr:uid="{00000000-0005-0000-0000-0000EE050000}"/>
    <cellStyle name="Heading 2 2 2" xfId="186" xr:uid="{00000000-0005-0000-0000-0000EF050000}"/>
    <cellStyle name="Heading 2 2 2 2" xfId="4068" xr:uid="{00000000-0005-0000-0000-0000F0050000}"/>
    <cellStyle name="Heading 2 2 2 2 2" xfId="11297" xr:uid="{00000000-0005-0000-0000-0000F1050000}"/>
    <cellStyle name="Heading 2 2 3" xfId="4067" xr:uid="{00000000-0005-0000-0000-0000F2050000}"/>
    <cellStyle name="Heading 2 2 3 2" xfId="11296" xr:uid="{00000000-0005-0000-0000-0000F3050000}"/>
    <cellStyle name="Heading 3" xfId="7362" builtinId="18" customBuiltin="1"/>
    <cellStyle name="Heading 3 2" xfId="187" xr:uid="{00000000-0005-0000-0000-0000F5050000}"/>
    <cellStyle name="Heading 3 2 2" xfId="188" xr:uid="{00000000-0005-0000-0000-0000F6050000}"/>
    <cellStyle name="Heading 3 2 2 2" xfId="4070" xr:uid="{00000000-0005-0000-0000-0000F7050000}"/>
    <cellStyle name="Heading 3 2 2 2 2" xfId="11299" xr:uid="{00000000-0005-0000-0000-0000F8050000}"/>
    <cellStyle name="Heading 3 2 2 3" xfId="7475" xr:uid="{00000000-0005-0000-0000-0000F9050000}"/>
    <cellStyle name="Heading 3 2 3" xfId="4069" xr:uid="{00000000-0005-0000-0000-0000FA050000}"/>
    <cellStyle name="Heading 3 2 3 2" xfId="11298" xr:uid="{00000000-0005-0000-0000-0000FB050000}"/>
    <cellStyle name="Heading 3 2 4" xfId="7474" xr:uid="{00000000-0005-0000-0000-0000FC050000}"/>
    <cellStyle name="Heading 4" xfId="7363" builtinId="19" customBuiltin="1"/>
    <cellStyle name="Heading 4 2" xfId="189" xr:uid="{00000000-0005-0000-0000-0000FE050000}"/>
    <cellStyle name="Heading 4 2 2" xfId="190" xr:uid="{00000000-0005-0000-0000-0000FF050000}"/>
    <cellStyle name="Heading 4 2 2 2" xfId="4072" xr:uid="{00000000-0005-0000-0000-000000060000}"/>
    <cellStyle name="Heading 4 2 2 2 2" xfId="11301" xr:uid="{00000000-0005-0000-0000-000001060000}"/>
    <cellStyle name="Heading 4 2 3" xfId="4071" xr:uid="{00000000-0005-0000-0000-000002060000}"/>
    <cellStyle name="Heading 4 2 3 2" xfId="11300" xr:uid="{00000000-0005-0000-0000-000003060000}"/>
    <cellStyle name="Input" xfId="7366" builtinId="20" customBuiltin="1"/>
    <cellStyle name="Input 2" xfId="191" xr:uid="{00000000-0005-0000-0000-000005060000}"/>
    <cellStyle name="Input 2 2" xfId="192" xr:uid="{00000000-0005-0000-0000-000006060000}"/>
    <cellStyle name="Input 2 2 2" xfId="4074" xr:uid="{00000000-0005-0000-0000-000007060000}"/>
    <cellStyle name="Input 2 2 2 2" xfId="11303" xr:uid="{00000000-0005-0000-0000-000008060000}"/>
    <cellStyle name="Input 2 3" xfId="4073" xr:uid="{00000000-0005-0000-0000-000009060000}"/>
    <cellStyle name="Input 2 3 2" xfId="11302" xr:uid="{00000000-0005-0000-0000-00000A060000}"/>
    <cellStyle name="Linked Cell" xfId="7369" builtinId="24" customBuiltin="1"/>
    <cellStyle name="Linked Cell 2" xfId="193" xr:uid="{00000000-0005-0000-0000-00000C060000}"/>
    <cellStyle name="Linked Cell 2 2" xfId="194" xr:uid="{00000000-0005-0000-0000-00000D060000}"/>
    <cellStyle name="Linked Cell 2 2 2" xfId="4076" xr:uid="{00000000-0005-0000-0000-00000E060000}"/>
    <cellStyle name="Linked Cell 2 2 2 2" xfId="11305" xr:uid="{00000000-0005-0000-0000-00000F060000}"/>
    <cellStyle name="Linked Cell 2 3" xfId="4075" xr:uid="{00000000-0005-0000-0000-000010060000}"/>
    <cellStyle name="Linked Cell 2 3 2" xfId="11304" xr:uid="{00000000-0005-0000-0000-000011060000}"/>
    <cellStyle name="Neutral 2" xfId="195" xr:uid="{00000000-0005-0000-0000-000012060000}"/>
    <cellStyle name="Neutral 2 2" xfId="196" xr:uid="{00000000-0005-0000-0000-000013060000}"/>
    <cellStyle name="Neutral 2 2 2" xfId="4078" xr:uid="{00000000-0005-0000-0000-000014060000}"/>
    <cellStyle name="Neutral 2 2 2 2" xfId="11307" xr:uid="{00000000-0005-0000-0000-000015060000}"/>
    <cellStyle name="Neutral 2 3" xfId="4077" xr:uid="{00000000-0005-0000-0000-000016060000}"/>
    <cellStyle name="Neutral 2 3 2" xfId="11306" xr:uid="{00000000-0005-0000-0000-000017060000}"/>
    <cellStyle name="Neutral 2 4" xfId="7407" xr:uid="{00000000-0005-0000-0000-000018060000}"/>
    <cellStyle name="Neutral 3" xfId="7406" xr:uid="{00000000-0005-0000-0000-000019060000}"/>
    <cellStyle name="Normal" xfId="0" builtinId="0"/>
    <cellStyle name="Normal 10" xfId="50" xr:uid="{00000000-0005-0000-0000-00001B060000}"/>
    <cellStyle name="Normal 10 10" xfId="7428" xr:uid="{00000000-0005-0000-0000-00001C060000}"/>
    <cellStyle name="Normal 10 2" xfId="105" xr:uid="{00000000-0005-0000-0000-00001D060000}"/>
    <cellStyle name="Normal 10 2 10" xfId="655" xr:uid="{00000000-0005-0000-0000-00001E060000}"/>
    <cellStyle name="Normal 10 2 10 2" xfId="1531" xr:uid="{00000000-0005-0000-0000-00001F060000}"/>
    <cellStyle name="Normal 10 2 10 2 2" xfId="3270" xr:uid="{00000000-0005-0000-0000-000020060000}"/>
    <cellStyle name="Normal 10 2 10 2 2 2" xfId="4083" xr:uid="{00000000-0005-0000-0000-000021060000}"/>
    <cellStyle name="Normal 10 2 10 2 2 2 2" xfId="11312" xr:uid="{00000000-0005-0000-0000-000022060000}"/>
    <cellStyle name="Normal 10 2 10 2 2 3" xfId="10499" xr:uid="{00000000-0005-0000-0000-000023060000}"/>
    <cellStyle name="Normal 10 2 10 2 3" xfId="4082" xr:uid="{00000000-0005-0000-0000-000024060000}"/>
    <cellStyle name="Normal 10 2 10 2 3 2" xfId="11311" xr:uid="{00000000-0005-0000-0000-000025060000}"/>
    <cellStyle name="Normal 10 2 10 2 4" xfId="8761" xr:uid="{00000000-0005-0000-0000-000026060000}"/>
    <cellStyle name="Normal 10 2 10 3" xfId="2403" xr:uid="{00000000-0005-0000-0000-000027060000}"/>
    <cellStyle name="Normal 10 2 10 3 2" xfId="4084" xr:uid="{00000000-0005-0000-0000-000028060000}"/>
    <cellStyle name="Normal 10 2 10 3 2 2" xfId="11313" xr:uid="{00000000-0005-0000-0000-000029060000}"/>
    <cellStyle name="Normal 10 2 10 3 3" xfId="9632" xr:uid="{00000000-0005-0000-0000-00002A060000}"/>
    <cellStyle name="Normal 10 2 10 4" xfId="4081" xr:uid="{00000000-0005-0000-0000-00002B060000}"/>
    <cellStyle name="Normal 10 2 10 4 2" xfId="11310" xr:uid="{00000000-0005-0000-0000-00002C060000}"/>
    <cellStyle name="Normal 10 2 10 5" xfId="7894" xr:uid="{00000000-0005-0000-0000-00002D060000}"/>
    <cellStyle name="Normal 10 2 11" xfId="1043" xr:uid="{00000000-0005-0000-0000-00002E060000}"/>
    <cellStyle name="Normal 10 2 11 2" xfId="1910" xr:uid="{00000000-0005-0000-0000-00002F060000}"/>
    <cellStyle name="Normal 10 2 11 2 2" xfId="3649" xr:uid="{00000000-0005-0000-0000-000030060000}"/>
    <cellStyle name="Normal 10 2 11 2 2 2" xfId="4087" xr:uid="{00000000-0005-0000-0000-000031060000}"/>
    <cellStyle name="Normal 10 2 11 2 2 2 2" xfId="11316" xr:uid="{00000000-0005-0000-0000-000032060000}"/>
    <cellStyle name="Normal 10 2 11 2 2 3" xfId="10878" xr:uid="{00000000-0005-0000-0000-000033060000}"/>
    <cellStyle name="Normal 10 2 11 2 3" xfId="4086" xr:uid="{00000000-0005-0000-0000-000034060000}"/>
    <cellStyle name="Normal 10 2 11 2 3 2" xfId="11315" xr:uid="{00000000-0005-0000-0000-000035060000}"/>
    <cellStyle name="Normal 10 2 11 2 4" xfId="9140" xr:uid="{00000000-0005-0000-0000-000036060000}"/>
    <cellStyle name="Normal 10 2 11 3" xfId="2782" xr:uid="{00000000-0005-0000-0000-000037060000}"/>
    <cellStyle name="Normal 10 2 11 3 2" xfId="4088" xr:uid="{00000000-0005-0000-0000-000038060000}"/>
    <cellStyle name="Normal 10 2 11 3 2 2" xfId="11317" xr:uid="{00000000-0005-0000-0000-000039060000}"/>
    <cellStyle name="Normal 10 2 11 3 3" xfId="10011" xr:uid="{00000000-0005-0000-0000-00003A060000}"/>
    <cellStyle name="Normal 10 2 11 4" xfId="4085" xr:uid="{00000000-0005-0000-0000-00003B060000}"/>
    <cellStyle name="Normal 10 2 11 4 2" xfId="11314" xr:uid="{00000000-0005-0000-0000-00003C060000}"/>
    <cellStyle name="Normal 10 2 11 5" xfId="8273" xr:uid="{00000000-0005-0000-0000-00003D060000}"/>
    <cellStyle name="Normal 10 2 12" xfId="1046" xr:uid="{00000000-0005-0000-0000-00003E060000}"/>
    <cellStyle name="Normal 10 2 12 2" xfId="1913" xr:uid="{00000000-0005-0000-0000-00003F060000}"/>
    <cellStyle name="Normal 10 2 12 2 2" xfId="3652" xr:uid="{00000000-0005-0000-0000-000040060000}"/>
    <cellStyle name="Normal 10 2 12 2 2 2" xfId="4091" xr:uid="{00000000-0005-0000-0000-000041060000}"/>
    <cellStyle name="Normal 10 2 12 2 2 2 2" xfId="11320" xr:uid="{00000000-0005-0000-0000-000042060000}"/>
    <cellStyle name="Normal 10 2 12 2 2 3" xfId="10881" xr:uid="{00000000-0005-0000-0000-000043060000}"/>
    <cellStyle name="Normal 10 2 12 2 3" xfId="4090" xr:uid="{00000000-0005-0000-0000-000044060000}"/>
    <cellStyle name="Normal 10 2 12 2 3 2" xfId="11319" xr:uid="{00000000-0005-0000-0000-000045060000}"/>
    <cellStyle name="Normal 10 2 12 2 4" xfId="9143" xr:uid="{00000000-0005-0000-0000-000046060000}"/>
    <cellStyle name="Normal 10 2 12 3" xfId="2785" xr:uid="{00000000-0005-0000-0000-000047060000}"/>
    <cellStyle name="Normal 10 2 12 3 2" xfId="4092" xr:uid="{00000000-0005-0000-0000-000048060000}"/>
    <cellStyle name="Normal 10 2 12 3 2 2" xfId="11321" xr:uid="{00000000-0005-0000-0000-000049060000}"/>
    <cellStyle name="Normal 10 2 12 3 3" xfId="10014" xr:uid="{00000000-0005-0000-0000-00004A060000}"/>
    <cellStyle name="Normal 10 2 12 4" xfId="4089" xr:uid="{00000000-0005-0000-0000-00004B060000}"/>
    <cellStyle name="Normal 10 2 12 4 2" xfId="11318" xr:uid="{00000000-0005-0000-0000-00004C060000}"/>
    <cellStyle name="Normal 10 2 12 5" xfId="8276" xr:uid="{00000000-0005-0000-0000-00004D060000}"/>
    <cellStyle name="Normal 10 2 13" xfId="1049" xr:uid="{00000000-0005-0000-0000-00004E060000}"/>
    <cellStyle name="Normal 10 2 13 2" xfId="1916" xr:uid="{00000000-0005-0000-0000-00004F060000}"/>
    <cellStyle name="Normal 10 2 13 2 2" xfId="3655" xr:uid="{00000000-0005-0000-0000-000050060000}"/>
    <cellStyle name="Normal 10 2 13 2 2 2" xfId="4095" xr:uid="{00000000-0005-0000-0000-000051060000}"/>
    <cellStyle name="Normal 10 2 13 2 2 2 2" xfId="11324" xr:uid="{00000000-0005-0000-0000-000052060000}"/>
    <cellStyle name="Normal 10 2 13 2 2 3" xfId="10884" xr:uid="{00000000-0005-0000-0000-000053060000}"/>
    <cellStyle name="Normal 10 2 13 2 3" xfId="4094" xr:uid="{00000000-0005-0000-0000-000054060000}"/>
    <cellStyle name="Normal 10 2 13 2 3 2" xfId="11323" xr:uid="{00000000-0005-0000-0000-000055060000}"/>
    <cellStyle name="Normal 10 2 13 2 4" xfId="9146" xr:uid="{00000000-0005-0000-0000-000056060000}"/>
    <cellStyle name="Normal 10 2 13 3" xfId="2788" xr:uid="{00000000-0005-0000-0000-000057060000}"/>
    <cellStyle name="Normal 10 2 13 3 2" xfId="4096" xr:uid="{00000000-0005-0000-0000-000058060000}"/>
    <cellStyle name="Normal 10 2 13 3 2 2" xfId="11325" xr:uid="{00000000-0005-0000-0000-000059060000}"/>
    <cellStyle name="Normal 10 2 13 3 3" xfId="10017" xr:uid="{00000000-0005-0000-0000-00005A060000}"/>
    <cellStyle name="Normal 10 2 13 4" xfId="4093" xr:uid="{00000000-0005-0000-0000-00005B060000}"/>
    <cellStyle name="Normal 10 2 13 4 2" xfId="11322" xr:uid="{00000000-0005-0000-0000-00005C060000}"/>
    <cellStyle name="Normal 10 2 13 5" xfId="8279" xr:uid="{00000000-0005-0000-0000-00005D060000}"/>
    <cellStyle name="Normal 10 2 14" xfId="1100" xr:uid="{00000000-0005-0000-0000-00005E060000}"/>
    <cellStyle name="Normal 10 2 14 2" xfId="2839" xr:uid="{00000000-0005-0000-0000-00005F060000}"/>
    <cellStyle name="Normal 10 2 14 2 2" xfId="4098" xr:uid="{00000000-0005-0000-0000-000060060000}"/>
    <cellStyle name="Normal 10 2 14 2 2 2" xfId="11327" xr:uid="{00000000-0005-0000-0000-000061060000}"/>
    <cellStyle name="Normal 10 2 14 2 3" xfId="10068" xr:uid="{00000000-0005-0000-0000-000062060000}"/>
    <cellStyle name="Normal 10 2 14 3" xfId="4097" xr:uid="{00000000-0005-0000-0000-000063060000}"/>
    <cellStyle name="Normal 10 2 14 3 2" xfId="11326" xr:uid="{00000000-0005-0000-0000-000064060000}"/>
    <cellStyle name="Normal 10 2 14 4" xfId="8330" xr:uid="{00000000-0005-0000-0000-000065060000}"/>
    <cellStyle name="Normal 10 2 15" xfId="1922" xr:uid="{00000000-0005-0000-0000-000066060000}"/>
    <cellStyle name="Normal 10 2 15 2" xfId="3660" xr:uid="{00000000-0005-0000-0000-000067060000}"/>
    <cellStyle name="Normal 10 2 15 2 2" xfId="4100" xr:uid="{00000000-0005-0000-0000-000068060000}"/>
    <cellStyle name="Normal 10 2 15 2 2 2" xfId="11329" xr:uid="{00000000-0005-0000-0000-000069060000}"/>
    <cellStyle name="Normal 10 2 15 2 3" xfId="10889" xr:uid="{00000000-0005-0000-0000-00006A060000}"/>
    <cellStyle name="Normal 10 2 15 3" xfId="4099" xr:uid="{00000000-0005-0000-0000-00006B060000}"/>
    <cellStyle name="Normal 10 2 15 3 2" xfId="11328" xr:uid="{00000000-0005-0000-0000-00006C060000}"/>
    <cellStyle name="Normal 10 2 15 4" xfId="9151" xr:uid="{00000000-0005-0000-0000-00006D060000}"/>
    <cellStyle name="Normal 10 2 16" xfId="1972" xr:uid="{00000000-0005-0000-0000-00006E060000}"/>
    <cellStyle name="Normal 10 2 16 2" xfId="4101" xr:uid="{00000000-0005-0000-0000-00006F060000}"/>
    <cellStyle name="Normal 10 2 16 2 2" xfId="11330" xr:uid="{00000000-0005-0000-0000-000070060000}"/>
    <cellStyle name="Normal 10 2 16 3" xfId="9201" xr:uid="{00000000-0005-0000-0000-000071060000}"/>
    <cellStyle name="Normal 10 2 17" xfId="3664" xr:uid="{00000000-0005-0000-0000-000072060000}"/>
    <cellStyle name="Normal 10 2 17 2" xfId="4102" xr:uid="{00000000-0005-0000-0000-000073060000}"/>
    <cellStyle name="Normal 10 2 17 2 2" xfId="11331" xr:uid="{00000000-0005-0000-0000-000074060000}"/>
    <cellStyle name="Normal 10 2 17 3" xfId="10893" xr:uid="{00000000-0005-0000-0000-000075060000}"/>
    <cellStyle name="Normal 10 2 18" xfId="3668" xr:uid="{00000000-0005-0000-0000-000076060000}"/>
    <cellStyle name="Normal 10 2 18 2" xfId="4103" xr:uid="{00000000-0005-0000-0000-000077060000}"/>
    <cellStyle name="Normal 10 2 18 2 2" xfId="11332" xr:uid="{00000000-0005-0000-0000-000078060000}"/>
    <cellStyle name="Normal 10 2 18 3" xfId="10897" xr:uid="{00000000-0005-0000-0000-000079060000}"/>
    <cellStyle name="Normal 10 2 19" xfId="4080" xr:uid="{00000000-0005-0000-0000-00007A060000}"/>
    <cellStyle name="Normal 10 2 19 2" xfId="11309" xr:uid="{00000000-0005-0000-0000-00007B060000}"/>
    <cellStyle name="Normal 10 2 2" xfId="197" xr:uid="{00000000-0005-0000-0000-00007C060000}"/>
    <cellStyle name="Normal 10 2 2 2" xfId="325" xr:uid="{00000000-0005-0000-0000-00007D060000}"/>
    <cellStyle name="Normal 10 2 2 2 2" xfId="551" xr:uid="{00000000-0005-0000-0000-00007E060000}"/>
    <cellStyle name="Normal 10 2 2 2 2 2" xfId="997" xr:uid="{00000000-0005-0000-0000-00007F060000}"/>
    <cellStyle name="Normal 10 2 2 2 2 2 2" xfId="1864" xr:uid="{00000000-0005-0000-0000-000080060000}"/>
    <cellStyle name="Normal 10 2 2 2 2 2 2 2" xfId="3603" xr:uid="{00000000-0005-0000-0000-000081060000}"/>
    <cellStyle name="Normal 10 2 2 2 2 2 2 2 2" xfId="4109" xr:uid="{00000000-0005-0000-0000-000082060000}"/>
    <cellStyle name="Normal 10 2 2 2 2 2 2 2 2 2" xfId="11338" xr:uid="{00000000-0005-0000-0000-000083060000}"/>
    <cellStyle name="Normal 10 2 2 2 2 2 2 2 3" xfId="10832" xr:uid="{00000000-0005-0000-0000-000084060000}"/>
    <cellStyle name="Normal 10 2 2 2 2 2 2 3" xfId="4108" xr:uid="{00000000-0005-0000-0000-000085060000}"/>
    <cellStyle name="Normal 10 2 2 2 2 2 2 3 2" xfId="11337" xr:uid="{00000000-0005-0000-0000-000086060000}"/>
    <cellStyle name="Normal 10 2 2 2 2 2 2 4" xfId="9094" xr:uid="{00000000-0005-0000-0000-000087060000}"/>
    <cellStyle name="Normal 10 2 2 2 2 2 3" xfId="2736" xr:uid="{00000000-0005-0000-0000-000088060000}"/>
    <cellStyle name="Normal 10 2 2 2 2 2 3 2" xfId="4110" xr:uid="{00000000-0005-0000-0000-000089060000}"/>
    <cellStyle name="Normal 10 2 2 2 2 2 3 2 2" xfId="11339" xr:uid="{00000000-0005-0000-0000-00008A060000}"/>
    <cellStyle name="Normal 10 2 2 2 2 2 3 3" xfId="9965" xr:uid="{00000000-0005-0000-0000-00008B060000}"/>
    <cellStyle name="Normal 10 2 2 2 2 2 4" xfId="4107" xr:uid="{00000000-0005-0000-0000-00008C060000}"/>
    <cellStyle name="Normal 10 2 2 2 2 2 4 2" xfId="11336" xr:uid="{00000000-0005-0000-0000-00008D060000}"/>
    <cellStyle name="Normal 10 2 2 2 2 2 5" xfId="8227" xr:uid="{00000000-0005-0000-0000-00008E060000}"/>
    <cellStyle name="Normal 10 2 2 2 2 3" xfId="1433" xr:uid="{00000000-0005-0000-0000-00008F060000}"/>
    <cellStyle name="Normal 10 2 2 2 2 3 2" xfId="3172" xr:uid="{00000000-0005-0000-0000-000090060000}"/>
    <cellStyle name="Normal 10 2 2 2 2 3 2 2" xfId="4112" xr:uid="{00000000-0005-0000-0000-000091060000}"/>
    <cellStyle name="Normal 10 2 2 2 2 3 2 2 2" xfId="11341" xr:uid="{00000000-0005-0000-0000-000092060000}"/>
    <cellStyle name="Normal 10 2 2 2 2 3 2 3" xfId="10401" xr:uid="{00000000-0005-0000-0000-000093060000}"/>
    <cellStyle name="Normal 10 2 2 2 2 3 3" xfId="4111" xr:uid="{00000000-0005-0000-0000-000094060000}"/>
    <cellStyle name="Normal 10 2 2 2 2 3 3 2" xfId="11340" xr:uid="{00000000-0005-0000-0000-000095060000}"/>
    <cellStyle name="Normal 10 2 2 2 2 3 4" xfId="8663" xr:uid="{00000000-0005-0000-0000-000096060000}"/>
    <cellStyle name="Normal 10 2 2 2 2 4" xfId="2305" xr:uid="{00000000-0005-0000-0000-000097060000}"/>
    <cellStyle name="Normal 10 2 2 2 2 4 2" xfId="4113" xr:uid="{00000000-0005-0000-0000-000098060000}"/>
    <cellStyle name="Normal 10 2 2 2 2 4 2 2" xfId="11342" xr:uid="{00000000-0005-0000-0000-000099060000}"/>
    <cellStyle name="Normal 10 2 2 2 2 4 3" xfId="9534" xr:uid="{00000000-0005-0000-0000-00009A060000}"/>
    <cellStyle name="Normal 10 2 2 2 2 5" xfId="4106" xr:uid="{00000000-0005-0000-0000-00009B060000}"/>
    <cellStyle name="Normal 10 2 2 2 2 5 2" xfId="11335" xr:uid="{00000000-0005-0000-0000-00009C060000}"/>
    <cellStyle name="Normal 10 2 2 2 2 6" xfId="7796" xr:uid="{00000000-0005-0000-0000-00009D060000}"/>
    <cellStyle name="Normal 10 2 2 2 3" xfId="773" xr:uid="{00000000-0005-0000-0000-00009E060000}"/>
    <cellStyle name="Normal 10 2 2 2 3 2" xfId="1646" xr:uid="{00000000-0005-0000-0000-00009F060000}"/>
    <cellStyle name="Normal 10 2 2 2 3 2 2" xfId="3385" xr:uid="{00000000-0005-0000-0000-0000A0060000}"/>
    <cellStyle name="Normal 10 2 2 2 3 2 2 2" xfId="4116" xr:uid="{00000000-0005-0000-0000-0000A1060000}"/>
    <cellStyle name="Normal 10 2 2 2 3 2 2 2 2" xfId="11345" xr:uid="{00000000-0005-0000-0000-0000A2060000}"/>
    <cellStyle name="Normal 10 2 2 2 3 2 2 3" xfId="10614" xr:uid="{00000000-0005-0000-0000-0000A3060000}"/>
    <cellStyle name="Normal 10 2 2 2 3 2 3" xfId="4115" xr:uid="{00000000-0005-0000-0000-0000A4060000}"/>
    <cellStyle name="Normal 10 2 2 2 3 2 3 2" xfId="11344" xr:uid="{00000000-0005-0000-0000-0000A5060000}"/>
    <cellStyle name="Normal 10 2 2 2 3 2 4" xfId="8876" xr:uid="{00000000-0005-0000-0000-0000A6060000}"/>
    <cellStyle name="Normal 10 2 2 2 3 3" xfId="2518" xr:uid="{00000000-0005-0000-0000-0000A7060000}"/>
    <cellStyle name="Normal 10 2 2 2 3 3 2" xfId="4117" xr:uid="{00000000-0005-0000-0000-0000A8060000}"/>
    <cellStyle name="Normal 10 2 2 2 3 3 2 2" xfId="11346" xr:uid="{00000000-0005-0000-0000-0000A9060000}"/>
    <cellStyle name="Normal 10 2 2 2 3 3 3" xfId="9747" xr:uid="{00000000-0005-0000-0000-0000AA060000}"/>
    <cellStyle name="Normal 10 2 2 2 3 4" xfId="4114" xr:uid="{00000000-0005-0000-0000-0000AB060000}"/>
    <cellStyle name="Normal 10 2 2 2 3 4 2" xfId="11343" xr:uid="{00000000-0005-0000-0000-0000AC060000}"/>
    <cellStyle name="Normal 10 2 2 2 3 5" xfId="8009" xr:uid="{00000000-0005-0000-0000-0000AD060000}"/>
    <cellStyle name="Normal 10 2 2 2 4" xfId="1215" xr:uid="{00000000-0005-0000-0000-0000AE060000}"/>
    <cellStyle name="Normal 10 2 2 2 4 2" xfId="2954" xr:uid="{00000000-0005-0000-0000-0000AF060000}"/>
    <cellStyle name="Normal 10 2 2 2 4 2 2" xfId="4119" xr:uid="{00000000-0005-0000-0000-0000B0060000}"/>
    <cellStyle name="Normal 10 2 2 2 4 2 2 2" xfId="11348" xr:uid="{00000000-0005-0000-0000-0000B1060000}"/>
    <cellStyle name="Normal 10 2 2 2 4 2 3" xfId="10183" xr:uid="{00000000-0005-0000-0000-0000B2060000}"/>
    <cellStyle name="Normal 10 2 2 2 4 3" xfId="4118" xr:uid="{00000000-0005-0000-0000-0000B3060000}"/>
    <cellStyle name="Normal 10 2 2 2 4 3 2" xfId="11347" xr:uid="{00000000-0005-0000-0000-0000B4060000}"/>
    <cellStyle name="Normal 10 2 2 2 4 4" xfId="8445" xr:uid="{00000000-0005-0000-0000-0000B5060000}"/>
    <cellStyle name="Normal 10 2 2 2 5" xfId="2087" xr:uid="{00000000-0005-0000-0000-0000B6060000}"/>
    <cellStyle name="Normal 10 2 2 2 5 2" xfId="4120" xr:uid="{00000000-0005-0000-0000-0000B7060000}"/>
    <cellStyle name="Normal 10 2 2 2 5 2 2" xfId="11349" xr:uid="{00000000-0005-0000-0000-0000B8060000}"/>
    <cellStyle name="Normal 10 2 2 2 5 3" xfId="9316" xr:uid="{00000000-0005-0000-0000-0000B9060000}"/>
    <cellStyle name="Normal 10 2 2 2 6" xfId="4105" xr:uid="{00000000-0005-0000-0000-0000BA060000}"/>
    <cellStyle name="Normal 10 2 2 2 6 2" xfId="11334" xr:uid="{00000000-0005-0000-0000-0000BB060000}"/>
    <cellStyle name="Normal 10 2 2 2 7" xfId="7578" xr:uid="{00000000-0005-0000-0000-0000BC060000}"/>
    <cellStyle name="Normal 10 2 2 3" xfId="449" xr:uid="{00000000-0005-0000-0000-0000BD060000}"/>
    <cellStyle name="Normal 10 2 2 3 2" xfId="895" xr:uid="{00000000-0005-0000-0000-0000BE060000}"/>
    <cellStyle name="Normal 10 2 2 3 2 2" xfId="1762" xr:uid="{00000000-0005-0000-0000-0000BF060000}"/>
    <cellStyle name="Normal 10 2 2 3 2 2 2" xfId="3501" xr:uid="{00000000-0005-0000-0000-0000C0060000}"/>
    <cellStyle name="Normal 10 2 2 3 2 2 2 2" xfId="4124" xr:uid="{00000000-0005-0000-0000-0000C1060000}"/>
    <cellStyle name="Normal 10 2 2 3 2 2 2 2 2" xfId="11353" xr:uid="{00000000-0005-0000-0000-0000C2060000}"/>
    <cellStyle name="Normal 10 2 2 3 2 2 2 3" xfId="10730" xr:uid="{00000000-0005-0000-0000-0000C3060000}"/>
    <cellStyle name="Normal 10 2 2 3 2 2 3" xfId="4123" xr:uid="{00000000-0005-0000-0000-0000C4060000}"/>
    <cellStyle name="Normal 10 2 2 3 2 2 3 2" xfId="11352" xr:uid="{00000000-0005-0000-0000-0000C5060000}"/>
    <cellStyle name="Normal 10 2 2 3 2 2 4" xfId="8992" xr:uid="{00000000-0005-0000-0000-0000C6060000}"/>
    <cellStyle name="Normal 10 2 2 3 2 3" xfId="2634" xr:uid="{00000000-0005-0000-0000-0000C7060000}"/>
    <cellStyle name="Normal 10 2 2 3 2 3 2" xfId="4125" xr:uid="{00000000-0005-0000-0000-0000C8060000}"/>
    <cellStyle name="Normal 10 2 2 3 2 3 2 2" xfId="11354" xr:uid="{00000000-0005-0000-0000-0000C9060000}"/>
    <cellStyle name="Normal 10 2 2 3 2 3 3" xfId="9863" xr:uid="{00000000-0005-0000-0000-0000CA060000}"/>
    <cellStyle name="Normal 10 2 2 3 2 4" xfId="4122" xr:uid="{00000000-0005-0000-0000-0000CB060000}"/>
    <cellStyle name="Normal 10 2 2 3 2 4 2" xfId="11351" xr:uid="{00000000-0005-0000-0000-0000CC060000}"/>
    <cellStyle name="Normal 10 2 2 3 2 5" xfId="8125" xr:uid="{00000000-0005-0000-0000-0000CD060000}"/>
    <cellStyle name="Normal 10 2 2 3 3" xfId="1331" xr:uid="{00000000-0005-0000-0000-0000CE060000}"/>
    <cellStyle name="Normal 10 2 2 3 3 2" xfId="3070" xr:uid="{00000000-0005-0000-0000-0000CF060000}"/>
    <cellStyle name="Normal 10 2 2 3 3 2 2" xfId="4127" xr:uid="{00000000-0005-0000-0000-0000D0060000}"/>
    <cellStyle name="Normal 10 2 2 3 3 2 2 2" xfId="11356" xr:uid="{00000000-0005-0000-0000-0000D1060000}"/>
    <cellStyle name="Normal 10 2 2 3 3 2 3" xfId="10299" xr:uid="{00000000-0005-0000-0000-0000D2060000}"/>
    <cellStyle name="Normal 10 2 2 3 3 3" xfId="4126" xr:uid="{00000000-0005-0000-0000-0000D3060000}"/>
    <cellStyle name="Normal 10 2 2 3 3 3 2" xfId="11355" xr:uid="{00000000-0005-0000-0000-0000D4060000}"/>
    <cellStyle name="Normal 10 2 2 3 3 4" xfId="8561" xr:uid="{00000000-0005-0000-0000-0000D5060000}"/>
    <cellStyle name="Normal 10 2 2 3 4" xfId="2203" xr:uid="{00000000-0005-0000-0000-0000D6060000}"/>
    <cellStyle name="Normal 10 2 2 3 4 2" xfId="4128" xr:uid="{00000000-0005-0000-0000-0000D7060000}"/>
    <cellStyle name="Normal 10 2 2 3 4 2 2" xfId="11357" xr:uid="{00000000-0005-0000-0000-0000D8060000}"/>
    <cellStyle name="Normal 10 2 2 3 4 3" xfId="9432" xr:uid="{00000000-0005-0000-0000-0000D9060000}"/>
    <cellStyle name="Normal 10 2 2 3 5" xfId="4121" xr:uid="{00000000-0005-0000-0000-0000DA060000}"/>
    <cellStyle name="Normal 10 2 2 3 5 2" xfId="11350" xr:uid="{00000000-0005-0000-0000-0000DB060000}"/>
    <cellStyle name="Normal 10 2 2 3 6" xfId="7694" xr:uid="{00000000-0005-0000-0000-0000DC060000}"/>
    <cellStyle name="Normal 10 2 2 4" xfId="671" xr:uid="{00000000-0005-0000-0000-0000DD060000}"/>
    <cellStyle name="Normal 10 2 2 4 2" xfId="1544" xr:uid="{00000000-0005-0000-0000-0000DE060000}"/>
    <cellStyle name="Normal 10 2 2 4 2 2" xfId="3283" xr:uid="{00000000-0005-0000-0000-0000DF060000}"/>
    <cellStyle name="Normal 10 2 2 4 2 2 2" xfId="4131" xr:uid="{00000000-0005-0000-0000-0000E0060000}"/>
    <cellStyle name="Normal 10 2 2 4 2 2 2 2" xfId="11360" xr:uid="{00000000-0005-0000-0000-0000E1060000}"/>
    <cellStyle name="Normal 10 2 2 4 2 2 3" xfId="10512" xr:uid="{00000000-0005-0000-0000-0000E2060000}"/>
    <cellStyle name="Normal 10 2 2 4 2 3" xfId="4130" xr:uid="{00000000-0005-0000-0000-0000E3060000}"/>
    <cellStyle name="Normal 10 2 2 4 2 3 2" xfId="11359" xr:uid="{00000000-0005-0000-0000-0000E4060000}"/>
    <cellStyle name="Normal 10 2 2 4 2 4" xfId="8774" xr:uid="{00000000-0005-0000-0000-0000E5060000}"/>
    <cellStyle name="Normal 10 2 2 4 3" xfId="2416" xr:uid="{00000000-0005-0000-0000-0000E6060000}"/>
    <cellStyle name="Normal 10 2 2 4 3 2" xfId="4132" xr:uid="{00000000-0005-0000-0000-0000E7060000}"/>
    <cellStyle name="Normal 10 2 2 4 3 2 2" xfId="11361" xr:uid="{00000000-0005-0000-0000-0000E8060000}"/>
    <cellStyle name="Normal 10 2 2 4 3 3" xfId="9645" xr:uid="{00000000-0005-0000-0000-0000E9060000}"/>
    <cellStyle name="Normal 10 2 2 4 4" xfId="4129" xr:uid="{00000000-0005-0000-0000-0000EA060000}"/>
    <cellStyle name="Normal 10 2 2 4 4 2" xfId="11358" xr:uid="{00000000-0005-0000-0000-0000EB060000}"/>
    <cellStyle name="Normal 10 2 2 4 5" xfId="7907" xr:uid="{00000000-0005-0000-0000-0000EC060000}"/>
    <cellStyle name="Normal 10 2 2 5" xfId="1113" xr:uid="{00000000-0005-0000-0000-0000ED060000}"/>
    <cellStyle name="Normal 10 2 2 5 2" xfId="2852" xr:uid="{00000000-0005-0000-0000-0000EE060000}"/>
    <cellStyle name="Normal 10 2 2 5 2 2" xfId="4134" xr:uid="{00000000-0005-0000-0000-0000EF060000}"/>
    <cellStyle name="Normal 10 2 2 5 2 2 2" xfId="11363" xr:uid="{00000000-0005-0000-0000-0000F0060000}"/>
    <cellStyle name="Normal 10 2 2 5 2 3" xfId="10081" xr:uid="{00000000-0005-0000-0000-0000F1060000}"/>
    <cellStyle name="Normal 10 2 2 5 3" xfId="4133" xr:uid="{00000000-0005-0000-0000-0000F2060000}"/>
    <cellStyle name="Normal 10 2 2 5 3 2" xfId="11362" xr:uid="{00000000-0005-0000-0000-0000F3060000}"/>
    <cellStyle name="Normal 10 2 2 5 4" xfId="8343" xr:uid="{00000000-0005-0000-0000-0000F4060000}"/>
    <cellStyle name="Normal 10 2 2 6" xfId="1985" xr:uid="{00000000-0005-0000-0000-0000F5060000}"/>
    <cellStyle name="Normal 10 2 2 6 2" xfId="4135" xr:uid="{00000000-0005-0000-0000-0000F6060000}"/>
    <cellStyle name="Normal 10 2 2 6 2 2" xfId="11364" xr:uid="{00000000-0005-0000-0000-0000F7060000}"/>
    <cellStyle name="Normal 10 2 2 6 3" xfId="9214" xr:uid="{00000000-0005-0000-0000-0000F8060000}"/>
    <cellStyle name="Normal 10 2 2 7" xfId="4104" xr:uid="{00000000-0005-0000-0000-0000F9060000}"/>
    <cellStyle name="Normal 10 2 2 7 2" xfId="11333" xr:uid="{00000000-0005-0000-0000-0000FA060000}"/>
    <cellStyle name="Normal 10 2 2 8" xfId="7476" xr:uid="{00000000-0005-0000-0000-0000FB060000}"/>
    <cellStyle name="Normal 10 2 20" xfId="7345" xr:uid="{00000000-0005-0000-0000-0000FC060000}"/>
    <cellStyle name="Normal 10 2 20 2" xfId="14572" xr:uid="{00000000-0005-0000-0000-0000FD060000}"/>
    <cellStyle name="Normal 10 2 21" xfId="7350" xr:uid="{00000000-0005-0000-0000-0000FE060000}"/>
    <cellStyle name="Normal 10 2 21 2" xfId="14577" xr:uid="{00000000-0005-0000-0000-0000FF060000}"/>
    <cellStyle name="Normal 10 2 22" xfId="7352" xr:uid="{00000000-0005-0000-0000-000000070000}"/>
    <cellStyle name="Normal 10 2 22 2" xfId="14579" xr:uid="{00000000-0005-0000-0000-000001070000}"/>
    <cellStyle name="Normal 10 2 23" xfId="7355" xr:uid="{00000000-0005-0000-0000-000002070000}"/>
    <cellStyle name="Normal 10 2 23 2" xfId="14582" xr:uid="{00000000-0005-0000-0000-000003070000}"/>
    <cellStyle name="Normal 10 2 24" xfId="7358" xr:uid="{00000000-0005-0000-0000-000004070000}"/>
    <cellStyle name="Normal 10 2 24 2" xfId="14585" xr:uid="{00000000-0005-0000-0000-000005070000}"/>
    <cellStyle name="Normal 10 2 25" xfId="7461" xr:uid="{00000000-0005-0000-0000-000006070000}"/>
    <cellStyle name="Normal 10 2 26" xfId="14610" xr:uid="{00000000-0005-0000-0000-000007070000}"/>
    <cellStyle name="Normal 10 2 3" xfId="312" xr:uid="{00000000-0005-0000-0000-000008070000}"/>
    <cellStyle name="Normal 10 2 3 2" xfId="538" xr:uid="{00000000-0005-0000-0000-000009070000}"/>
    <cellStyle name="Normal 10 2 3 2 2" xfId="984" xr:uid="{00000000-0005-0000-0000-00000A070000}"/>
    <cellStyle name="Normal 10 2 3 2 2 2" xfId="1851" xr:uid="{00000000-0005-0000-0000-00000B070000}"/>
    <cellStyle name="Normal 10 2 3 2 2 2 2" xfId="3590" xr:uid="{00000000-0005-0000-0000-00000C070000}"/>
    <cellStyle name="Normal 10 2 3 2 2 2 2 2" xfId="4140" xr:uid="{00000000-0005-0000-0000-00000D070000}"/>
    <cellStyle name="Normal 10 2 3 2 2 2 2 2 2" xfId="11369" xr:uid="{00000000-0005-0000-0000-00000E070000}"/>
    <cellStyle name="Normal 10 2 3 2 2 2 2 3" xfId="10819" xr:uid="{00000000-0005-0000-0000-00000F070000}"/>
    <cellStyle name="Normal 10 2 3 2 2 2 3" xfId="4139" xr:uid="{00000000-0005-0000-0000-000010070000}"/>
    <cellStyle name="Normal 10 2 3 2 2 2 3 2" xfId="11368" xr:uid="{00000000-0005-0000-0000-000011070000}"/>
    <cellStyle name="Normal 10 2 3 2 2 2 4" xfId="9081" xr:uid="{00000000-0005-0000-0000-000012070000}"/>
    <cellStyle name="Normal 10 2 3 2 2 3" xfId="2723" xr:uid="{00000000-0005-0000-0000-000013070000}"/>
    <cellStyle name="Normal 10 2 3 2 2 3 2" xfId="4141" xr:uid="{00000000-0005-0000-0000-000014070000}"/>
    <cellStyle name="Normal 10 2 3 2 2 3 2 2" xfId="11370" xr:uid="{00000000-0005-0000-0000-000015070000}"/>
    <cellStyle name="Normal 10 2 3 2 2 3 3" xfId="9952" xr:uid="{00000000-0005-0000-0000-000016070000}"/>
    <cellStyle name="Normal 10 2 3 2 2 4" xfId="4138" xr:uid="{00000000-0005-0000-0000-000017070000}"/>
    <cellStyle name="Normal 10 2 3 2 2 4 2" xfId="11367" xr:uid="{00000000-0005-0000-0000-000018070000}"/>
    <cellStyle name="Normal 10 2 3 2 2 5" xfId="8214" xr:uid="{00000000-0005-0000-0000-000019070000}"/>
    <cellStyle name="Normal 10 2 3 2 3" xfId="1420" xr:uid="{00000000-0005-0000-0000-00001A070000}"/>
    <cellStyle name="Normal 10 2 3 2 3 2" xfId="3159" xr:uid="{00000000-0005-0000-0000-00001B070000}"/>
    <cellStyle name="Normal 10 2 3 2 3 2 2" xfId="4143" xr:uid="{00000000-0005-0000-0000-00001C070000}"/>
    <cellStyle name="Normal 10 2 3 2 3 2 2 2" xfId="11372" xr:uid="{00000000-0005-0000-0000-00001D070000}"/>
    <cellStyle name="Normal 10 2 3 2 3 2 3" xfId="10388" xr:uid="{00000000-0005-0000-0000-00001E070000}"/>
    <cellStyle name="Normal 10 2 3 2 3 3" xfId="4142" xr:uid="{00000000-0005-0000-0000-00001F070000}"/>
    <cellStyle name="Normal 10 2 3 2 3 3 2" xfId="11371" xr:uid="{00000000-0005-0000-0000-000020070000}"/>
    <cellStyle name="Normal 10 2 3 2 3 4" xfId="8650" xr:uid="{00000000-0005-0000-0000-000021070000}"/>
    <cellStyle name="Normal 10 2 3 2 4" xfId="2292" xr:uid="{00000000-0005-0000-0000-000022070000}"/>
    <cellStyle name="Normal 10 2 3 2 4 2" xfId="4144" xr:uid="{00000000-0005-0000-0000-000023070000}"/>
    <cellStyle name="Normal 10 2 3 2 4 2 2" xfId="11373" xr:uid="{00000000-0005-0000-0000-000024070000}"/>
    <cellStyle name="Normal 10 2 3 2 4 3" xfId="9521" xr:uid="{00000000-0005-0000-0000-000025070000}"/>
    <cellStyle name="Normal 10 2 3 2 5" xfId="4137" xr:uid="{00000000-0005-0000-0000-000026070000}"/>
    <cellStyle name="Normal 10 2 3 2 5 2" xfId="11366" xr:uid="{00000000-0005-0000-0000-000027070000}"/>
    <cellStyle name="Normal 10 2 3 2 6" xfId="7783" xr:uid="{00000000-0005-0000-0000-000028070000}"/>
    <cellStyle name="Normal 10 2 3 3" xfId="760" xr:uid="{00000000-0005-0000-0000-000029070000}"/>
    <cellStyle name="Normal 10 2 3 3 2" xfId="1633" xr:uid="{00000000-0005-0000-0000-00002A070000}"/>
    <cellStyle name="Normal 10 2 3 3 2 2" xfId="3372" xr:uid="{00000000-0005-0000-0000-00002B070000}"/>
    <cellStyle name="Normal 10 2 3 3 2 2 2" xfId="4147" xr:uid="{00000000-0005-0000-0000-00002C070000}"/>
    <cellStyle name="Normal 10 2 3 3 2 2 2 2" xfId="11376" xr:uid="{00000000-0005-0000-0000-00002D070000}"/>
    <cellStyle name="Normal 10 2 3 3 2 2 3" xfId="10601" xr:uid="{00000000-0005-0000-0000-00002E070000}"/>
    <cellStyle name="Normal 10 2 3 3 2 3" xfId="4146" xr:uid="{00000000-0005-0000-0000-00002F070000}"/>
    <cellStyle name="Normal 10 2 3 3 2 3 2" xfId="11375" xr:uid="{00000000-0005-0000-0000-000030070000}"/>
    <cellStyle name="Normal 10 2 3 3 2 4" xfId="8863" xr:uid="{00000000-0005-0000-0000-000031070000}"/>
    <cellStyle name="Normal 10 2 3 3 3" xfId="2505" xr:uid="{00000000-0005-0000-0000-000032070000}"/>
    <cellStyle name="Normal 10 2 3 3 3 2" xfId="4148" xr:uid="{00000000-0005-0000-0000-000033070000}"/>
    <cellStyle name="Normal 10 2 3 3 3 2 2" xfId="11377" xr:uid="{00000000-0005-0000-0000-000034070000}"/>
    <cellStyle name="Normal 10 2 3 3 3 3" xfId="9734" xr:uid="{00000000-0005-0000-0000-000035070000}"/>
    <cellStyle name="Normal 10 2 3 3 4" xfId="4145" xr:uid="{00000000-0005-0000-0000-000036070000}"/>
    <cellStyle name="Normal 10 2 3 3 4 2" xfId="11374" xr:uid="{00000000-0005-0000-0000-000037070000}"/>
    <cellStyle name="Normal 10 2 3 3 5" xfId="7996" xr:uid="{00000000-0005-0000-0000-000038070000}"/>
    <cellStyle name="Normal 10 2 3 4" xfId="1202" xr:uid="{00000000-0005-0000-0000-000039070000}"/>
    <cellStyle name="Normal 10 2 3 4 2" xfId="2941" xr:uid="{00000000-0005-0000-0000-00003A070000}"/>
    <cellStyle name="Normal 10 2 3 4 2 2" xfId="4150" xr:uid="{00000000-0005-0000-0000-00003B070000}"/>
    <cellStyle name="Normal 10 2 3 4 2 2 2" xfId="11379" xr:uid="{00000000-0005-0000-0000-00003C070000}"/>
    <cellStyle name="Normal 10 2 3 4 2 3" xfId="10170" xr:uid="{00000000-0005-0000-0000-00003D070000}"/>
    <cellStyle name="Normal 10 2 3 4 3" xfId="4149" xr:uid="{00000000-0005-0000-0000-00003E070000}"/>
    <cellStyle name="Normal 10 2 3 4 3 2" xfId="11378" xr:uid="{00000000-0005-0000-0000-00003F070000}"/>
    <cellStyle name="Normal 10 2 3 4 4" xfId="8432" xr:uid="{00000000-0005-0000-0000-000040070000}"/>
    <cellStyle name="Normal 10 2 3 5" xfId="2074" xr:uid="{00000000-0005-0000-0000-000041070000}"/>
    <cellStyle name="Normal 10 2 3 5 2" xfId="4151" xr:uid="{00000000-0005-0000-0000-000042070000}"/>
    <cellStyle name="Normal 10 2 3 5 2 2" xfId="11380" xr:uid="{00000000-0005-0000-0000-000043070000}"/>
    <cellStyle name="Normal 10 2 3 5 3" xfId="9303" xr:uid="{00000000-0005-0000-0000-000044070000}"/>
    <cellStyle name="Normal 10 2 3 6" xfId="4136" xr:uid="{00000000-0005-0000-0000-000045070000}"/>
    <cellStyle name="Normal 10 2 3 6 2" xfId="11365" xr:uid="{00000000-0005-0000-0000-000046070000}"/>
    <cellStyle name="Normal 10 2 3 7" xfId="7565" xr:uid="{00000000-0005-0000-0000-000047070000}"/>
    <cellStyle name="Normal 10 2 4" xfId="368" xr:uid="{00000000-0005-0000-0000-000048070000}"/>
    <cellStyle name="Normal 10 2 4 2" xfId="815" xr:uid="{00000000-0005-0000-0000-000049070000}"/>
    <cellStyle name="Normal 10 2 4 2 2" xfId="1687" xr:uid="{00000000-0005-0000-0000-00004A070000}"/>
    <cellStyle name="Normal 10 2 4 2 2 2" xfId="3426" xr:uid="{00000000-0005-0000-0000-00004B070000}"/>
    <cellStyle name="Normal 10 2 4 2 2 2 2" xfId="4155" xr:uid="{00000000-0005-0000-0000-00004C070000}"/>
    <cellStyle name="Normal 10 2 4 2 2 2 2 2" xfId="11384" xr:uid="{00000000-0005-0000-0000-00004D070000}"/>
    <cellStyle name="Normal 10 2 4 2 2 2 3" xfId="10655" xr:uid="{00000000-0005-0000-0000-00004E070000}"/>
    <cellStyle name="Normal 10 2 4 2 2 3" xfId="4154" xr:uid="{00000000-0005-0000-0000-00004F070000}"/>
    <cellStyle name="Normal 10 2 4 2 2 3 2" xfId="11383" xr:uid="{00000000-0005-0000-0000-000050070000}"/>
    <cellStyle name="Normal 10 2 4 2 2 4" xfId="8917" xr:uid="{00000000-0005-0000-0000-000051070000}"/>
    <cellStyle name="Normal 10 2 4 2 3" xfId="2559" xr:uid="{00000000-0005-0000-0000-000052070000}"/>
    <cellStyle name="Normal 10 2 4 2 3 2" xfId="4156" xr:uid="{00000000-0005-0000-0000-000053070000}"/>
    <cellStyle name="Normal 10 2 4 2 3 2 2" xfId="11385" xr:uid="{00000000-0005-0000-0000-000054070000}"/>
    <cellStyle name="Normal 10 2 4 2 3 3" xfId="9788" xr:uid="{00000000-0005-0000-0000-000055070000}"/>
    <cellStyle name="Normal 10 2 4 2 4" xfId="4153" xr:uid="{00000000-0005-0000-0000-000056070000}"/>
    <cellStyle name="Normal 10 2 4 2 4 2" xfId="11382" xr:uid="{00000000-0005-0000-0000-000057070000}"/>
    <cellStyle name="Normal 10 2 4 2 5" xfId="8050" xr:uid="{00000000-0005-0000-0000-000058070000}"/>
    <cellStyle name="Normal 10 2 4 3" xfId="1256" xr:uid="{00000000-0005-0000-0000-000059070000}"/>
    <cellStyle name="Normal 10 2 4 3 2" xfId="2995" xr:uid="{00000000-0005-0000-0000-00005A070000}"/>
    <cellStyle name="Normal 10 2 4 3 2 2" xfId="4158" xr:uid="{00000000-0005-0000-0000-00005B070000}"/>
    <cellStyle name="Normal 10 2 4 3 2 2 2" xfId="11387" xr:uid="{00000000-0005-0000-0000-00005C070000}"/>
    <cellStyle name="Normal 10 2 4 3 2 3" xfId="10224" xr:uid="{00000000-0005-0000-0000-00005D070000}"/>
    <cellStyle name="Normal 10 2 4 3 3" xfId="4157" xr:uid="{00000000-0005-0000-0000-00005E070000}"/>
    <cellStyle name="Normal 10 2 4 3 3 2" xfId="11386" xr:uid="{00000000-0005-0000-0000-00005F070000}"/>
    <cellStyle name="Normal 10 2 4 3 4" xfId="8486" xr:uid="{00000000-0005-0000-0000-000060070000}"/>
    <cellStyle name="Normal 10 2 4 4" xfId="2128" xr:uid="{00000000-0005-0000-0000-000061070000}"/>
    <cellStyle name="Normal 10 2 4 4 2" xfId="4159" xr:uid="{00000000-0005-0000-0000-000062070000}"/>
    <cellStyle name="Normal 10 2 4 4 2 2" xfId="11388" xr:uid="{00000000-0005-0000-0000-000063070000}"/>
    <cellStyle name="Normal 10 2 4 4 3" xfId="9357" xr:uid="{00000000-0005-0000-0000-000064070000}"/>
    <cellStyle name="Normal 10 2 4 5" xfId="4152" xr:uid="{00000000-0005-0000-0000-000065070000}"/>
    <cellStyle name="Normal 10 2 4 5 2" xfId="11381" xr:uid="{00000000-0005-0000-0000-000066070000}"/>
    <cellStyle name="Normal 10 2 4 6" xfId="7619" xr:uid="{00000000-0005-0000-0000-000067070000}"/>
    <cellStyle name="Normal 10 2 5" xfId="377" xr:uid="{00000000-0005-0000-0000-000068070000}"/>
    <cellStyle name="Normal 10 2 5 2" xfId="823" xr:uid="{00000000-0005-0000-0000-000069070000}"/>
    <cellStyle name="Normal 10 2 5 2 2" xfId="1690" xr:uid="{00000000-0005-0000-0000-00006A070000}"/>
    <cellStyle name="Normal 10 2 5 2 2 2" xfId="3429" xr:uid="{00000000-0005-0000-0000-00006B070000}"/>
    <cellStyle name="Normal 10 2 5 2 2 2 2" xfId="4163" xr:uid="{00000000-0005-0000-0000-00006C070000}"/>
    <cellStyle name="Normal 10 2 5 2 2 2 2 2" xfId="11392" xr:uid="{00000000-0005-0000-0000-00006D070000}"/>
    <cellStyle name="Normal 10 2 5 2 2 2 3" xfId="10658" xr:uid="{00000000-0005-0000-0000-00006E070000}"/>
    <cellStyle name="Normal 10 2 5 2 2 3" xfId="4162" xr:uid="{00000000-0005-0000-0000-00006F070000}"/>
    <cellStyle name="Normal 10 2 5 2 2 3 2" xfId="11391" xr:uid="{00000000-0005-0000-0000-000070070000}"/>
    <cellStyle name="Normal 10 2 5 2 2 4" xfId="8920" xr:uid="{00000000-0005-0000-0000-000071070000}"/>
    <cellStyle name="Normal 10 2 5 2 3" xfId="2562" xr:uid="{00000000-0005-0000-0000-000072070000}"/>
    <cellStyle name="Normal 10 2 5 2 3 2" xfId="4164" xr:uid="{00000000-0005-0000-0000-000073070000}"/>
    <cellStyle name="Normal 10 2 5 2 3 2 2" xfId="11393" xr:uid="{00000000-0005-0000-0000-000074070000}"/>
    <cellStyle name="Normal 10 2 5 2 3 3" xfId="9791" xr:uid="{00000000-0005-0000-0000-000075070000}"/>
    <cellStyle name="Normal 10 2 5 2 4" xfId="4161" xr:uid="{00000000-0005-0000-0000-000076070000}"/>
    <cellStyle name="Normal 10 2 5 2 4 2" xfId="11390" xr:uid="{00000000-0005-0000-0000-000077070000}"/>
    <cellStyle name="Normal 10 2 5 2 5" xfId="8053" xr:uid="{00000000-0005-0000-0000-000078070000}"/>
    <cellStyle name="Normal 10 2 5 3" xfId="1259" xr:uid="{00000000-0005-0000-0000-000079070000}"/>
    <cellStyle name="Normal 10 2 5 3 2" xfId="2998" xr:uid="{00000000-0005-0000-0000-00007A070000}"/>
    <cellStyle name="Normal 10 2 5 3 2 2" xfId="4166" xr:uid="{00000000-0005-0000-0000-00007B070000}"/>
    <cellStyle name="Normal 10 2 5 3 2 2 2" xfId="11395" xr:uid="{00000000-0005-0000-0000-00007C070000}"/>
    <cellStyle name="Normal 10 2 5 3 2 3" xfId="10227" xr:uid="{00000000-0005-0000-0000-00007D070000}"/>
    <cellStyle name="Normal 10 2 5 3 3" xfId="4165" xr:uid="{00000000-0005-0000-0000-00007E070000}"/>
    <cellStyle name="Normal 10 2 5 3 3 2" xfId="11394" xr:uid="{00000000-0005-0000-0000-00007F070000}"/>
    <cellStyle name="Normal 10 2 5 3 4" xfId="8489" xr:uid="{00000000-0005-0000-0000-000080070000}"/>
    <cellStyle name="Normal 10 2 5 4" xfId="2131" xr:uid="{00000000-0005-0000-0000-000081070000}"/>
    <cellStyle name="Normal 10 2 5 4 2" xfId="4167" xr:uid="{00000000-0005-0000-0000-000082070000}"/>
    <cellStyle name="Normal 10 2 5 4 2 2" xfId="11396" xr:uid="{00000000-0005-0000-0000-000083070000}"/>
    <cellStyle name="Normal 10 2 5 4 3" xfId="9360" xr:uid="{00000000-0005-0000-0000-000084070000}"/>
    <cellStyle name="Normal 10 2 5 5" xfId="4160" xr:uid="{00000000-0005-0000-0000-000085070000}"/>
    <cellStyle name="Normal 10 2 5 5 2" xfId="11389" xr:uid="{00000000-0005-0000-0000-000086070000}"/>
    <cellStyle name="Normal 10 2 5 6" xfId="7622" xr:uid="{00000000-0005-0000-0000-000087070000}"/>
    <cellStyle name="Normal 10 2 6" xfId="380" xr:uid="{00000000-0005-0000-0000-000088070000}"/>
    <cellStyle name="Normal 10 2 6 2" xfId="826" xr:uid="{00000000-0005-0000-0000-000089070000}"/>
    <cellStyle name="Normal 10 2 6 2 2" xfId="1693" xr:uid="{00000000-0005-0000-0000-00008A070000}"/>
    <cellStyle name="Normal 10 2 6 2 2 2" xfId="3432" xr:uid="{00000000-0005-0000-0000-00008B070000}"/>
    <cellStyle name="Normal 10 2 6 2 2 2 2" xfId="4171" xr:uid="{00000000-0005-0000-0000-00008C070000}"/>
    <cellStyle name="Normal 10 2 6 2 2 2 2 2" xfId="11400" xr:uid="{00000000-0005-0000-0000-00008D070000}"/>
    <cellStyle name="Normal 10 2 6 2 2 2 3" xfId="10661" xr:uid="{00000000-0005-0000-0000-00008E070000}"/>
    <cellStyle name="Normal 10 2 6 2 2 3" xfId="4170" xr:uid="{00000000-0005-0000-0000-00008F070000}"/>
    <cellStyle name="Normal 10 2 6 2 2 3 2" xfId="11399" xr:uid="{00000000-0005-0000-0000-000090070000}"/>
    <cellStyle name="Normal 10 2 6 2 2 4" xfId="8923" xr:uid="{00000000-0005-0000-0000-000091070000}"/>
    <cellStyle name="Normal 10 2 6 2 3" xfId="2565" xr:uid="{00000000-0005-0000-0000-000092070000}"/>
    <cellStyle name="Normal 10 2 6 2 3 2" xfId="4172" xr:uid="{00000000-0005-0000-0000-000093070000}"/>
    <cellStyle name="Normal 10 2 6 2 3 2 2" xfId="11401" xr:uid="{00000000-0005-0000-0000-000094070000}"/>
    <cellStyle name="Normal 10 2 6 2 3 3" xfId="9794" xr:uid="{00000000-0005-0000-0000-000095070000}"/>
    <cellStyle name="Normal 10 2 6 2 4" xfId="4169" xr:uid="{00000000-0005-0000-0000-000096070000}"/>
    <cellStyle name="Normal 10 2 6 2 4 2" xfId="11398" xr:uid="{00000000-0005-0000-0000-000097070000}"/>
    <cellStyle name="Normal 10 2 6 2 5" xfId="8056" xr:uid="{00000000-0005-0000-0000-000098070000}"/>
    <cellStyle name="Normal 10 2 6 3" xfId="1262" xr:uid="{00000000-0005-0000-0000-000099070000}"/>
    <cellStyle name="Normal 10 2 6 3 2" xfId="3001" xr:uid="{00000000-0005-0000-0000-00009A070000}"/>
    <cellStyle name="Normal 10 2 6 3 2 2" xfId="4174" xr:uid="{00000000-0005-0000-0000-00009B070000}"/>
    <cellStyle name="Normal 10 2 6 3 2 2 2" xfId="11403" xr:uid="{00000000-0005-0000-0000-00009C070000}"/>
    <cellStyle name="Normal 10 2 6 3 2 3" xfId="10230" xr:uid="{00000000-0005-0000-0000-00009D070000}"/>
    <cellStyle name="Normal 10 2 6 3 3" xfId="4173" xr:uid="{00000000-0005-0000-0000-00009E070000}"/>
    <cellStyle name="Normal 10 2 6 3 3 2" xfId="11402" xr:uid="{00000000-0005-0000-0000-00009F070000}"/>
    <cellStyle name="Normal 10 2 6 3 4" xfId="8492" xr:uid="{00000000-0005-0000-0000-0000A0070000}"/>
    <cellStyle name="Normal 10 2 6 4" xfId="2134" xr:uid="{00000000-0005-0000-0000-0000A1070000}"/>
    <cellStyle name="Normal 10 2 6 4 2" xfId="4175" xr:uid="{00000000-0005-0000-0000-0000A2070000}"/>
    <cellStyle name="Normal 10 2 6 4 2 2" xfId="11404" xr:uid="{00000000-0005-0000-0000-0000A3070000}"/>
    <cellStyle name="Normal 10 2 6 4 3" xfId="9363" xr:uid="{00000000-0005-0000-0000-0000A4070000}"/>
    <cellStyle name="Normal 10 2 6 5" xfId="4168" xr:uid="{00000000-0005-0000-0000-0000A5070000}"/>
    <cellStyle name="Normal 10 2 6 5 2" xfId="11397" xr:uid="{00000000-0005-0000-0000-0000A6070000}"/>
    <cellStyle name="Normal 10 2 6 6" xfId="7625" xr:uid="{00000000-0005-0000-0000-0000A7070000}"/>
    <cellStyle name="Normal 10 2 7" xfId="383" xr:uid="{00000000-0005-0000-0000-0000A8070000}"/>
    <cellStyle name="Normal 10 2 7 2" xfId="829" xr:uid="{00000000-0005-0000-0000-0000A9070000}"/>
    <cellStyle name="Normal 10 2 7 2 2" xfId="1696" xr:uid="{00000000-0005-0000-0000-0000AA070000}"/>
    <cellStyle name="Normal 10 2 7 2 2 2" xfId="3435" xr:uid="{00000000-0005-0000-0000-0000AB070000}"/>
    <cellStyle name="Normal 10 2 7 2 2 2 2" xfId="4179" xr:uid="{00000000-0005-0000-0000-0000AC070000}"/>
    <cellStyle name="Normal 10 2 7 2 2 2 2 2" xfId="11408" xr:uid="{00000000-0005-0000-0000-0000AD070000}"/>
    <cellStyle name="Normal 10 2 7 2 2 2 3" xfId="10664" xr:uid="{00000000-0005-0000-0000-0000AE070000}"/>
    <cellStyle name="Normal 10 2 7 2 2 3" xfId="4178" xr:uid="{00000000-0005-0000-0000-0000AF070000}"/>
    <cellStyle name="Normal 10 2 7 2 2 3 2" xfId="11407" xr:uid="{00000000-0005-0000-0000-0000B0070000}"/>
    <cellStyle name="Normal 10 2 7 2 2 4" xfId="8926" xr:uid="{00000000-0005-0000-0000-0000B1070000}"/>
    <cellStyle name="Normal 10 2 7 2 3" xfId="2568" xr:uid="{00000000-0005-0000-0000-0000B2070000}"/>
    <cellStyle name="Normal 10 2 7 2 3 2" xfId="4180" xr:uid="{00000000-0005-0000-0000-0000B3070000}"/>
    <cellStyle name="Normal 10 2 7 2 3 2 2" xfId="11409" xr:uid="{00000000-0005-0000-0000-0000B4070000}"/>
    <cellStyle name="Normal 10 2 7 2 3 3" xfId="9797" xr:uid="{00000000-0005-0000-0000-0000B5070000}"/>
    <cellStyle name="Normal 10 2 7 2 4" xfId="4177" xr:uid="{00000000-0005-0000-0000-0000B6070000}"/>
    <cellStyle name="Normal 10 2 7 2 4 2" xfId="11406" xr:uid="{00000000-0005-0000-0000-0000B7070000}"/>
    <cellStyle name="Normal 10 2 7 2 5" xfId="8059" xr:uid="{00000000-0005-0000-0000-0000B8070000}"/>
    <cellStyle name="Normal 10 2 7 3" xfId="1265" xr:uid="{00000000-0005-0000-0000-0000B9070000}"/>
    <cellStyle name="Normal 10 2 7 3 2" xfId="3004" xr:uid="{00000000-0005-0000-0000-0000BA070000}"/>
    <cellStyle name="Normal 10 2 7 3 2 2" xfId="4182" xr:uid="{00000000-0005-0000-0000-0000BB070000}"/>
    <cellStyle name="Normal 10 2 7 3 2 2 2" xfId="11411" xr:uid="{00000000-0005-0000-0000-0000BC070000}"/>
    <cellStyle name="Normal 10 2 7 3 2 3" xfId="10233" xr:uid="{00000000-0005-0000-0000-0000BD070000}"/>
    <cellStyle name="Normal 10 2 7 3 3" xfId="4181" xr:uid="{00000000-0005-0000-0000-0000BE070000}"/>
    <cellStyle name="Normal 10 2 7 3 3 2" xfId="11410" xr:uid="{00000000-0005-0000-0000-0000BF070000}"/>
    <cellStyle name="Normal 10 2 7 3 4" xfId="8495" xr:uid="{00000000-0005-0000-0000-0000C0070000}"/>
    <cellStyle name="Normal 10 2 7 4" xfId="2137" xr:uid="{00000000-0005-0000-0000-0000C1070000}"/>
    <cellStyle name="Normal 10 2 7 4 2" xfId="4183" xr:uid="{00000000-0005-0000-0000-0000C2070000}"/>
    <cellStyle name="Normal 10 2 7 4 2 2" xfId="11412" xr:uid="{00000000-0005-0000-0000-0000C3070000}"/>
    <cellStyle name="Normal 10 2 7 4 3" xfId="9366" xr:uid="{00000000-0005-0000-0000-0000C4070000}"/>
    <cellStyle name="Normal 10 2 7 5" xfId="4176" xr:uid="{00000000-0005-0000-0000-0000C5070000}"/>
    <cellStyle name="Normal 10 2 7 5 2" xfId="11405" xr:uid="{00000000-0005-0000-0000-0000C6070000}"/>
    <cellStyle name="Normal 10 2 7 6" xfId="7628" xr:uid="{00000000-0005-0000-0000-0000C7070000}"/>
    <cellStyle name="Normal 10 2 8" xfId="436" xr:uid="{00000000-0005-0000-0000-0000C8070000}"/>
    <cellStyle name="Normal 10 2 8 2" xfId="882" xr:uid="{00000000-0005-0000-0000-0000C9070000}"/>
    <cellStyle name="Normal 10 2 8 2 2" xfId="1749" xr:uid="{00000000-0005-0000-0000-0000CA070000}"/>
    <cellStyle name="Normal 10 2 8 2 2 2" xfId="3488" xr:uid="{00000000-0005-0000-0000-0000CB070000}"/>
    <cellStyle name="Normal 10 2 8 2 2 2 2" xfId="4187" xr:uid="{00000000-0005-0000-0000-0000CC070000}"/>
    <cellStyle name="Normal 10 2 8 2 2 2 2 2" xfId="11416" xr:uid="{00000000-0005-0000-0000-0000CD070000}"/>
    <cellStyle name="Normal 10 2 8 2 2 2 3" xfId="10717" xr:uid="{00000000-0005-0000-0000-0000CE070000}"/>
    <cellStyle name="Normal 10 2 8 2 2 3" xfId="4186" xr:uid="{00000000-0005-0000-0000-0000CF070000}"/>
    <cellStyle name="Normal 10 2 8 2 2 3 2" xfId="11415" xr:uid="{00000000-0005-0000-0000-0000D0070000}"/>
    <cellStyle name="Normal 10 2 8 2 2 4" xfId="8979" xr:uid="{00000000-0005-0000-0000-0000D1070000}"/>
    <cellStyle name="Normal 10 2 8 2 3" xfId="2621" xr:uid="{00000000-0005-0000-0000-0000D2070000}"/>
    <cellStyle name="Normal 10 2 8 2 3 2" xfId="4188" xr:uid="{00000000-0005-0000-0000-0000D3070000}"/>
    <cellStyle name="Normal 10 2 8 2 3 2 2" xfId="11417" xr:uid="{00000000-0005-0000-0000-0000D4070000}"/>
    <cellStyle name="Normal 10 2 8 2 3 3" xfId="9850" xr:uid="{00000000-0005-0000-0000-0000D5070000}"/>
    <cellStyle name="Normal 10 2 8 2 4" xfId="4185" xr:uid="{00000000-0005-0000-0000-0000D6070000}"/>
    <cellStyle name="Normal 10 2 8 2 4 2" xfId="11414" xr:uid="{00000000-0005-0000-0000-0000D7070000}"/>
    <cellStyle name="Normal 10 2 8 2 5" xfId="8112" xr:uid="{00000000-0005-0000-0000-0000D8070000}"/>
    <cellStyle name="Normal 10 2 8 3" xfId="1318" xr:uid="{00000000-0005-0000-0000-0000D9070000}"/>
    <cellStyle name="Normal 10 2 8 3 2" xfId="3057" xr:uid="{00000000-0005-0000-0000-0000DA070000}"/>
    <cellStyle name="Normal 10 2 8 3 2 2" xfId="4190" xr:uid="{00000000-0005-0000-0000-0000DB070000}"/>
    <cellStyle name="Normal 10 2 8 3 2 2 2" xfId="11419" xr:uid="{00000000-0005-0000-0000-0000DC070000}"/>
    <cellStyle name="Normal 10 2 8 3 2 3" xfId="10286" xr:uid="{00000000-0005-0000-0000-0000DD070000}"/>
    <cellStyle name="Normal 10 2 8 3 3" xfId="4189" xr:uid="{00000000-0005-0000-0000-0000DE070000}"/>
    <cellStyle name="Normal 10 2 8 3 3 2" xfId="11418" xr:uid="{00000000-0005-0000-0000-0000DF070000}"/>
    <cellStyle name="Normal 10 2 8 3 4" xfId="8548" xr:uid="{00000000-0005-0000-0000-0000E0070000}"/>
    <cellStyle name="Normal 10 2 8 4" xfId="2190" xr:uid="{00000000-0005-0000-0000-0000E1070000}"/>
    <cellStyle name="Normal 10 2 8 4 2" xfId="4191" xr:uid="{00000000-0005-0000-0000-0000E2070000}"/>
    <cellStyle name="Normal 10 2 8 4 2 2" xfId="11420" xr:uid="{00000000-0005-0000-0000-0000E3070000}"/>
    <cellStyle name="Normal 10 2 8 4 3" xfId="9419" xr:uid="{00000000-0005-0000-0000-0000E4070000}"/>
    <cellStyle name="Normal 10 2 8 5" xfId="4184" xr:uid="{00000000-0005-0000-0000-0000E5070000}"/>
    <cellStyle name="Normal 10 2 8 5 2" xfId="11413" xr:uid="{00000000-0005-0000-0000-0000E6070000}"/>
    <cellStyle name="Normal 10 2 8 6" xfId="7681" xr:uid="{00000000-0005-0000-0000-0000E7070000}"/>
    <cellStyle name="Normal 10 2 9" xfId="594" xr:uid="{00000000-0005-0000-0000-0000E8070000}"/>
    <cellStyle name="Normal 10 2 9 2" xfId="1040" xr:uid="{00000000-0005-0000-0000-0000E9070000}"/>
    <cellStyle name="Normal 10 2 9 2 2" xfId="1907" xr:uid="{00000000-0005-0000-0000-0000EA070000}"/>
    <cellStyle name="Normal 10 2 9 2 2 2" xfId="3646" xr:uid="{00000000-0005-0000-0000-0000EB070000}"/>
    <cellStyle name="Normal 10 2 9 2 2 2 2" xfId="4195" xr:uid="{00000000-0005-0000-0000-0000EC070000}"/>
    <cellStyle name="Normal 10 2 9 2 2 2 2 2" xfId="11424" xr:uid="{00000000-0005-0000-0000-0000ED070000}"/>
    <cellStyle name="Normal 10 2 9 2 2 2 3" xfId="10875" xr:uid="{00000000-0005-0000-0000-0000EE070000}"/>
    <cellStyle name="Normal 10 2 9 2 2 3" xfId="4194" xr:uid="{00000000-0005-0000-0000-0000EF070000}"/>
    <cellStyle name="Normal 10 2 9 2 2 3 2" xfId="11423" xr:uid="{00000000-0005-0000-0000-0000F0070000}"/>
    <cellStyle name="Normal 10 2 9 2 2 4" xfId="9137" xr:uid="{00000000-0005-0000-0000-0000F1070000}"/>
    <cellStyle name="Normal 10 2 9 2 3" xfId="2779" xr:uid="{00000000-0005-0000-0000-0000F2070000}"/>
    <cellStyle name="Normal 10 2 9 2 3 2" xfId="4196" xr:uid="{00000000-0005-0000-0000-0000F3070000}"/>
    <cellStyle name="Normal 10 2 9 2 3 2 2" xfId="11425" xr:uid="{00000000-0005-0000-0000-0000F4070000}"/>
    <cellStyle name="Normal 10 2 9 2 3 3" xfId="10008" xr:uid="{00000000-0005-0000-0000-0000F5070000}"/>
    <cellStyle name="Normal 10 2 9 2 4" xfId="4193" xr:uid="{00000000-0005-0000-0000-0000F6070000}"/>
    <cellStyle name="Normal 10 2 9 2 4 2" xfId="11422" xr:uid="{00000000-0005-0000-0000-0000F7070000}"/>
    <cellStyle name="Normal 10 2 9 2 5" xfId="8270" xr:uid="{00000000-0005-0000-0000-0000F8070000}"/>
    <cellStyle name="Normal 10 2 9 3" xfId="1476" xr:uid="{00000000-0005-0000-0000-0000F9070000}"/>
    <cellStyle name="Normal 10 2 9 3 2" xfId="3215" xr:uid="{00000000-0005-0000-0000-0000FA070000}"/>
    <cellStyle name="Normal 10 2 9 3 2 2" xfId="4198" xr:uid="{00000000-0005-0000-0000-0000FB070000}"/>
    <cellStyle name="Normal 10 2 9 3 2 2 2" xfId="11427" xr:uid="{00000000-0005-0000-0000-0000FC070000}"/>
    <cellStyle name="Normal 10 2 9 3 2 3" xfId="10444" xr:uid="{00000000-0005-0000-0000-0000FD070000}"/>
    <cellStyle name="Normal 10 2 9 3 3" xfId="4197" xr:uid="{00000000-0005-0000-0000-0000FE070000}"/>
    <cellStyle name="Normal 10 2 9 3 3 2" xfId="11426" xr:uid="{00000000-0005-0000-0000-0000FF070000}"/>
    <cellStyle name="Normal 10 2 9 3 4" xfId="8706" xr:uid="{00000000-0005-0000-0000-000000080000}"/>
    <cellStyle name="Normal 10 2 9 4" xfId="2348" xr:uid="{00000000-0005-0000-0000-000001080000}"/>
    <cellStyle name="Normal 10 2 9 4 2" xfId="4199" xr:uid="{00000000-0005-0000-0000-000002080000}"/>
    <cellStyle name="Normal 10 2 9 4 2 2" xfId="11428" xr:uid="{00000000-0005-0000-0000-000003080000}"/>
    <cellStyle name="Normal 10 2 9 4 3" xfId="9577" xr:uid="{00000000-0005-0000-0000-000004080000}"/>
    <cellStyle name="Normal 10 2 9 5" xfId="4192" xr:uid="{00000000-0005-0000-0000-000005080000}"/>
    <cellStyle name="Normal 10 2 9 5 2" xfId="11421" xr:uid="{00000000-0005-0000-0000-000006080000}"/>
    <cellStyle name="Normal 10 2 9 6" xfId="7839" xr:uid="{00000000-0005-0000-0000-000007080000}"/>
    <cellStyle name="Normal 10 3" xfId="198" xr:uid="{00000000-0005-0000-0000-000008080000}"/>
    <cellStyle name="Normal 10 3 10" xfId="7477" xr:uid="{00000000-0005-0000-0000-000009080000}"/>
    <cellStyle name="Normal 10 3 2" xfId="326" xr:uid="{00000000-0005-0000-0000-00000A080000}"/>
    <cellStyle name="Normal 10 3 2 2" xfId="552" xr:uid="{00000000-0005-0000-0000-00000B080000}"/>
    <cellStyle name="Normal 10 3 2 2 2" xfId="998" xr:uid="{00000000-0005-0000-0000-00000C080000}"/>
    <cellStyle name="Normal 10 3 2 2 2 2" xfId="1865" xr:uid="{00000000-0005-0000-0000-00000D080000}"/>
    <cellStyle name="Normal 10 3 2 2 2 2 2" xfId="3604" xr:uid="{00000000-0005-0000-0000-00000E080000}"/>
    <cellStyle name="Normal 10 3 2 2 2 2 2 2" xfId="4205" xr:uid="{00000000-0005-0000-0000-00000F080000}"/>
    <cellStyle name="Normal 10 3 2 2 2 2 2 2 2" xfId="11434" xr:uid="{00000000-0005-0000-0000-000010080000}"/>
    <cellStyle name="Normal 10 3 2 2 2 2 2 3" xfId="10833" xr:uid="{00000000-0005-0000-0000-000011080000}"/>
    <cellStyle name="Normal 10 3 2 2 2 2 3" xfId="4204" xr:uid="{00000000-0005-0000-0000-000012080000}"/>
    <cellStyle name="Normal 10 3 2 2 2 2 3 2" xfId="11433" xr:uid="{00000000-0005-0000-0000-000013080000}"/>
    <cellStyle name="Normal 10 3 2 2 2 2 4" xfId="9095" xr:uid="{00000000-0005-0000-0000-000014080000}"/>
    <cellStyle name="Normal 10 3 2 2 2 3" xfId="2737" xr:uid="{00000000-0005-0000-0000-000015080000}"/>
    <cellStyle name="Normal 10 3 2 2 2 3 2" xfId="4206" xr:uid="{00000000-0005-0000-0000-000016080000}"/>
    <cellStyle name="Normal 10 3 2 2 2 3 2 2" xfId="11435" xr:uid="{00000000-0005-0000-0000-000017080000}"/>
    <cellStyle name="Normal 10 3 2 2 2 3 3" xfId="9966" xr:uid="{00000000-0005-0000-0000-000018080000}"/>
    <cellStyle name="Normal 10 3 2 2 2 4" xfId="4203" xr:uid="{00000000-0005-0000-0000-000019080000}"/>
    <cellStyle name="Normal 10 3 2 2 2 4 2" xfId="11432" xr:uid="{00000000-0005-0000-0000-00001A080000}"/>
    <cellStyle name="Normal 10 3 2 2 2 5" xfId="8228" xr:uid="{00000000-0005-0000-0000-00001B080000}"/>
    <cellStyle name="Normal 10 3 2 2 3" xfId="1434" xr:uid="{00000000-0005-0000-0000-00001C080000}"/>
    <cellStyle name="Normal 10 3 2 2 3 2" xfId="3173" xr:uid="{00000000-0005-0000-0000-00001D080000}"/>
    <cellStyle name="Normal 10 3 2 2 3 2 2" xfId="4208" xr:uid="{00000000-0005-0000-0000-00001E080000}"/>
    <cellStyle name="Normal 10 3 2 2 3 2 2 2" xfId="11437" xr:uid="{00000000-0005-0000-0000-00001F080000}"/>
    <cellStyle name="Normal 10 3 2 2 3 2 3" xfId="10402" xr:uid="{00000000-0005-0000-0000-000020080000}"/>
    <cellStyle name="Normal 10 3 2 2 3 3" xfId="4207" xr:uid="{00000000-0005-0000-0000-000021080000}"/>
    <cellStyle name="Normal 10 3 2 2 3 3 2" xfId="11436" xr:uid="{00000000-0005-0000-0000-000022080000}"/>
    <cellStyle name="Normal 10 3 2 2 3 4" xfId="8664" xr:uid="{00000000-0005-0000-0000-000023080000}"/>
    <cellStyle name="Normal 10 3 2 2 4" xfId="2306" xr:uid="{00000000-0005-0000-0000-000024080000}"/>
    <cellStyle name="Normal 10 3 2 2 4 2" xfId="4209" xr:uid="{00000000-0005-0000-0000-000025080000}"/>
    <cellStyle name="Normal 10 3 2 2 4 2 2" xfId="11438" xr:uid="{00000000-0005-0000-0000-000026080000}"/>
    <cellStyle name="Normal 10 3 2 2 4 3" xfId="9535" xr:uid="{00000000-0005-0000-0000-000027080000}"/>
    <cellStyle name="Normal 10 3 2 2 5" xfId="4202" xr:uid="{00000000-0005-0000-0000-000028080000}"/>
    <cellStyle name="Normal 10 3 2 2 5 2" xfId="11431" xr:uid="{00000000-0005-0000-0000-000029080000}"/>
    <cellStyle name="Normal 10 3 2 2 6" xfId="7797" xr:uid="{00000000-0005-0000-0000-00002A080000}"/>
    <cellStyle name="Normal 10 3 2 3" xfId="774" xr:uid="{00000000-0005-0000-0000-00002B080000}"/>
    <cellStyle name="Normal 10 3 2 3 2" xfId="1647" xr:uid="{00000000-0005-0000-0000-00002C080000}"/>
    <cellStyle name="Normal 10 3 2 3 2 2" xfId="3386" xr:uid="{00000000-0005-0000-0000-00002D080000}"/>
    <cellStyle name="Normal 10 3 2 3 2 2 2" xfId="4212" xr:uid="{00000000-0005-0000-0000-00002E080000}"/>
    <cellStyle name="Normal 10 3 2 3 2 2 2 2" xfId="11441" xr:uid="{00000000-0005-0000-0000-00002F080000}"/>
    <cellStyle name="Normal 10 3 2 3 2 2 3" xfId="10615" xr:uid="{00000000-0005-0000-0000-000030080000}"/>
    <cellStyle name="Normal 10 3 2 3 2 3" xfId="4211" xr:uid="{00000000-0005-0000-0000-000031080000}"/>
    <cellStyle name="Normal 10 3 2 3 2 3 2" xfId="11440" xr:uid="{00000000-0005-0000-0000-000032080000}"/>
    <cellStyle name="Normal 10 3 2 3 2 4" xfId="8877" xr:uid="{00000000-0005-0000-0000-000033080000}"/>
    <cellStyle name="Normal 10 3 2 3 3" xfId="2519" xr:uid="{00000000-0005-0000-0000-000034080000}"/>
    <cellStyle name="Normal 10 3 2 3 3 2" xfId="4213" xr:uid="{00000000-0005-0000-0000-000035080000}"/>
    <cellStyle name="Normal 10 3 2 3 3 2 2" xfId="11442" xr:uid="{00000000-0005-0000-0000-000036080000}"/>
    <cellStyle name="Normal 10 3 2 3 3 3" xfId="9748" xr:uid="{00000000-0005-0000-0000-000037080000}"/>
    <cellStyle name="Normal 10 3 2 3 4" xfId="4210" xr:uid="{00000000-0005-0000-0000-000038080000}"/>
    <cellStyle name="Normal 10 3 2 3 4 2" xfId="11439" xr:uid="{00000000-0005-0000-0000-000039080000}"/>
    <cellStyle name="Normal 10 3 2 3 5" xfId="8010" xr:uid="{00000000-0005-0000-0000-00003A080000}"/>
    <cellStyle name="Normal 10 3 2 4" xfId="1216" xr:uid="{00000000-0005-0000-0000-00003B080000}"/>
    <cellStyle name="Normal 10 3 2 4 2" xfId="2955" xr:uid="{00000000-0005-0000-0000-00003C080000}"/>
    <cellStyle name="Normal 10 3 2 4 2 2" xfId="4215" xr:uid="{00000000-0005-0000-0000-00003D080000}"/>
    <cellStyle name="Normal 10 3 2 4 2 2 2" xfId="11444" xr:uid="{00000000-0005-0000-0000-00003E080000}"/>
    <cellStyle name="Normal 10 3 2 4 2 3" xfId="10184" xr:uid="{00000000-0005-0000-0000-00003F080000}"/>
    <cellStyle name="Normal 10 3 2 4 3" xfId="4214" xr:uid="{00000000-0005-0000-0000-000040080000}"/>
    <cellStyle name="Normal 10 3 2 4 3 2" xfId="11443" xr:uid="{00000000-0005-0000-0000-000041080000}"/>
    <cellStyle name="Normal 10 3 2 4 4" xfId="8446" xr:uid="{00000000-0005-0000-0000-000042080000}"/>
    <cellStyle name="Normal 10 3 2 5" xfId="2088" xr:uid="{00000000-0005-0000-0000-000043080000}"/>
    <cellStyle name="Normal 10 3 2 5 2" xfId="4216" xr:uid="{00000000-0005-0000-0000-000044080000}"/>
    <cellStyle name="Normal 10 3 2 5 2 2" xfId="11445" xr:uid="{00000000-0005-0000-0000-000045080000}"/>
    <cellStyle name="Normal 10 3 2 5 3" xfId="9317" xr:uid="{00000000-0005-0000-0000-000046080000}"/>
    <cellStyle name="Normal 10 3 2 6" xfId="4201" xr:uid="{00000000-0005-0000-0000-000047080000}"/>
    <cellStyle name="Normal 10 3 2 6 2" xfId="11430" xr:uid="{00000000-0005-0000-0000-000048080000}"/>
    <cellStyle name="Normal 10 3 2 7" xfId="7579" xr:uid="{00000000-0005-0000-0000-000049080000}"/>
    <cellStyle name="Normal 10 3 3" xfId="367" xr:uid="{00000000-0005-0000-0000-00004A080000}"/>
    <cellStyle name="Normal 10 3 3 2" xfId="4217" xr:uid="{00000000-0005-0000-0000-00004B080000}"/>
    <cellStyle name="Normal 10 3 3 2 2" xfId="11446" xr:uid="{00000000-0005-0000-0000-00004C080000}"/>
    <cellStyle name="Normal 10 3 4" xfId="450" xr:uid="{00000000-0005-0000-0000-00004D080000}"/>
    <cellStyle name="Normal 10 3 4 2" xfId="896" xr:uid="{00000000-0005-0000-0000-00004E080000}"/>
    <cellStyle name="Normal 10 3 4 2 2" xfId="1763" xr:uid="{00000000-0005-0000-0000-00004F080000}"/>
    <cellStyle name="Normal 10 3 4 2 2 2" xfId="3502" xr:uid="{00000000-0005-0000-0000-000050080000}"/>
    <cellStyle name="Normal 10 3 4 2 2 2 2" xfId="4221" xr:uid="{00000000-0005-0000-0000-000051080000}"/>
    <cellStyle name="Normal 10 3 4 2 2 2 2 2" xfId="11450" xr:uid="{00000000-0005-0000-0000-000052080000}"/>
    <cellStyle name="Normal 10 3 4 2 2 2 3" xfId="10731" xr:uid="{00000000-0005-0000-0000-000053080000}"/>
    <cellStyle name="Normal 10 3 4 2 2 3" xfId="4220" xr:uid="{00000000-0005-0000-0000-000054080000}"/>
    <cellStyle name="Normal 10 3 4 2 2 3 2" xfId="11449" xr:uid="{00000000-0005-0000-0000-000055080000}"/>
    <cellStyle name="Normal 10 3 4 2 2 4" xfId="8993" xr:uid="{00000000-0005-0000-0000-000056080000}"/>
    <cellStyle name="Normal 10 3 4 2 3" xfId="2635" xr:uid="{00000000-0005-0000-0000-000057080000}"/>
    <cellStyle name="Normal 10 3 4 2 3 2" xfId="4222" xr:uid="{00000000-0005-0000-0000-000058080000}"/>
    <cellStyle name="Normal 10 3 4 2 3 2 2" xfId="11451" xr:uid="{00000000-0005-0000-0000-000059080000}"/>
    <cellStyle name="Normal 10 3 4 2 3 3" xfId="9864" xr:uid="{00000000-0005-0000-0000-00005A080000}"/>
    <cellStyle name="Normal 10 3 4 2 4" xfId="4219" xr:uid="{00000000-0005-0000-0000-00005B080000}"/>
    <cellStyle name="Normal 10 3 4 2 4 2" xfId="11448" xr:uid="{00000000-0005-0000-0000-00005C080000}"/>
    <cellStyle name="Normal 10 3 4 2 5" xfId="8126" xr:uid="{00000000-0005-0000-0000-00005D080000}"/>
    <cellStyle name="Normal 10 3 4 3" xfId="1332" xr:uid="{00000000-0005-0000-0000-00005E080000}"/>
    <cellStyle name="Normal 10 3 4 3 2" xfId="3071" xr:uid="{00000000-0005-0000-0000-00005F080000}"/>
    <cellStyle name="Normal 10 3 4 3 2 2" xfId="4224" xr:uid="{00000000-0005-0000-0000-000060080000}"/>
    <cellStyle name="Normal 10 3 4 3 2 2 2" xfId="11453" xr:uid="{00000000-0005-0000-0000-000061080000}"/>
    <cellStyle name="Normal 10 3 4 3 2 3" xfId="10300" xr:uid="{00000000-0005-0000-0000-000062080000}"/>
    <cellStyle name="Normal 10 3 4 3 3" xfId="4223" xr:uid="{00000000-0005-0000-0000-000063080000}"/>
    <cellStyle name="Normal 10 3 4 3 3 2" xfId="11452" xr:uid="{00000000-0005-0000-0000-000064080000}"/>
    <cellStyle name="Normal 10 3 4 3 4" xfId="8562" xr:uid="{00000000-0005-0000-0000-000065080000}"/>
    <cellStyle name="Normal 10 3 4 4" xfId="2204" xr:uid="{00000000-0005-0000-0000-000066080000}"/>
    <cellStyle name="Normal 10 3 4 4 2" xfId="4225" xr:uid="{00000000-0005-0000-0000-000067080000}"/>
    <cellStyle name="Normal 10 3 4 4 2 2" xfId="11454" xr:uid="{00000000-0005-0000-0000-000068080000}"/>
    <cellStyle name="Normal 10 3 4 4 3" xfId="9433" xr:uid="{00000000-0005-0000-0000-000069080000}"/>
    <cellStyle name="Normal 10 3 4 5" xfId="4218" xr:uid="{00000000-0005-0000-0000-00006A080000}"/>
    <cellStyle name="Normal 10 3 4 5 2" xfId="11447" xr:uid="{00000000-0005-0000-0000-00006B080000}"/>
    <cellStyle name="Normal 10 3 4 6" xfId="7695" xr:uid="{00000000-0005-0000-0000-00006C080000}"/>
    <cellStyle name="Normal 10 3 5" xfId="672" xr:uid="{00000000-0005-0000-0000-00006D080000}"/>
    <cellStyle name="Normal 10 3 5 2" xfId="1545" xr:uid="{00000000-0005-0000-0000-00006E080000}"/>
    <cellStyle name="Normal 10 3 5 2 2" xfId="3284" xr:uid="{00000000-0005-0000-0000-00006F080000}"/>
    <cellStyle name="Normal 10 3 5 2 2 2" xfId="4228" xr:uid="{00000000-0005-0000-0000-000070080000}"/>
    <cellStyle name="Normal 10 3 5 2 2 2 2" xfId="11457" xr:uid="{00000000-0005-0000-0000-000071080000}"/>
    <cellStyle name="Normal 10 3 5 2 2 3" xfId="10513" xr:uid="{00000000-0005-0000-0000-000072080000}"/>
    <cellStyle name="Normal 10 3 5 2 3" xfId="4227" xr:uid="{00000000-0005-0000-0000-000073080000}"/>
    <cellStyle name="Normal 10 3 5 2 3 2" xfId="11456" xr:uid="{00000000-0005-0000-0000-000074080000}"/>
    <cellStyle name="Normal 10 3 5 2 4" xfId="8775" xr:uid="{00000000-0005-0000-0000-000075080000}"/>
    <cellStyle name="Normal 10 3 5 3" xfId="2417" xr:uid="{00000000-0005-0000-0000-000076080000}"/>
    <cellStyle name="Normal 10 3 5 3 2" xfId="4229" xr:uid="{00000000-0005-0000-0000-000077080000}"/>
    <cellStyle name="Normal 10 3 5 3 2 2" xfId="11458" xr:uid="{00000000-0005-0000-0000-000078080000}"/>
    <cellStyle name="Normal 10 3 5 3 3" xfId="9646" xr:uid="{00000000-0005-0000-0000-000079080000}"/>
    <cellStyle name="Normal 10 3 5 4" xfId="4226" xr:uid="{00000000-0005-0000-0000-00007A080000}"/>
    <cellStyle name="Normal 10 3 5 4 2" xfId="11455" xr:uid="{00000000-0005-0000-0000-00007B080000}"/>
    <cellStyle name="Normal 10 3 5 5" xfId="7908" xr:uid="{00000000-0005-0000-0000-00007C080000}"/>
    <cellStyle name="Normal 10 3 6" xfId="1114" xr:uid="{00000000-0005-0000-0000-00007D080000}"/>
    <cellStyle name="Normal 10 3 6 2" xfId="2853" xr:uid="{00000000-0005-0000-0000-00007E080000}"/>
    <cellStyle name="Normal 10 3 6 2 2" xfId="4231" xr:uid="{00000000-0005-0000-0000-00007F080000}"/>
    <cellStyle name="Normal 10 3 6 2 2 2" xfId="11460" xr:uid="{00000000-0005-0000-0000-000080080000}"/>
    <cellStyle name="Normal 10 3 6 2 3" xfId="10082" xr:uid="{00000000-0005-0000-0000-000081080000}"/>
    <cellStyle name="Normal 10 3 6 3" xfId="4230" xr:uid="{00000000-0005-0000-0000-000082080000}"/>
    <cellStyle name="Normal 10 3 6 3 2" xfId="11459" xr:uid="{00000000-0005-0000-0000-000083080000}"/>
    <cellStyle name="Normal 10 3 6 4" xfId="8344" xr:uid="{00000000-0005-0000-0000-000084080000}"/>
    <cellStyle name="Normal 10 3 7" xfId="1986" xr:uid="{00000000-0005-0000-0000-000085080000}"/>
    <cellStyle name="Normal 10 3 7 2" xfId="4232" xr:uid="{00000000-0005-0000-0000-000086080000}"/>
    <cellStyle name="Normal 10 3 7 2 2" xfId="11461" xr:uid="{00000000-0005-0000-0000-000087080000}"/>
    <cellStyle name="Normal 10 3 7 3" xfId="9215" xr:uid="{00000000-0005-0000-0000-000088080000}"/>
    <cellStyle name="Normal 10 3 8" xfId="4233" xr:uid="{00000000-0005-0000-0000-000089080000}"/>
    <cellStyle name="Normal 10 3 8 2" xfId="11462" xr:uid="{00000000-0005-0000-0000-00008A080000}"/>
    <cellStyle name="Normal 10 3 9" xfId="4200" xr:uid="{00000000-0005-0000-0000-00008B080000}"/>
    <cellStyle name="Normal 10 3 9 2" xfId="11429" xr:uid="{00000000-0005-0000-0000-00008C080000}"/>
    <cellStyle name="Normal 10 4" xfId="279" xr:uid="{00000000-0005-0000-0000-00008D080000}"/>
    <cellStyle name="Normal 10 4 2" xfId="505" xr:uid="{00000000-0005-0000-0000-00008E080000}"/>
    <cellStyle name="Normal 10 4 2 2" xfId="951" xr:uid="{00000000-0005-0000-0000-00008F080000}"/>
    <cellStyle name="Normal 10 4 2 2 2" xfId="1818" xr:uid="{00000000-0005-0000-0000-000090080000}"/>
    <cellStyle name="Normal 10 4 2 2 2 2" xfId="3557" xr:uid="{00000000-0005-0000-0000-000091080000}"/>
    <cellStyle name="Normal 10 4 2 2 2 2 2" xfId="4238" xr:uid="{00000000-0005-0000-0000-000092080000}"/>
    <cellStyle name="Normal 10 4 2 2 2 2 2 2" xfId="11467" xr:uid="{00000000-0005-0000-0000-000093080000}"/>
    <cellStyle name="Normal 10 4 2 2 2 2 3" xfId="10786" xr:uid="{00000000-0005-0000-0000-000094080000}"/>
    <cellStyle name="Normal 10 4 2 2 2 3" xfId="4237" xr:uid="{00000000-0005-0000-0000-000095080000}"/>
    <cellStyle name="Normal 10 4 2 2 2 3 2" xfId="11466" xr:uid="{00000000-0005-0000-0000-000096080000}"/>
    <cellStyle name="Normal 10 4 2 2 2 4" xfId="9048" xr:uid="{00000000-0005-0000-0000-000097080000}"/>
    <cellStyle name="Normal 10 4 2 2 3" xfId="2690" xr:uid="{00000000-0005-0000-0000-000098080000}"/>
    <cellStyle name="Normal 10 4 2 2 3 2" xfId="4239" xr:uid="{00000000-0005-0000-0000-000099080000}"/>
    <cellStyle name="Normal 10 4 2 2 3 2 2" xfId="11468" xr:uid="{00000000-0005-0000-0000-00009A080000}"/>
    <cellStyle name="Normal 10 4 2 2 3 3" xfId="9919" xr:uid="{00000000-0005-0000-0000-00009B080000}"/>
    <cellStyle name="Normal 10 4 2 2 4" xfId="4236" xr:uid="{00000000-0005-0000-0000-00009C080000}"/>
    <cellStyle name="Normal 10 4 2 2 4 2" xfId="11465" xr:uid="{00000000-0005-0000-0000-00009D080000}"/>
    <cellStyle name="Normal 10 4 2 2 5" xfId="8181" xr:uid="{00000000-0005-0000-0000-00009E080000}"/>
    <cellStyle name="Normal 10 4 2 3" xfId="1387" xr:uid="{00000000-0005-0000-0000-00009F080000}"/>
    <cellStyle name="Normal 10 4 2 3 2" xfId="3126" xr:uid="{00000000-0005-0000-0000-0000A0080000}"/>
    <cellStyle name="Normal 10 4 2 3 2 2" xfId="4241" xr:uid="{00000000-0005-0000-0000-0000A1080000}"/>
    <cellStyle name="Normal 10 4 2 3 2 2 2" xfId="11470" xr:uid="{00000000-0005-0000-0000-0000A2080000}"/>
    <cellStyle name="Normal 10 4 2 3 2 3" xfId="10355" xr:uid="{00000000-0005-0000-0000-0000A3080000}"/>
    <cellStyle name="Normal 10 4 2 3 3" xfId="4240" xr:uid="{00000000-0005-0000-0000-0000A4080000}"/>
    <cellStyle name="Normal 10 4 2 3 3 2" xfId="11469" xr:uid="{00000000-0005-0000-0000-0000A5080000}"/>
    <cellStyle name="Normal 10 4 2 3 4" xfId="8617" xr:uid="{00000000-0005-0000-0000-0000A6080000}"/>
    <cellStyle name="Normal 10 4 2 4" xfId="2259" xr:uid="{00000000-0005-0000-0000-0000A7080000}"/>
    <cellStyle name="Normal 10 4 2 4 2" xfId="4242" xr:uid="{00000000-0005-0000-0000-0000A8080000}"/>
    <cellStyle name="Normal 10 4 2 4 2 2" xfId="11471" xr:uid="{00000000-0005-0000-0000-0000A9080000}"/>
    <cellStyle name="Normal 10 4 2 4 3" xfId="9488" xr:uid="{00000000-0005-0000-0000-0000AA080000}"/>
    <cellStyle name="Normal 10 4 2 5" xfId="4235" xr:uid="{00000000-0005-0000-0000-0000AB080000}"/>
    <cellStyle name="Normal 10 4 2 5 2" xfId="11464" xr:uid="{00000000-0005-0000-0000-0000AC080000}"/>
    <cellStyle name="Normal 10 4 2 6" xfId="7750" xr:uid="{00000000-0005-0000-0000-0000AD080000}"/>
    <cellStyle name="Normal 10 4 3" xfId="727" xr:uid="{00000000-0005-0000-0000-0000AE080000}"/>
    <cellStyle name="Normal 10 4 3 2" xfId="1600" xr:uid="{00000000-0005-0000-0000-0000AF080000}"/>
    <cellStyle name="Normal 10 4 3 2 2" xfId="3339" xr:uid="{00000000-0005-0000-0000-0000B0080000}"/>
    <cellStyle name="Normal 10 4 3 2 2 2" xfId="4245" xr:uid="{00000000-0005-0000-0000-0000B1080000}"/>
    <cellStyle name="Normal 10 4 3 2 2 2 2" xfId="11474" xr:uid="{00000000-0005-0000-0000-0000B2080000}"/>
    <cellStyle name="Normal 10 4 3 2 2 3" xfId="10568" xr:uid="{00000000-0005-0000-0000-0000B3080000}"/>
    <cellStyle name="Normal 10 4 3 2 3" xfId="4244" xr:uid="{00000000-0005-0000-0000-0000B4080000}"/>
    <cellStyle name="Normal 10 4 3 2 3 2" xfId="11473" xr:uid="{00000000-0005-0000-0000-0000B5080000}"/>
    <cellStyle name="Normal 10 4 3 2 4" xfId="8830" xr:uid="{00000000-0005-0000-0000-0000B6080000}"/>
    <cellStyle name="Normal 10 4 3 3" xfId="2472" xr:uid="{00000000-0005-0000-0000-0000B7080000}"/>
    <cellStyle name="Normal 10 4 3 3 2" xfId="4246" xr:uid="{00000000-0005-0000-0000-0000B8080000}"/>
    <cellStyle name="Normal 10 4 3 3 2 2" xfId="11475" xr:uid="{00000000-0005-0000-0000-0000B9080000}"/>
    <cellStyle name="Normal 10 4 3 3 3" xfId="9701" xr:uid="{00000000-0005-0000-0000-0000BA080000}"/>
    <cellStyle name="Normal 10 4 3 4" xfId="4243" xr:uid="{00000000-0005-0000-0000-0000BB080000}"/>
    <cellStyle name="Normal 10 4 3 4 2" xfId="11472" xr:uid="{00000000-0005-0000-0000-0000BC080000}"/>
    <cellStyle name="Normal 10 4 3 5" xfId="7963" xr:uid="{00000000-0005-0000-0000-0000BD080000}"/>
    <cellStyle name="Normal 10 4 4" xfId="1169" xr:uid="{00000000-0005-0000-0000-0000BE080000}"/>
    <cellStyle name="Normal 10 4 4 2" xfId="2908" xr:uid="{00000000-0005-0000-0000-0000BF080000}"/>
    <cellStyle name="Normal 10 4 4 2 2" xfId="4248" xr:uid="{00000000-0005-0000-0000-0000C0080000}"/>
    <cellStyle name="Normal 10 4 4 2 2 2" xfId="11477" xr:uid="{00000000-0005-0000-0000-0000C1080000}"/>
    <cellStyle name="Normal 10 4 4 2 3" xfId="10137" xr:uid="{00000000-0005-0000-0000-0000C2080000}"/>
    <cellStyle name="Normal 10 4 4 3" xfId="4247" xr:uid="{00000000-0005-0000-0000-0000C3080000}"/>
    <cellStyle name="Normal 10 4 4 3 2" xfId="11476" xr:uid="{00000000-0005-0000-0000-0000C4080000}"/>
    <cellStyle name="Normal 10 4 4 4" xfId="8399" xr:uid="{00000000-0005-0000-0000-0000C5080000}"/>
    <cellStyle name="Normal 10 4 5" xfId="2041" xr:uid="{00000000-0005-0000-0000-0000C6080000}"/>
    <cellStyle name="Normal 10 4 5 2" xfId="4249" xr:uid="{00000000-0005-0000-0000-0000C7080000}"/>
    <cellStyle name="Normal 10 4 5 2 2" xfId="11478" xr:uid="{00000000-0005-0000-0000-0000C8080000}"/>
    <cellStyle name="Normal 10 4 5 3" xfId="9270" xr:uid="{00000000-0005-0000-0000-0000C9080000}"/>
    <cellStyle name="Normal 10 4 6" xfId="4234" xr:uid="{00000000-0005-0000-0000-0000CA080000}"/>
    <cellStyle name="Normal 10 4 6 2" xfId="11463" xr:uid="{00000000-0005-0000-0000-0000CB080000}"/>
    <cellStyle name="Normal 10 4 7" xfId="7532" xr:uid="{00000000-0005-0000-0000-0000CC080000}"/>
    <cellStyle name="Normal 10 5" xfId="403" xr:uid="{00000000-0005-0000-0000-0000CD080000}"/>
    <cellStyle name="Normal 10 5 2" xfId="849" xr:uid="{00000000-0005-0000-0000-0000CE080000}"/>
    <cellStyle name="Normal 10 5 2 2" xfId="1716" xr:uid="{00000000-0005-0000-0000-0000CF080000}"/>
    <cellStyle name="Normal 10 5 2 2 2" xfId="3455" xr:uid="{00000000-0005-0000-0000-0000D0080000}"/>
    <cellStyle name="Normal 10 5 2 2 2 2" xfId="4253" xr:uid="{00000000-0005-0000-0000-0000D1080000}"/>
    <cellStyle name="Normal 10 5 2 2 2 2 2" xfId="11482" xr:uid="{00000000-0005-0000-0000-0000D2080000}"/>
    <cellStyle name="Normal 10 5 2 2 2 3" xfId="10684" xr:uid="{00000000-0005-0000-0000-0000D3080000}"/>
    <cellStyle name="Normal 10 5 2 2 3" xfId="4252" xr:uid="{00000000-0005-0000-0000-0000D4080000}"/>
    <cellStyle name="Normal 10 5 2 2 3 2" xfId="11481" xr:uid="{00000000-0005-0000-0000-0000D5080000}"/>
    <cellStyle name="Normal 10 5 2 2 4" xfId="8946" xr:uid="{00000000-0005-0000-0000-0000D6080000}"/>
    <cellStyle name="Normal 10 5 2 3" xfId="2588" xr:uid="{00000000-0005-0000-0000-0000D7080000}"/>
    <cellStyle name="Normal 10 5 2 3 2" xfId="4254" xr:uid="{00000000-0005-0000-0000-0000D8080000}"/>
    <cellStyle name="Normal 10 5 2 3 2 2" xfId="11483" xr:uid="{00000000-0005-0000-0000-0000D9080000}"/>
    <cellStyle name="Normal 10 5 2 3 3" xfId="9817" xr:uid="{00000000-0005-0000-0000-0000DA080000}"/>
    <cellStyle name="Normal 10 5 2 4" xfId="4251" xr:uid="{00000000-0005-0000-0000-0000DB080000}"/>
    <cellStyle name="Normal 10 5 2 4 2" xfId="11480" xr:uid="{00000000-0005-0000-0000-0000DC080000}"/>
    <cellStyle name="Normal 10 5 2 5" xfId="8079" xr:uid="{00000000-0005-0000-0000-0000DD080000}"/>
    <cellStyle name="Normal 10 5 3" xfId="1285" xr:uid="{00000000-0005-0000-0000-0000DE080000}"/>
    <cellStyle name="Normal 10 5 3 2" xfId="3024" xr:uid="{00000000-0005-0000-0000-0000DF080000}"/>
    <cellStyle name="Normal 10 5 3 2 2" xfId="4256" xr:uid="{00000000-0005-0000-0000-0000E0080000}"/>
    <cellStyle name="Normal 10 5 3 2 2 2" xfId="11485" xr:uid="{00000000-0005-0000-0000-0000E1080000}"/>
    <cellStyle name="Normal 10 5 3 2 3" xfId="10253" xr:uid="{00000000-0005-0000-0000-0000E2080000}"/>
    <cellStyle name="Normal 10 5 3 3" xfId="4255" xr:uid="{00000000-0005-0000-0000-0000E3080000}"/>
    <cellStyle name="Normal 10 5 3 3 2" xfId="11484" xr:uid="{00000000-0005-0000-0000-0000E4080000}"/>
    <cellStyle name="Normal 10 5 3 4" xfId="8515" xr:uid="{00000000-0005-0000-0000-0000E5080000}"/>
    <cellStyle name="Normal 10 5 4" xfId="2157" xr:uid="{00000000-0005-0000-0000-0000E6080000}"/>
    <cellStyle name="Normal 10 5 4 2" xfId="4257" xr:uid="{00000000-0005-0000-0000-0000E7080000}"/>
    <cellStyle name="Normal 10 5 4 2 2" xfId="11486" xr:uid="{00000000-0005-0000-0000-0000E8080000}"/>
    <cellStyle name="Normal 10 5 4 3" xfId="9386" xr:uid="{00000000-0005-0000-0000-0000E9080000}"/>
    <cellStyle name="Normal 10 5 5" xfId="4250" xr:uid="{00000000-0005-0000-0000-0000EA080000}"/>
    <cellStyle name="Normal 10 5 5 2" xfId="11479" xr:uid="{00000000-0005-0000-0000-0000EB080000}"/>
    <cellStyle name="Normal 10 5 6" xfId="7648" xr:uid="{00000000-0005-0000-0000-0000EC080000}"/>
    <cellStyle name="Normal 10 6" xfId="622" xr:uid="{00000000-0005-0000-0000-0000ED080000}"/>
    <cellStyle name="Normal 10 6 2" xfId="1498" xr:uid="{00000000-0005-0000-0000-0000EE080000}"/>
    <cellStyle name="Normal 10 6 2 2" xfId="3237" xr:uid="{00000000-0005-0000-0000-0000EF080000}"/>
    <cellStyle name="Normal 10 6 2 2 2" xfId="4260" xr:uid="{00000000-0005-0000-0000-0000F0080000}"/>
    <cellStyle name="Normal 10 6 2 2 2 2" xfId="11489" xr:uid="{00000000-0005-0000-0000-0000F1080000}"/>
    <cellStyle name="Normal 10 6 2 2 3" xfId="10466" xr:uid="{00000000-0005-0000-0000-0000F2080000}"/>
    <cellStyle name="Normal 10 6 2 3" xfId="4259" xr:uid="{00000000-0005-0000-0000-0000F3080000}"/>
    <cellStyle name="Normal 10 6 2 3 2" xfId="11488" xr:uid="{00000000-0005-0000-0000-0000F4080000}"/>
    <cellStyle name="Normal 10 6 2 4" xfId="8728" xr:uid="{00000000-0005-0000-0000-0000F5080000}"/>
    <cellStyle name="Normal 10 6 3" xfId="2370" xr:uid="{00000000-0005-0000-0000-0000F6080000}"/>
    <cellStyle name="Normal 10 6 3 2" xfId="4261" xr:uid="{00000000-0005-0000-0000-0000F7080000}"/>
    <cellStyle name="Normal 10 6 3 2 2" xfId="11490" xr:uid="{00000000-0005-0000-0000-0000F8080000}"/>
    <cellStyle name="Normal 10 6 3 3" xfId="9599" xr:uid="{00000000-0005-0000-0000-0000F9080000}"/>
    <cellStyle name="Normal 10 6 4" xfId="4258" xr:uid="{00000000-0005-0000-0000-0000FA080000}"/>
    <cellStyle name="Normal 10 6 4 2" xfId="11487" xr:uid="{00000000-0005-0000-0000-0000FB080000}"/>
    <cellStyle name="Normal 10 6 5" xfId="7861" xr:uid="{00000000-0005-0000-0000-0000FC080000}"/>
    <cellStyle name="Normal 10 7" xfId="1067" xr:uid="{00000000-0005-0000-0000-0000FD080000}"/>
    <cellStyle name="Normal 10 7 2" xfId="2806" xr:uid="{00000000-0005-0000-0000-0000FE080000}"/>
    <cellStyle name="Normal 10 7 2 2" xfId="4263" xr:uid="{00000000-0005-0000-0000-0000FF080000}"/>
    <cellStyle name="Normal 10 7 2 2 2" xfId="11492" xr:uid="{00000000-0005-0000-0000-000000090000}"/>
    <cellStyle name="Normal 10 7 2 3" xfId="10035" xr:uid="{00000000-0005-0000-0000-000001090000}"/>
    <cellStyle name="Normal 10 7 3" xfId="4262" xr:uid="{00000000-0005-0000-0000-000002090000}"/>
    <cellStyle name="Normal 10 7 3 2" xfId="11491" xr:uid="{00000000-0005-0000-0000-000003090000}"/>
    <cellStyle name="Normal 10 7 4" xfId="8297" xr:uid="{00000000-0005-0000-0000-000004090000}"/>
    <cellStyle name="Normal 10 8" xfId="1939" xr:uid="{00000000-0005-0000-0000-000005090000}"/>
    <cellStyle name="Normal 10 8 2" xfId="4264" xr:uid="{00000000-0005-0000-0000-000006090000}"/>
    <cellStyle name="Normal 10 8 2 2" xfId="11493" xr:uid="{00000000-0005-0000-0000-000007090000}"/>
    <cellStyle name="Normal 10 8 3" xfId="9168" xr:uid="{00000000-0005-0000-0000-000008090000}"/>
    <cellStyle name="Normal 10 9" xfId="4079" xr:uid="{00000000-0005-0000-0000-000009090000}"/>
    <cellStyle name="Normal 10 9 2" xfId="11308" xr:uid="{00000000-0005-0000-0000-00000A090000}"/>
    <cellStyle name="Normal 11" xfId="37" xr:uid="{00000000-0005-0000-0000-00000B090000}"/>
    <cellStyle name="Normal 11 10" xfId="7422" xr:uid="{00000000-0005-0000-0000-00000C090000}"/>
    <cellStyle name="Normal 11 2" xfId="99" xr:uid="{00000000-0005-0000-0000-00000D090000}"/>
    <cellStyle name="Normal 11 2 2" xfId="199" xr:uid="{00000000-0005-0000-0000-00000E090000}"/>
    <cellStyle name="Normal 11 2 2 2" xfId="327" xr:uid="{00000000-0005-0000-0000-00000F090000}"/>
    <cellStyle name="Normal 11 2 2 2 2" xfId="553" xr:uid="{00000000-0005-0000-0000-000010090000}"/>
    <cellStyle name="Normal 11 2 2 2 2 2" xfId="999" xr:uid="{00000000-0005-0000-0000-000011090000}"/>
    <cellStyle name="Normal 11 2 2 2 2 2 2" xfId="1866" xr:uid="{00000000-0005-0000-0000-000012090000}"/>
    <cellStyle name="Normal 11 2 2 2 2 2 2 2" xfId="3605" xr:uid="{00000000-0005-0000-0000-000013090000}"/>
    <cellStyle name="Normal 11 2 2 2 2 2 2 2 2" xfId="4272" xr:uid="{00000000-0005-0000-0000-000014090000}"/>
    <cellStyle name="Normal 11 2 2 2 2 2 2 2 2 2" xfId="11501" xr:uid="{00000000-0005-0000-0000-000015090000}"/>
    <cellStyle name="Normal 11 2 2 2 2 2 2 2 3" xfId="10834" xr:uid="{00000000-0005-0000-0000-000016090000}"/>
    <cellStyle name="Normal 11 2 2 2 2 2 2 3" xfId="4271" xr:uid="{00000000-0005-0000-0000-000017090000}"/>
    <cellStyle name="Normal 11 2 2 2 2 2 2 3 2" xfId="11500" xr:uid="{00000000-0005-0000-0000-000018090000}"/>
    <cellStyle name="Normal 11 2 2 2 2 2 2 4" xfId="9096" xr:uid="{00000000-0005-0000-0000-000019090000}"/>
    <cellStyle name="Normal 11 2 2 2 2 2 3" xfId="2738" xr:uid="{00000000-0005-0000-0000-00001A090000}"/>
    <cellStyle name="Normal 11 2 2 2 2 2 3 2" xfId="4273" xr:uid="{00000000-0005-0000-0000-00001B090000}"/>
    <cellStyle name="Normal 11 2 2 2 2 2 3 2 2" xfId="11502" xr:uid="{00000000-0005-0000-0000-00001C090000}"/>
    <cellStyle name="Normal 11 2 2 2 2 2 3 3" xfId="9967" xr:uid="{00000000-0005-0000-0000-00001D090000}"/>
    <cellStyle name="Normal 11 2 2 2 2 2 4" xfId="4270" xr:uid="{00000000-0005-0000-0000-00001E090000}"/>
    <cellStyle name="Normal 11 2 2 2 2 2 4 2" xfId="11499" xr:uid="{00000000-0005-0000-0000-00001F090000}"/>
    <cellStyle name="Normal 11 2 2 2 2 2 5" xfId="8229" xr:uid="{00000000-0005-0000-0000-000020090000}"/>
    <cellStyle name="Normal 11 2 2 2 2 3" xfId="1435" xr:uid="{00000000-0005-0000-0000-000021090000}"/>
    <cellStyle name="Normal 11 2 2 2 2 3 2" xfId="3174" xr:uid="{00000000-0005-0000-0000-000022090000}"/>
    <cellStyle name="Normal 11 2 2 2 2 3 2 2" xfId="4275" xr:uid="{00000000-0005-0000-0000-000023090000}"/>
    <cellStyle name="Normal 11 2 2 2 2 3 2 2 2" xfId="11504" xr:uid="{00000000-0005-0000-0000-000024090000}"/>
    <cellStyle name="Normal 11 2 2 2 2 3 2 3" xfId="10403" xr:uid="{00000000-0005-0000-0000-000025090000}"/>
    <cellStyle name="Normal 11 2 2 2 2 3 3" xfId="4274" xr:uid="{00000000-0005-0000-0000-000026090000}"/>
    <cellStyle name="Normal 11 2 2 2 2 3 3 2" xfId="11503" xr:uid="{00000000-0005-0000-0000-000027090000}"/>
    <cellStyle name="Normal 11 2 2 2 2 3 4" xfId="8665" xr:uid="{00000000-0005-0000-0000-000028090000}"/>
    <cellStyle name="Normal 11 2 2 2 2 4" xfId="2307" xr:uid="{00000000-0005-0000-0000-000029090000}"/>
    <cellStyle name="Normal 11 2 2 2 2 4 2" xfId="4276" xr:uid="{00000000-0005-0000-0000-00002A090000}"/>
    <cellStyle name="Normal 11 2 2 2 2 4 2 2" xfId="11505" xr:uid="{00000000-0005-0000-0000-00002B090000}"/>
    <cellStyle name="Normal 11 2 2 2 2 4 3" xfId="9536" xr:uid="{00000000-0005-0000-0000-00002C090000}"/>
    <cellStyle name="Normal 11 2 2 2 2 5" xfId="4269" xr:uid="{00000000-0005-0000-0000-00002D090000}"/>
    <cellStyle name="Normal 11 2 2 2 2 5 2" xfId="11498" xr:uid="{00000000-0005-0000-0000-00002E090000}"/>
    <cellStyle name="Normal 11 2 2 2 2 6" xfId="7798" xr:uid="{00000000-0005-0000-0000-00002F090000}"/>
    <cellStyle name="Normal 11 2 2 2 3" xfId="775" xr:uid="{00000000-0005-0000-0000-000030090000}"/>
    <cellStyle name="Normal 11 2 2 2 3 2" xfId="1648" xr:uid="{00000000-0005-0000-0000-000031090000}"/>
    <cellStyle name="Normal 11 2 2 2 3 2 2" xfId="3387" xr:uid="{00000000-0005-0000-0000-000032090000}"/>
    <cellStyle name="Normal 11 2 2 2 3 2 2 2" xfId="4279" xr:uid="{00000000-0005-0000-0000-000033090000}"/>
    <cellStyle name="Normal 11 2 2 2 3 2 2 2 2" xfId="11508" xr:uid="{00000000-0005-0000-0000-000034090000}"/>
    <cellStyle name="Normal 11 2 2 2 3 2 2 3" xfId="10616" xr:uid="{00000000-0005-0000-0000-000035090000}"/>
    <cellStyle name="Normal 11 2 2 2 3 2 3" xfId="4278" xr:uid="{00000000-0005-0000-0000-000036090000}"/>
    <cellStyle name="Normal 11 2 2 2 3 2 3 2" xfId="11507" xr:uid="{00000000-0005-0000-0000-000037090000}"/>
    <cellStyle name="Normal 11 2 2 2 3 2 4" xfId="8878" xr:uid="{00000000-0005-0000-0000-000038090000}"/>
    <cellStyle name="Normal 11 2 2 2 3 3" xfId="2520" xr:uid="{00000000-0005-0000-0000-000039090000}"/>
    <cellStyle name="Normal 11 2 2 2 3 3 2" xfId="4280" xr:uid="{00000000-0005-0000-0000-00003A090000}"/>
    <cellStyle name="Normal 11 2 2 2 3 3 2 2" xfId="11509" xr:uid="{00000000-0005-0000-0000-00003B090000}"/>
    <cellStyle name="Normal 11 2 2 2 3 3 3" xfId="9749" xr:uid="{00000000-0005-0000-0000-00003C090000}"/>
    <cellStyle name="Normal 11 2 2 2 3 4" xfId="4277" xr:uid="{00000000-0005-0000-0000-00003D090000}"/>
    <cellStyle name="Normal 11 2 2 2 3 4 2" xfId="11506" xr:uid="{00000000-0005-0000-0000-00003E090000}"/>
    <cellStyle name="Normal 11 2 2 2 3 5" xfId="8011" xr:uid="{00000000-0005-0000-0000-00003F090000}"/>
    <cellStyle name="Normal 11 2 2 2 4" xfId="1217" xr:uid="{00000000-0005-0000-0000-000040090000}"/>
    <cellStyle name="Normal 11 2 2 2 4 2" xfId="2956" xr:uid="{00000000-0005-0000-0000-000041090000}"/>
    <cellStyle name="Normal 11 2 2 2 4 2 2" xfId="4282" xr:uid="{00000000-0005-0000-0000-000042090000}"/>
    <cellStyle name="Normal 11 2 2 2 4 2 2 2" xfId="11511" xr:uid="{00000000-0005-0000-0000-000043090000}"/>
    <cellStyle name="Normal 11 2 2 2 4 2 3" xfId="10185" xr:uid="{00000000-0005-0000-0000-000044090000}"/>
    <cellStyle name="Normal 11 2 2 2 4 3" xfId="4281" xr:uid="{00000000-0005-0000-0000-000045090000}"/>
    <cellStyle name="Normal 11 2 2 2 4 3 2" xfId="11510" xr:uid="{00000000-0005-0000-0000-000046090000}"/>
    <cellStyle name="Normal 11 2 2 2 4 4" xfId="8447" xr:uid="{00000000-0005-0000-0000-000047090000}"/>
    <cellStyle name="Normal 11 2 2 2 5" xfId="2089" xr:uid="{00000000-0005-0000-0000-000048090000}"/>
    <cellStyle name="Normal 11 2 2 2 5 2" xfId="4283" xr:uid="{00000000-0005-0000-0000-000049090000}"/>
    <cellStyle name="Normal 11 2 2 2 5 2 2" xfId="11512" xr:uid="{00000000-0005-0000-0000-00004A090000}"/>
    <cellStyle name="Normal 11 2 2 2 5 3" xfId="9318" xr:uid="{00000000-0005-0000-0000-00004B090000}"/>
    <cellStyle name="Normal 11 2 2 2 6" xfId="4268" xr:uid="{00000000-0005-0000-0000-00004C090000}"/>
    <cellStyle name="Normal 11 2 2 2 6 2" xfId="11497" xr:uid="{00000000-0005-0000-0000-00004D090000}"/>
    <cellStyle name="Normal 11 2 2 2 7" xfId="7580" xr:uid="{00000000-0005-0000-0000-00004E090000}"/>
    <cellStyle name="Normal 11 2 2 3" xfId="451" xr:uid="{00000000-0005-0000-0000-00004F090000}"/>
    <cellStyle name="Normal 11 2 2 3 2" xfId="897" xr:uid="{00000000-0005-0000-0000-000050090000}"/>
    <cellStyle name="Normal 11 2 2 3 2 2" xfId="1764" xr:uid="{00000000-0005-0000-0000-000051090000}"/>
    <cellStyle name="Normal 11 2 2 3 2 2 2" xfId="3503" xr:uid="{00000000-0005-0000-0000-000052090000}"/>
    <cellStyle name="Normal 11 2 2 3 2 2 2 2" xfId="4287" xr:uid="{00000000-0005-0000-0000-000053090000}"/>
    <cellStyle name="Normal 11 2 2 3 2 2 2 2 2" xfId="11516" xr:uid="{00000000-0005-0000-0000-000054090000}"/>
    <cellStyle name="Normal 11 2 2 3 2 2 2 3" xfId="10732" xr:uid="{00000000-0005-0000-0000-000055090000}"/>
    <cellStyle name="Normal 11 2 2 3 2 2 3" xfId="4286" xr:uid="{00000000-0005-0000-0000-000056090000}"/>
    <cellStyle name="Normal 11 2 2 3 2 2 3 2" xfId="11515" xr:uid="{00000000-0005-0000-0000-000057090000}"/>
    <cellStyle name="Normal 11 2 2 3 2 2 4" xfId="8994" xr:uid="{00000000-0005-0000-0000-000058090000}"/>
    <cellStyle name="Normal 11 2 2 3 2 3" xfId="2636" xr:uid="{00000000-0005-0000-0000-000059090000}"/>
    <cellStyle name="Normal 11 2 2 3 2 3 2" xfId="4288" xr:uid="{00000000-0005-0000-0000-00005A090000}"/>
    <cellStyle name="Normal 11 2 2 3 2 3 2 2" xfId="11517" xr:uid="{00000000-0005-0000-0000-00005B090000}"/>
    <cellStyle name="Normal 11 2 2 3 2 3 3" xfId="9865" xr:uid="{00000000-0005-0000-0000-00005C090000}"/>
    <cellStyle name="Normal 11 2 2 3 2 4" xfId="4285" xr:uid="{00000000-0005-0000-0000-00005D090000}"/>
    <cellStyle name="Normal 11 2 2 3 2 4 2" xfId="11514" xr:uid="{00000000-0005-0000-0000-00005E090000}"/>
    <cellStyle name="Normal 11 2 2 3 2 5" xfId="8127" xr:uid="{00000000-0005-0000-0000-00005F090000}"/>
    <cellStyle name="Normal 11 2 2 3 3" xfId="1333" xr:uid="{00000000-0005-0000-0000-000060090000}"/>
    <cellStyle name="Normal 11 2 2 3 3 2" xfId="3072" xr:uid="{00000000-0005-0000-0000-000061090000}"/>
    <cellStyle name="Normal 11 2 2 3 3 2 2" xfId="4290" xr:uid="{00000000-0005-0000-0000-000062090000}"/>
    <cellStyle name="Normal 11 2 2 3 3 2 2 2" xfId="11519" xr:uid="{00000000-0005-0000-0000-000063090000}"/>
    <cellStyle name="Normal 11 2 2 3 3 2 3" xfId="10301" xr:uid="{00000000-0005-0000-0000-000064090000}"/>
    <cellStyle name="Normal 11 2 2 3 3 3" xfId="4289" xr:uid="{00000000-0005-0000-0000-000065090000}"/>
    <cellStyle name="Normal 11 2 2 3 3 3 2" xfId="11518" xr:uid="{00000000-0005-0000-0000-000066090000}"/>
    <cellStyle name="Normal 11 2 2 3 3 4" xfId="8563" xr:uid="{00000000-0005-0000-0000-000067090000}"/>
    <cellStyle name="Normal 11 2 2 3 4" xfId="2205" xr:uid="{00000000-0005-0000-0000-000068090000}"/>
    <cellStyle name="Normal 11 2 2 3 4 2" xfId="4291" xr:uid="{00000000-0005-0000-0000-000069090000}"/>
    <cellStyle name="Normal 11 2 2 3 4 2 2" xfId="11520" xr:uid="{00000000-0005-0000-0000-00006A090000}"/>
    <cellStyle name="Normal 11 2 2 3 4 3" xfId="9434" xr:uid="{00000000-0005-0000-0000-00006B090000}"/>
    <cellStyle name="Normal 11 2 2 3 5" xfId="4284" xr:uid="{00000000-0005-0000-0000-00006C090000}"/>
    <cellStyle name="Normal 11 2 2 3 5 2" xfId="11513" xr:uid="{00000000-0005-0000-0000-00006D090000}"/>
    <cellStyle name="Normal 11 2 2 3 6" xfId="7696" xr:uid="{00000000-0005-0000-0000-00006E090000}"/>
    <cellStyle name="Normal 11 2 2 4" xfId="673" xr:uid="{00000000-0005-0000-0000-00006F090000}"/>
    <cellStyle name="Normal 11 2 2 4 2" xfId="1546" xr:uid="{00000000-0005-0000-0000-000070090000}"/>
    <cellStyle name="Normal 11 2 2 4 2 2" xfId="3285" xr:uid="{00000000-0005-0000-0000-000071090000}"/>
    <cellStyle name="Normal 11 2 2 4 2 2 2" xfId="4294" xr:uid="{00000000-0005-0000-0000-000072090000}"/>
    <cellStyle name="Normal 11 2 2 4 2 2 2 2" xfId="11523" xr:uid="{00000000-0005-0000-0000-000073090000}"/>
    <cellStyle name="Normal 11 2 2 4 2 2 3" xfId="10514" xr:uid="{00000000-0005-0000-0000-000074090000}"/>
    <cellStyle name="Normal 11 2 2 4 2 3" xfId="4293" xr:uid="{00000000-0005-0000-0000-000075090000}"/>
    <cellStyle name="Normal 11 2 2 4 2 3 2" xfId="11522" xr:uid="{00000000-0005-0000-0000-000076090000}"/>
    <cellStyle name="Normal 11 2 2 4 2 4" xfId="8776" xr:uid="{00000000-0005-0000-0000-000077090000}"/>
    <cellStyle name="Normal 11 2 2 4 3" xfId="2418" xr:uid="{00000000-0005-0000-0000-000078090000}"/>
    <cellStyle name="Normal 11 2 2 4 3 2" xfId="4295" xr:uid="{00000000-0005-0000-0000-000079090000}"/>
    <cellStyle name="Normal 11 2 2 4 3 2 2" xfId="11524" xr:uid="{00000000-0005-0000-0000-00007A090000}"/>
    <cellStyle name="Normal 11 2 2 4 3 3" xfId="9647" xr:uid="{00000000-0005-0000-0000-00007B090000}"/>
    <cellStyle name="Normal 11 2 2 4 4" xfId="4292" xr:uid="{00000000-0005-0000-0000-00007C090000}"/>
    <cellStyle name="Normal 11 2 2 4 4 2" xfId="11521" xr:uid="{00000000-0005-0000-0000-00007D090000}"/>
    <cellStyle name="Normal 11 2 2 4 5" xfId="7909" xr:uid="{00000000-0005-0000-0000-00007E090000}"/>
    <cellStyle name="Normal 11 2 2 5" xfId="1115" xr:uid="{00000000-0005-0000-0000-00007F090000}"/>
    <cellStyle name="Normal 11 2 2 5 2" xfId="2854" xr:uid="{00000000-0005-0000-0000-000080090000}"/>
    <cellStyle name="Normal 11 2 2 5 2 2" xfId="4297" xr:uid="{00000000-0005-0000-0000-000081090000}"/>
    <cellStyle name="Normal 11 2 2 5 2 2 2" xfId="11526" xr:uid="{00000000-0005-0000-0000-000082090000}"/>
    <cellStyle name="Normal 11 2 2 5 2 3" xfId="10083" xr:uid="{00000000-0005-0000-0000-000083090000}"/>
    <cellStyle name="Normal 11 2 2 5 3" xfId="4296" xr:uid="{00000000-0005-0000-0000-000084090000}"/>
    <cellStyle name="Normal 11 2 2 5 3 2" xfId="11525" xr:uid="{00000000-0005-0000-0000-000085090000}"/>
    <cellStyle name="Normal 11 2 2 5 4" xfId="8345" xr:uid="{00000000-0005-0000-0000-000086090000}"/>
    <cellStyle name="Normal 11 2 2 6" xfId="1987" xr:uid="{00000000-0005-0000-0000-000087090000}"/>
    <cellStyle name="Normal 11 2 2 6 2" xfId="4298" xr:uid="{00000000-0005-0000-0000-000088090000}"/>
    <cellStyle name="Normal 11 2 2 6 2 2" xfId="11527" xr:uid="{00000000-0005-0000-0000-000089090000}"/>
    <cellStyle name="Normal 11 2 2 6 3" xfId="9216" xr:uid="{00000000-0005-0000-0000-00008A090000}"/>
    <cellStyle name="Normal 11 2 2 7" xfId="4267" xr:uid="{00000000-0005-0000-0000-00008B090000}"/>
    <cellStyle name="Normal 11 2 2 7 2" xfId="11496" xr:uid="{00000000-0005-0000-0000-00008C090000}"/>
    <cellStyle name="Normal 11 2 2 8" xfId="7478" xr:uid="{00000000-0005-0000-0000-00008D090000}"/>
    <cellStyle name="Normal 11 2 3" xfId="306" xr:uid="{00000000-0005-0000-0000-00008E090000}"/>
    <cellStyle name="Normal 11 2 3 2" xfId="532" xr:uid="{00000000-0005-0000-0000-00008F090000}"/>
    <cellStyle name="Normal 11 2 3 2 2" xfId="978" xr:uid="{00000000-0005-0000-0000-000090090000}"/>
    <cellStyle name="Normal 11 2 3 2 2 2" xfId="1845" xr:uid="{00000000-0005-0000-0000-000091090000}"/>
    <cellStyle name="Normal 11 2 3 2 2 2 2" xfId="3584" xr:uid="{00000000-0005-0000-0000-000092090000}"/>
    <cellStyle name="Normal 11 2 3 2 2 2 2 2" xfId="4303" xr:uid="{00000000-0005-0000-0000-000093090000}"/>
    <cellStyle name="Normal 11 2 3 2 2 2 2 2 2" xfId="11532" xr:uid="{00000000-0005-0000-0000-000094090000}"/>
    <cellStyle name="Normal 11 2 3 2 2 2 2 3" xfId="10813" xr:uid="{00000000-0005-0000-0000-000095090000}"/>
    <cellStyle name="Normal 11 2 3 2 2 2 3" xfId="4302" xr:uid="{00000000-0005-0000-0000-000096090000}"/>
    <cellStyle name="Normal 11 2 3 2 2 2 3 2" xfId="11531" xr:uid="{00000000-0005-0000-0000-000097090000}"/>
    <cellStyle name="Normal 11 2 3 2 2 2 4" xfId="9075" xr:uid="{00000000-0005-0000-0000-000098090000}"/>
    <cellStyle name="Normal 11 2 3 2 2 3" xfId="2717" xr:uid="{00000000-0005-0000-0000-000099090000}"/>
    <cellStyle name="Normal 11 2 3 2 2 3 2" xfId="4304" xr:uid="{00000000-0005-0000-0000-00009A090000}"/>
    <cellStyle name="Normal 11 2 3 2 2 3 2 2" xfId="11533" xr:uid="{00000000-0005-0000-0000-00009B090000}"/>
    <cellStyle name="Normal 11 2 3 2 2 3 3" xfId="9946" xr:uid="{00000000-0005-0000-0000-00009C090000}"/>
    <cellStyle name="Normal 11 2 3 2 2 4" xfId="4301" xr:uid="{00000000-0005-0000-0000-00009D090000}"/>
    <cellStyle name="Normal 11 2 3 2 2 4 2" xfId="11530" xr:uid="{00000000-0005-0000-0000-00009E090000}"/>
    <cellStyle name="Normal 11 2 3 2 2 5" xfId="8208" xr:uid="{00000000-0005-0000-0000-00009F090000}"/>
    <cellStyle name="Normal 11 2 3 2 3" xfId="1414" xr:uid="{00000000-0005-0000-0000-0000A0090000}"/>
    <cellStyle name="Normal 11 2 3 2 3 2" xfId="3153" xr:uid="{00000000-0005-0000-0000-0000A1090000}"/>
    <cellStyle name="Normal 11 2 3 2 3 2 2" xfId="4306" xr:uid="{00000000-0005-0000-0000-0000A2090000}"/>
    <cellStyle name="Normal 11 2 3 2 3 2 2 2" xfId="11535" xr:uid="{00000000-0005-0000-0000-0000A3090000}"/>
    <cellStyle name="Normal 11 2 3 2 3 2 3" xfId="10382" xr:uid="{00000000-0005-0000-0000-0000A4090000}"/>
    <cellStyle name="Normal 11 2 3 2 3 3" xfId="4305" xr:uid="{00000000-0005-0000-0000-0000A5090000}"/>
    <cellStyle name="Normal 11 2 3 2 3 3 2" xfId="11534" xr:uid="{00000000-0005-0000-0000-0000A6090000}"/>
    <cellStyle name="Normal 11 2 3 2 3 4" xfId="8644" xr:uid="{00000000-0005-0000-0000-0000A7090000}"/>
    <cellStyle name="Normal 11 2 3 2 4" xfId="2286" xr:uid="{00000000-0005-0000-0000-0000A8090000}"/>
    <cellStyle name="Normal 11 2 3 2 4 2" xfId="4307" xr:uid="{00000000-0005-0000-0000-0000A9090000}"/>
    <cellStyle name="Normal 11 2 3 2 4 2 2" xfId="11536" xr:uid="{00000000-0005-0000-0000-0000AA090000}"/>
    <cellStyle name="Normal 11 2 3 2 4 3" xfId="9515" xr:uid="{00000000-0005-0000-0000-0000AB090000}"/>
    <cellStyle name="Normal 11 2 3 2 5" xfId="4300" xr:uid="{00000000-0005-0000-0000-0000AC090000}"/>
    <cellStyle name="Normal 11 2 3 2 5 2" xfId="11529" xr:uid="{00000000-0005-0000-0000-0000AD090000}"/>
    <cellStyle name="Normal 11 2 3 2 6" xfId="7777" xr:uid="{00000000-0005-0000-0000-0000AE090000}"/>
    <cellStyle name="Normal 11 2 3 3" xfId="754" xr:uid="{00000000-0005-0000-0000-0000AF090000}"/>
    <cellStyle name="Normal 11 2 3 3 2" xfId="1627" xr:uid="{00000000-0005-0000-0000-0000B0090000}"/>
    <cellStyle name="Normal 11 2 3 3 2 2" xfId="3366" xr:uid="{00000000-0005-0000-0000-0000B1090000}"/>
    <cellStyle name="Normal 11 2 3 3 2 2 2" xfId="4310" xr:uid="{00000000-0005-0000-0000-0000B2090000}"/>
    <cellStyle name="Normal 11 2 3 3 2 2 2 2" xfId="11539" xr:uid="{00000000-0005-0000-0000-0000B3090000}"/>
    <cellStyle name="Normal 11 2 3 3 2 2 3" xfId="10595" xr:uid="{00000000-0005-0000-0000-0000B4090000}"/>
    <cellStyle name="Normal 11 2 3 3 2 3" xfId="4309" xr:uid="{00000000-0005-0000-0000-0000B5090000}"/>
    <cellStyle name="Normal 11 2 3 3 2 3 2" xfId="11538" xr:uid="{00000000-0005-0000-0000-0000B6090000}"/>
    <cellStyle name="Normal 11 2 3 3 2 4" xfId="8857" xr:uid="{00000000-0005-0000-0000-0000B7090000}"/>
    <cellStyle name="Normal 11 2 3 3 3" xfId="2499" xr:uid="{00000000-0005-0000-0000-0000B8090000}"/>
    <cellStyle name="Normal 11 2 3 3 3 2" xfId="4311" xr:uid="{00000000-0005-0000-0000-0000B9090000}"/>
    <cellStyle name="Normal 11 2 3 3 3 2 2" xfId="11540" xr:uid="{00000000-0005-0000-0000-0000BA090000}"/>
    <cellStyle name="Normal 11 2 3 3 3 3" xfId="9728" xr:uid="{00000000-0005-0000-0000-0000BB090000}"/>
    <cellStyle name="Normal 11 2 3 3 4" xfId="4308" xr:uid="{00000000-0005-0000-0000-0000BC090000}"/>
    <cellStyle name="Normal 11 2 3 3 4 2" xfId="11537" xr:uid="{00000000-0005-0000-0000-0000BD090000}"/>
    <cellStyle name="Normal 11 2 3 3 5" xfId="7990" xr:uid="{00000000-0005-0000-0000-0000BE090000}"/>
    <cellStyle name="Normal 11 2 3 4" xfId="1196" xr:uid="{00000000-0005-0000-0000-0000BF090000}"/>
    <cellStyle name="Normal 11 2 3 4 2" xfId="2935" xr:uid="{00000000-0005-0000-0000-0000C0090000}"/>
    <cellStyle name="Normal 11 2 3 4 2 2" xfId="4313" xr:uid="{00000000-0005-0000-0000-0000C1090000}"/>
    <cellStyle name="Normal 11 2 3 4 2 2 2" xfId="11542" xr:uid="{00000000-0005-0000-0000-0000C2090000}"/>
    <cellStyle name="Normal 11 2 3 4 2 3" xfId="10164" xr:uid="{00000000-0005-0000-0000-0000C3090000}"/>
    <cellStyle name="Normal 11 2 3 4 3" xfId="4312" xr:uid="{00000000-0005-0000-0000-0000C4090000}"/>
    <cellStyle name="Normal 11 2 3 4 3 2" xfId="11541" xr:uid="{00000000-0005-0000-0000-0000C5090000}"/>
    <cellStyle name="Normal 11 2 3 4 4" xfId="8426" xr:uid="{00000000-0005-0000-0000-0000C6090000}"/>
    <cellStyle name="Normal 11 2 3 5" xfId="2068" xr:uid="{00000000-0005-0000-0000-0000C7090000}"/>
    <cellStyle name="Normal 11 2 3 5 2" xfId="4314" xr:uid="{00000000-0005-0000-0000-0000C8090000}"/>
    <cellStyle name="Normal 11 2 3 5 2 2" xfId="11543" xr:uid="{00000000-0005-0000-0000-0000C9090000}"/>
    <cellStyle name="Normal 11 2 3 5 3" xfId="9297" xr:uid="{00000000-0005-0000-0000-0000CA090000}"/>
    <cellStyle name="Normal 11 2 3 6" xfId="4299" xr:uid="{00000000-0005-0000-0000-0000CB090000}"/>
    <cellStyle name="Normal 11 2 3 6 2" xfId="11528" xr:uid="{00000000-0005-0000-0000-0000CC090000}"/>
    <cellStyle name="Normal 11 2 3 7" xfId="7559" xr:uid="{00000000-0005-0000-0000-0000CD090000}"/>
    <cellStyle name="Normal 11 2 4" xfId="430" xr:uid="{00000000-0005-0000-0000-0000CE090000}"/>
    <cellStyle name="Normal 11 2 4 2" xfId="876" xr:uid="{00000000-0005-0000-0000-0000CF090000}"/>
    <cellStyle name="Normal 11 2 4 2 2" xfId="1743" xr:uid="{00000000-0005-0000-0000-0000D0090000}"/>
    <cellStyle name="Normal 11 2 4 2 2 2" xfId="3482" xr:uid="{00000000-0005-0000-0000-0000D1090000}"/>
    <cellStyle name="Normal 11 2 4 2 2 2 2" xfId="4318" xr:uid="{00000000-0005-0000-0000-0000D2090000}"/>
    <cellStyle name="Normal 11 2 4 2 2 2 2 2" xfId="11547" xr:uid="{00000000-0005-0000-0000-0000D3090000}"/>
    <cellStyle name="Normal 11 2 4 2 2 2 3" xfId="10711" xr:uid="{00000000-0005-0000-0000-0000D4090000}"/>
    <cellStyle name="Normal 11 2 4 2 2 3" xfId="4317" xr:uid="{00000000-0005-0000-0000-0000D5090000}"/>
    <cellStyle name="Normal 11 2 4 2 2 3 2" xfId="11546" xr:uid="{00000000-0005-0000-0000-0000D6090000}"/>
    <cellStyle name="Normal 11 2 4 2 2 4" xfId="8973" xr:uid="{00000000-0005-0000-0000-0000D7090000}"/>
    <cellStyle name="Normal 11 2 4 2 3" xfId="2615" xr:uid="{00000000-0005-0000-0000-0000D8090000}"/>
    <cellStyle name="Normal 11 2 4 2 3 2" xfId="4319" xr:uid="{00000000-0005-0000-0000-0000D9090000}"/>
    <cellStyle name="Normal 11 2 4 2 3 2 2" xfId="11548" xr:uid="{00000000-0005-0000-0000-0000DA090000}"/>
    <cellStyle name="Normal 11 2 4 2 3 3" xfId="9844" xr:uid="{00000000-0005-0000-0000-0000DB090000}"/>
    <cellStyle name="Normal 11 2 4 2 4" xfId="4316" xr:uid="{00000000-0005-0000-0000-0000DC090000}"/>
    <cellStyle name="Normal 11 2 4 2 4 2" xfId="11545" xr:uid="{00000000-0005-0000-0000-0000DD090000}"/>
    <cellStyle name="Normal 11 2 4 2 5" xfId="8106" xr:uid="{00000000-0005-0000-0000-0000DE090000}"/>
    <cellStyle name="Normal 11 2 4 3" xfId="1312" xr:uid="{00000000-0005-0000-0000-0000DF090000}"/>
    <cellStyle name="Normal 11 2 4 3 2" xfId="3051" xr:uid="{00000000-0005-0000-0000-0000E0090000}"/>
    <cellStyle name="Normal 11 2 4 3 2 2" xfId="4321" xr:uid="{00000000-0005-0000-0000-0000E1090000}"/>
    <cellStyle name="Normal 11 2 4 3 2 2 2" xfId="11550" xr:uid="{00000000-0005-0000-0000-0000E2090000}"/>
    <cellStyle name="Normal 11 2 4 3 2 3" xfId="10280" xr:uid="{00000000-0005-0000-0000-0000E3090000}"/>
    <cellStyle name="Normal 11 2 4 3 3" xfId="4320" xr:uid="{00000000-0005-0000-0000-0000E4090000}"/>
    <cellStyle name="Normal 11 2 4 3 3 2" xfId="11549" xr:uid="{00000000-0005-0000-0000-0000E5090000}"/>
    <cellStyle name="Normal 11 2 4 3 4" xfId="8542" xr:uid="{00000000-0005-0000-0000-0000E6090000}"/>
    <cellStyle name="Normal 11 2 4 4" xfId="2184" xr:uid="{00000000-0005-0000-0000-0000E7090000}"/>
    <cellStyle name="Normal 11 2 4 4 2" xfId="4322" xr:uid="{00000000-0005-0000-0000-0000E8090000}"/>
    <cellStyle name="Normal 11 2 4 4 2 2" xfId="11551" xr:uid="{00000000-0005-0000-0000-0000E9090000}"/>
    <cellStyle name="Normal 11 2 4 4 3" xfId="9413" xr:uid="{00000000-0005-0000-0000-0000EA090000}"/>
    <cellStyle name="Normal 11 2 4 5" xfId="4315" xr:uid="{00000000-0005-0000-0000-0000EB090000}"/>
    <cellStyle name="Normal 11 2 4 5 2" xfId="11544" xr:uid="{00000000-0005-0000-0000-0000EC090000}"/>
    <cellStyle name="Normal 11 2 4 6" xfId="7675" xr:uid="{00000000-0005-0000-0000-0000ED090000}"/>
    <cellStyle name="Normal 11 2 5" xfId="649" xr:uid="{00000000-0005-0000-0000-0000EE090000}"/>
    <cellStyle name="Normal 11 2 5 2" xfId="1525" xr:uid="{00000000-0005-0000-0000-0000EF090000}"/>
    <cellStyle name="Normal 11 2 5 2 2" xfId="3264" xr:uid="{00000000-0005-0000-0000-0000F0090000}"/>
    <cellStyle name="Normal 11 2 5 2 2 2" xfId="4325" xr:uid="{00000000-0005-0000-0000-0000F1090000}"/>
    <cellStyle name="Normal 11 2 5 2 2 2 2" xfId="11554" xr:uid="{00000000-0005-0000-0000-0000F2090000}"/>
    <cellStyle name="Normal 11 2 5 2 2 3" xfId="10493" xr:uid="{00000000-0005-0000-0000-0000F3090000}"/>
    <cellStyle name="Normal 11 2 5 2 3" xfId="4324" xr:uid="{00000000-0005-0000-0000-0000F4090000}"/>
    <cellStyle name="Normal 11 2 5 2 3 2" xfId="11553" xr:uid="{00000000-0005-0000-0000-0000F5090000}"/>
    <cellStyle name="Normal 11 2 5 2 4" xfId="8755" xr:uid="{00000000-0005-0000-0000-0000F6090000}"/>
    <cellStyle name="Normal 11 2 5 3" xfId="2397" xr:uid="{00000000-0005-0000-0000-0000F7090000}"/>
    <cellStyle name="Normal 11 2 5 3 2" xfId="4326" xr:uid="{00000000-0005-0000-0000-0000F8090000}"/>
    <cellStyle name="Normal 11 2 5 3 2 2" xfId="11555" xr:uid="{00000000-0005-0000-0000-0000F9090000}"/>
    <cellStyle name="Normal 11 2 5 3 3" xfId="9626" xr:uid="{00000000-0005-0000-0000-0000FA090000}"/>
    <cellStyle name="Normal 11 2 5 4" xfId="4323" xr:uid="{00000000-0005-0000-0000-0000FB090000}"/>
    <cellStyle name="Normal 11 2 5 4 2" xfId="11552" xr:uid="{00000000-0005-0000-0000-0000FC090000}"/>
    <cellStyle name="Normal 11 2 5 5" xfId="7888" xr:uid="{00000000-0005-0000-0000-0000FD090000}"/>
    <cellStyle name="Normal 11 2 6" xfId="1094" xr:uid="{00000000-0005-0000-0000-0000FE090000}"/>
    <cellStyle name="Normal 11 2 6 2" xfId="2833" xr:uid="{00000000-0005-0000-0000-0000FF090000}"/>
    <cellStyle name="Normal 11 2 6 2 2" xfId="4328" xr:uid="{00000000-0005-0000-0000-0000000A0000}"/>
    <cellStyle name="Normal 11 2 6 2 2 2" xfId="11557" xr:uid="{00000000-0005-0000-0000-0000010A0000}"/>
    <cellStyle name="Normal 11 2 6 2 3" xfId="10062" xr:uid="{00000000-0005-0000-0000-0000020A0000}"/>
    <cellStyle name="Normal 11 2 6 3" xfId="4327" xr:uid="{00000000-0005-0000-0000-0000030A0000}"/>
    <cellStyle name="Normal 11 2 6 3 2" xfId="11556" xr:uid="{00000000-0005-0000-0000-0000040A0000}"/>
    <cellStyle name="Normal 11 2 6 4" xfId="8324" xr:uid="{00000000-0005-0000-0000-0000050A0000}"/>
    <cellStyle name="Normal 11 2 7" xfId="1966" xr:uid="{00000000-0005-0000-0000-0000060A0000}"/>
    <cellStyle name="Normal 11 2 7 2" xfId="4329" xr:uid="{00000000-0005-0000-0000-0000070A0000}"/>
    <cellStyle name="Normal 11 2 7 2 2" xfId="11558" xr:uid="{00000000-0005-0000-0000-0000080A0000}"/>
    <cellStyle name="Normal 11 2 7 3" xfId="9195" xr:uid="{00000000-0005-0000-0000-0000090A0000}"/>
    <cellStyle name="Normal 11 2 8" xfId="4266" xr:uid="{00000000-0005-0000-0000-00000A0A0000}"/>
    <cellStyle name="Normal 11 2 8 2" xfId="11495" xr:uid="{00000000-0005-0000-0000-00000B0A0000}"/>
    <cellStyle name="Normal 11 2 9" xfId="7455" xr:uid="{00000000-0005-0000-0000-00000C0A0000}"/>
    <cellStyle name="Normal 11 3" xfId="200" xr:uid="{00000000-0005-0000-0000-00000D0A0000}"/>
    <cellStyle name="Normal 11 3 2" xfId="328" xr:uid="{00000000-0005-0000-0000-00000E0A0000}"/>
    <cellStyle name="Normal 11 3 2 2" xfId="554" xr:uid="{00000000-0005-0000-0000-00000F0A0000}"/>
    <cellStyle name="Normal 11 3 2 2 2" xfId="1000" xr:uid="{00000000-0005-0000-0000-0000100A0000}"/>
    <cellStyle name="Normal 11 3 2 2 2 2" xfId="1867" xr:uid="{00000000-0005-0000-0000-0000110A0000}"/>
    <cellStyle name="Normal 11 3 2 2 2 2 2" xfId="3606" xr:uid="{00000000-0005-0000-0000-0000120A0000}"/>
    <cellStyle name="Normal 11 3 2 2 2 2 2 2" xfId="4335" xr:uid="{00000000-0005-0000-0000-0000130A0000}"/>
    <cellStyle name="Normal 11 3 2 2 2 2 2 2 2" xfId="11564" xr:uid="{00000000-0005-0000-0000-0000140A0000}"/>
    <cellStyle name="Normal 11 3 2 2 2 2 2 3" xfId="10835" xr:uid="{00000000-0005-0000-0000-0000150A0000}"/>
    <cellStyle name="Normal 11 3 2 2 2 2 3" xfId="4334" xr:uid="{00000000-0005-0000-0000-0000160A0000}"/>
    <cellStyle name="Normal 11 3 2 2 2 2 3 2" xfId="11563" xr:uid="{00000000-0005-0000-0000-0000170A0000}"/>
    <cellStyle name="Normal 11 3 2 2 2 2 4" xfId="9097" xr:uid="{00000000-0005-0000-0000-0000180A0000}"/>
    <cellStyle name="Normal 11 3 2 2 2 3" xfId="2739" xr:uid="{00000000-0005-0000-0000-0000190A0000}"/>
    <cellStyle name="Normal 11 3 2 2 2 3 2" xfId="4336" xr:uid="{00000000-0005-0000-0000-00001A0A0000}"/>
    <cellStyle name="Normal 11 3 2 2 2 3 2 2" xfId="11565" xr:uid="{00000000-0005-0000-0000-00001B0A0000}"/>
    <cellStyle name="Normal 11 3 2 2 2 3 3" xfId="9968" xr:uid="{00000000-0005-0000-0000-00001C0A0000}"/>
    <cellStyle name="Normal 11 3 2 2 2 4" xfId="4333" xr:uid="{00000000-0005-0000-0000-00001D0A0000}"/>
    <cellStyle name="Normal 11 3 2 2 2 4 2" xfId="11562" xr:uid="{00000000-0005-0000-0000-00001E0A0000}"/>
    <cellStyle name="Normal 11 3 2 2 2 5" xfId="8230" xr:uid="{00000000-0005-0000-0000-00001F0A0000}"/>
    <cellStyle name="Normal 11 3 2 2 3" xfId="1436" xr:uid="{00000000-0005-0000-0000-0000200A0000}"/>
    <cellStyle name="Normal 11 3 2 2 3 2" xfId="3175" xr:uid="{00000000-0005-0000-0000-0000210A0000}"/>
    <cellStyle name="Normal 11 3 2 2 3 2 2" xfId="4338" xr:uid="{00000000-0005-0000-0000-0000220A0000}"/>
    <cellStyle name="Normal 11 3 2 2 3 2 2 2" xfId="11567" xr:uid="{00000000-0005-0000-0000-0000230A0000}"/>
    <cellStyle name="Normal 11 3 2 2 3 2 3" xfId="10404" xr:uid="{00000000-0005-0000-0000-0000240A0000}"/>
    <cellStyle name="Normal 11 3 2 2 3 3" xfId="4337" xr:uid="{00000000-0005-0000-0000-0000250A0000}"/>
    <cellStyle name="Normal 11 3 2 2 3 3 2" xfId="11566" xr:uid="{00000000-0005-0000-0000-0000260A0000}"/>
    <cellStyle name="Normal 11 3 2 2 3 4" xfId="8666" xr:uid="{00000000-0005-0000-0000-0000270A0000}"/>
    <cellStyle name="Normal 11 3 2 2 4" xfId="2308" xr:uid="{00000000-0005-0000-0000-0000280A0000}"/>
    <cellStyle name="Normal 11 3 2 2 4 2" xfId="4339" xr:uid="{00000000-0005-0000-0000-0000290A0000}"/>
    <cellStyle name="Normal 11 3 2 2 4 2 2" xfId="11568" xr:uid="{00000000-0005-0000-0000-00002A0A0000}"/>
    <cellStyle name="Normal 11 3 2 2 4 3" xfId="9537" xr:uid="{00000000-0005-0000-0000-00002B0A0000}"/>
    <cellStyle name="Normal 11 3 2 2 5" xfId="4332" xr:uid="{00000000-0005-0000-0000-00002C0A0000}"/>
    <cellStyle name="Normal 11 3 2 2 5 2" xfId="11561" xr:uid="{00000000-0005-0000-0000-00002D0A0000}"/>
    <cellStyle name="Normal 11 3 2 2 6" xfId="7799" xr:uid="{00000000-0005-0000-0000-00002E0A0000}"/>
    <cellStyle name="Normal 11 3 2 3" xfId="776" xr:uid="{00000000-0005-0000-0000-00002F0A0000}"/>
    <cellStyle name="Normal 11 3 2 3 2" xfId="1649" xr:uid="{00000000-0005-0000-0000-0000300A0000}"/>
    <cellStyle name="Normal 11 3 2 3 2 2" xfId="3388" xr:uid="{00000000-0005-0000-0000-0000310A0000}"/>
    <cellStyle name="Normal 11 3 2 3 2 2 2" xfId="4342" xr:uid="{00000000-0005-0000-0000-0000320A0000}"/>
    <cellStyle name="Normal 11 3 2 3 2 2 2 2" xfId="11571" xr:uid="{00000000-0005-0000-0000-0000330A0000}"/>
    <cellStyle name="Normal 11 3 2 3 2 2 3" xfId="10617" xr:uid="{00000000-0005-0000-0000-0000340A0000}"/>
    <cellStyle name="Normal 11 3 2 3 2 3" xfId="4341" xr:uid="{00000000-0005-0000-0000-0000350A0000}"/>
    <cellStyle name="Normal 11 3 2 3 2 3 2" xfId="11570" xr:uid="{00000000-0005-0000-0000-0000360A0000}"/>
    <cellStyle name="Normal 11 3 2 3 2 4" xfId="8879" xr:uid="{00000000-0005-0000-0000-0000370A0000}"/>
    <cellStyle name="Normal 11 3 2 3 3" xfId="2521" xr:uid="{00000000-0005-0000-0000-0000380A0000}"/>
    <cellStyle name="Normal 11 3 2 3 3 2" xfId="4343" xr:uid="{00000000-0005-0000-0000-0000390A0000}"/>
    <cellStyle name="Normal 11 3 2 3 3 2 2" xfId="11572" xr:uid="{00000000-0005-0000-0000-00003A0A0000}"/>
    <cellStyle name="Normal 11 3 2 3 3 3" xfId="9750" xr:uid="{00000000-0005-0000-0000-00003B0A0000}"/>
    <cellStyle name="Normal 11 3 2 3 4" xfId="4340" xr:uid="{00000000-0005-0000-0000-00003C0A0000}"/>
    <cellStyle name="Normal 11 3 2 3 4 2" xfId="11569" xr:uid="{00000000-0005-0000-0000-00003D0A0000}"/>
    <cellStyle name="Normal 11 3 2 3 5" xfId="8012" xr:uid="{00000000-0005-0000-0000-00003E0A0000}"/>
    <cellStyle name="Normal 11 3 2 4" xfId="1218" xr:uid="{00000000-0005-0000-0000-00003F0A0000}"/>
    <cellStyle name="Normal 11 3 2 4 2" xfId="2957" xr:uid="{00000000-0005-0000-0000-0000400A0000}"/>
    <cellStyle name="Normal 11 3 2 4 2 2" xfId="4345" xr:uid="{00000000-0005-0000-0000-0000410A0000}"/>
    <cellStyle name="Normal 11 3 2 4 2 2 2" xfId="11574" xr:uid="{00000000-0005-0000-0000-0000420A0000}"/>
    <cellStyle name="Normal 11 3 2 4 2 3" xfId="10186" xr:uid="{00000000-0005-0000-0000-0000430A0000}"/>
    <cellStyle name="Normal 11 3 2 4 3" xfId="4344" xr:uid="{00000000-0005-0000-0000-0000440A0000}"/>
    <cellStyle name="Normal 11 3 2 4 3 2" xfId="11573" xr:uid="{00000000-0005-0000-0000-0000450A0000}"/>
    <cellStyle name="Normal 11 3 2 4 4" xfId="8448" xr:uid="{00000000-0005-0000-0000-0000460A0000}"/>
    <cellStyle name="Normal 11 3 2 5" xfId="2090" xr:uid="{00000000-0005-0000-0000-0000470A0000}"/>
    <cellStyle name="Normal 11 3 2 5 2" xfId="4346" xr:uid="{00000000-0005-0000-0000-0000480A0000}"/>
    <cellStyle name="Normal 11 3 2 5 2 2" xfId="11575" xr:uid="{00000000-0005-0000-0000-0000490A0000}"/>
    <cellStyle name="Normal 11 3 2 5 3" xfId="9319" xr:uid="{00000000-0005-0000-0000-00004A0A0000}"/>
    <cellStyle name="Normal 11 3 2 6" xfId="4331" xr:uid="{00000000-0005-0000-0000-00004B0A0000}"/>
    <cellStyle name="Normal 11 3 2 6 2" xfId="11560" xr:uid="{00000000-0005-0000-0000-00004C0A0000}"/>
    <cellStyle name="Normal 11 3 2 7" xfId="7581" xr:uid="{00000000-0005-0000-0000-00004D0A0000}"/>
    <cellStyle name="Normal 11 3 3" xfId="452" xr:uid="{00000000-0005-0000-0000-00004E0A0000}"/>
    <cellStyle name="Normal 11 3 3 2" xfId="898" xr:uid="{00000000-0005-0000-0000-00004F0A0000}"/>
    <cellStyle name="Normal 11 3 3 2 2" xfId="1765" xr:uid="{00000000-0005-0000-0000-0000500A0000}"/>
    <cellStyle name="Normal 11 3 3 2 2 2" xfId="3504" xr:uid="{00000000-0005-0000-0000-0000510A0000}"/>
    <cellStyle name="Normal 11 3 3 2 2 2 2" xfId="4350" xr:uid="{00000000-0005-0000-0000-0000520A0000}"/>
    <cellStyle name="Normal 11 3 3 2 2 2 2 2" xfId="11579" xr:uid="{00000000-0005-0000-0000-0000530A0000}"/>
    <cellStyle name="Normal 11 3 3 2 2 2 3" xfId="10733" xr:uid="{00000000-0005-0000-0000-0000540A0000}"/>
    <cellStyle name="Normal 11 3 3 2 2 3" xfId="4349" xr:uid="{00000000-0005-0000-0000-0000550A0000}"/>
    <cellStyle name="Normal 11 3 3 2 2 3 2" xfId="11578" xr:uid="{00000000-0005-0000-0000-0000560A0000}"/>
    <cellStyle name="Normal 11 3 3 2 2 4" xfId="8995" xr:uid="{00000000-0005-0000-0000-0000570A0000}"/>
    <cellStyle name="Normal 11 3 3 2 3" xfId="2637" xr:uid="{00000000-0005-0000-0000-0000580A0000}"/>
    <cellStyle name="Normal 11 3 3 2 3 2" xfId="4351" xr:uid="{00000000-0005-0000-0000-0000590A0000}"/>
    <cellStyle name="Normal 11 3 3 2 3 2 2" xfId="11580" xr:uid="{00000000-0005-0000-0000-00005A0A0000}"/>
    <cellStyle name="Normal 11 3 3 2 3 3" xfId="9866" xr:uid="{00000000-0005-0000-0000-00005B0A0000}"/>
    <cellStyle name="Normal 11 3 3 2 4" xfId="4348" xr:uid="{00000000-0005-0000-0000-00005C0A0000}"/>
    <cellStyle name="Normal 11 3 3 2 4 2" xfId="11577" xr:uid="{00000000-0005-0000-0000-00005D0A0000}"/>
    <cellStyle name="Normal 11 3 3 2 5" xfId="8128" xr:uid="{00000000-0005-0000-0000-00005E0A0000}"/>
    <cellStyle name="Normal 11 3 3 3" xfId="1334" xr:uid="{00000000-0005-0000-0000-00005F0A0000}"/>
    <cellStyle name="Normal 11 3 3 3 2" xfId="3073" xr:uid="{00000000-0005-0000-0000-0000600A0000}"/>
    <cellStyle name="Normal 11 3 3 3 2 2" xfId="4353" xr:uid="{00000000-0005-0000-0000-0000610A0000}"/>
    <cellStyle name="Normal 11 3 3 3 2 2 2" xfId="11582" xr:uid="{00000000-0005-0000-0000-0000620A0000}"/>
    <cellStyle name="Normal 11 3 3 3 2 3" xfId="10302" xr:uid="{00000000-0005-0000-0000-0000630A0000}"/>
    <cellStyle name="Normal 11 3 3 3 3" xfId="4352" xr:uid="{00000000-0005-0000-0000-0000640A0000}"/>
    <cellStyle name="Normal 11 3 3 3 3 2" xfId="11581" xr:uid="{00000000-0005-0000-0000-0000650A0000}"/>
    <cellStyle name="Normal 11 3 3 3 4" xfId="8564" xr:uid="{00000000-0005-0000-0000-0000660A0000}"/>
    <cellStyle name="Normal 11 3 3 4" xfId="2206" xr:uid="{00000000-0005-0000-0000-0000670A0000}"/>
    <cellStyle name="Normal 11 3 3 4 2" xfId="4354" xr:uid="{00000000-0005-0000-0000-0000680A0000}"/>
    <cellStyle name="Normal 11 3 3 4 2 2" xfId="11583" xr:uid="{00000000-0005-0000-0000-0000690A0000}"/>
    <cellStyle name="Normal 11 3 3 4 3" xfId="9435" xr:uid="{00000000-0005-0000-0000-00006A0A0000}"/>
    <cellStyle name="Normal 11 3 3 5" xfId="4347" xr:uid="{00000000-0005-0000-0000-00006B0A0000}"/>
    <cellStyle name="Normal 11 3 3 5 2" xfId="11576" xr:uid="{00000000-0005-0000-0000-00006C0A0000}"/>
    <cellStyle name="Normal 11 3 3 6" xfId="7697" xr:uid="{00000000-0005-0000-0000-00006D0A0000}"/>
    <cellStyle name="Normal 11 3 4" xfId="674" xr:uid="{00000000-0005-0000-0000-00006E0A0000}"/>
    <cellStyle name="Normal 11 3 4 2" xfId="1547" xr:uid="{00000000-0005-0000-0000-00006F0A0000}"/>
    <cellStyle name="Normal 11 3 4 2 2" xfId="3286" xr:uid="{00000000-0005-0000-0000-0000700A0000}"/>
    <cellStyle name="Normal 11 3 4 2 2 2" xfId="4357" xr:uid="{00000000-0005-0000-0000-0000710A0000}"/>
    <cellStyle name="Normal 11 3 4 2 2 2 2" xfId="11586" xr:uid="{00000000-0005-0000-0000-0000720A0000}"/>
    <cellStyle name="Normal 11 3 4 2 2 3" xfId="10515" xr:uid="{00000000-0005-0000-0000-0000730A0000}"/>
    <cellStyle name="Normal 11 3 4 2 3" xfId="4356" xr:uid="{00000000-0005-0000-0000-0000740A0000}"/>
    <cellStyle name="Normal 11 3 4 2 3 2" xfId="11585" xr:uid="{00000000-0005-0000-0000-0000750A0000}"/>
    <cellStyle name="Normal 11 3 4 2 4" xfId="8777" xr:uid="{00000000-0005-0000-0000-0000760A0000}"/>
    <cellStyle name="Normal 11 3 4 3" xfId="2419" xr:uid="{00000000-0005-0000-0000-0000770A0000}"/>
    <cellStyle name="Normal 11 3 4 3 2" xfId="4358" xr:uid="{00000000-0005-0000-0000-0000780A0000}"/>
    <cellStyle name="Normal 11 3 4 3 2 2" xfId="11587" xr:uid="{00000000-0005-0000-0000-0000790A0000}"/>
    <cellStyle name="Normal 11 3 4 3 3" xfId="9648" xr:uid="{00000000-0005-0000-0000-00007A0A0000}"/>
    <cellStyle name="Normal 11 3 4 4" xfId="4355" xr:uid="{00000000-0005-0000-0000-00007B0A0000}"/>
    <cellStyle name="Normal 11 3 4 4 2" xfId="11584" xr:uid="{00000000-0005-0000-0000-00007C0A0000}"/>
    <cellStyle name="Normal 11 3 4 5" xfId="7910" xr:uid="{00000000-0005-0000-0000-00007D0A0000}"/>
    <cellStyle name="Normal 11 3 5" xfId="1116" xr:uid="{00000000-0005-0000-0000-00007E0A0000}"/>
    <cellStyle name="Normal 11 3 5 2" xfId="2855" xr:uid="{00000000-0005-0000-0000-00007F0A0000}"/>
    <cellStyle name="Normal 11 3 5 2 2" xfId="4360" xr:uid="{00000000-0005-0000-0000-0000800A0000}"/>
    <cellStyle name="Normal 11 3 5 2 2 2" xfId="11589" xr:uid="{00000000-0005-0000-0000-0000810A0000}"/>
    <cellStyle name="Normal 11 3 5 2 3" xfId="10084" xr:uid="{00000000-0005-0000-0000-0000820A0000}"/>
    <cellStyle name="Normal 11 3 5 3" xfId="4359" xr:uid="{00000000-0005-0000-0000-0000830A0000}"/>
    <cellStyle name="Normal 11 3 5 3 2" xfId="11588" xr:uid="{00000000-0005-0000-0000-0000840A0000}"/>
    <cellStyle name="Normal 11 3 5 4" xfId="8346" xr:uid="{00000000-0005-0000-0000-0000850A0000}"/>
    <cellStyle name="Normal 11 3 6" xfId="1988" xr:uid="{00000000-0005-0000-0000-0000860A0000}"/>
    <cellStyle name="Normal 11 3 6 2" xfId="4361" xr:uid="{00000000-0005-0000-0000-0000870A0000}"/>
    <cellStyle name="Normal 11 3 6 2 2" xfId="11590" xr:uid="{00000000-0005-0000-0000-0000880A0000}"/>
    <cellStyle name="Normal 11 3 6 3" xfId="9217" xr:uid="{00000000-0005-0000-0000-0000890A0000}"/>
    <cellStyle name="Normal 11 3 7" xfId="4330" xr:uid="{00000000-0005-0000-0000-00008A0A0000}"/>
    <cellStyle name="Normal 11 3 7 2" xfId="11559" xr:uid="{00000000-0005-0000-0000-00008B0A0000}"/>
    <cellStyle name="Normal 11 3 8" xfId="7479" xr:uid="{00000000-0005-0000-0000-00008C0A0000}"/>
    <cellStyle name="Normal 11 4" xfId="273" xr:uid="{00000000-0005-0000-0000-00008D0A0000}"/>
    <cellStyle name="Normal 11 4 2" xfId="499" xr:uid="{00000000-0005-0000-0000-00008E0A0000}"/>
    <cellStyle name="Normal 11 4 2 2" xfId="945" xr:uid="{00000000-0005-0000-0000-00008F0A0000}"/>
    <cellStyle name="Normal 11 4 2 2 2" xfId="1812" xr:uid="{00000000-0005-0000-0000-0000900A0000}"/>
    <cellStyle name="Normal 11 4 2 2 2 2" xfId="3551" xr:uid="{00000000-0005-0000-0000-0000910A0000}"/>
    <cellStyle name="Normal 11 4 2 2 2 2 2" xfId="4366" xr:uid="{00000000-0005-0000-0000-0000920A0000}"/>
    <cellStyle name="Normal 11 4 2 2 2 2 2 2" xfId="11595" xr:uid="{00000000-0005-0000-0000-0000930A0000}"/>
    <cellStyle name="Normal 11 4 2 2 2 2 3" xfId="10780" xr:uid="{00000000-0005-0000-0000-0000940A0000}"/>
    <cellStyle name="Normal 11 4 2 2 2 3" xfId="4365" xr:uid="{00000000-0005-0000-0000-0000950A0000}"/>
    <cellStyle name="Normal 11 4 2 2 2 3 2" xfId="11594" xr:uid="{00000000-0005-0000-0000-0000960A0000}"/>
    <cellStyle name="Normal 11 4 2 2 2 4" xfId="9042" xr:uid="{00000000-0005-0000-0000-0000970A0000}"/>
    <cellStyle name="Normal 11 4 2 2 3" xfId="2684" xr:uid="{00000000-0005-0000-0000-0000980A0000}"/>
    <cellStyle name="Normal 11 4 2 2 3 2" xfId="4367" xr:uid="{00000000-0005-0000-0000-0000990A0000}"/>
    <cellStyle name="Normal 11 4 2 2 3 2 2" xfId="11596" xr:uid="{00000000-0005-0000-0000-00009A0A0000}"/>
    <cellStyle name="Normal 11 4 2 2 3 3" xfId="9913" xr:uid="{00000000-0005-0000-0000-00009B0A0000}"/>
    <cellStyle name="Normal 11 4 2 2 4" xfId="4364" xr:uid="{00000000-0005-0000-0000-00009C0A0000}"/>
    <cellStyle name="Normal 11 4 2 2 4 2" xfId="11593" xr:uid="{00000000-0005-0000-0000-00009D0A0000}"/>
    <cellStyle name="Normal 11 4 2 2 5" xfId="8175" xr:uid="{00000000-0005-0000-0000-00009E0A0000}"/>
    <cellStyle name="Normal 11 4 2 3" xfId="1381" xr:uid="{00000000-0005-0000-0000-00009F0A0000}"/>
    <cellStyle name="Normal 11 4 2 3 2" xfId="3120" xr:uid="{00000000-0005-0000-0000-0000A00A0000}"/>
    <cellStyle name="Normal 11 4 2 3 2 2" xfId="4369" xr:uid="{00000000-0005-0000-0000-0000A10A0000}"/>
    <cellStyle name="Normal 11 4 2 3 2 2 2" xfId="11598" xr:uid="{00000000-0005-0000-0000-0000A20A0000}"/>
    <cellStyle name="Normal 11 4 2 3 2 3" xfId="10349" xr:uid="{00000000-0005-0000-0000-0000A30A0000}"/>
    <cellStyle name="Normal 11 4 2 3 3" xfId="4368" xr:uid="{00000000-0005-0000-0000-0000A40A0000}"/>
    <cellStyle name="Normal 11 4 2 3 3 2" xfId="11597" xr:uid="{00000000-0005-0000-0000-0000A50A0000}"/>
    <cellStyle name="Normal 11 4 2 3 4" xfId="8611" xr:uid="{00000000-0005-0000-0000-0000A60A0000}"/>
    <cellStyle name="Normal 11 4 2 4" xfId="2253" xr:uid="{00000000-0005-0000-0000-0000A70A0000}"/>
    <cellStyle name="Normal 11 4 2 4 2" xfId="4370" xr:uid="{00000000-0005-0000-0000-0000A80A0000}"/>
    <cellStyle name="Normal 11 4 2 4 2 2" xfId="11599" xr:uid="{00000000-0005-0000-0000-0000A90A0000}"/>
    <cellStyle name="Normal 11 4 2 4 3" xfId="9482" xr:uid="{00000000-0005-0000-0000-0000AA0A0000}"/>
    <cellStyle name="Normal 11 4 2 5" xfId="4363" xr:uid="{00000000-0005-0000-0000-0000AB0A0000}"/>
    <cellStyle name="Normal 11 4 2 5 2" xfId="11592" xr:uid="{00000000-0005-0000-0000-0000AC0A0000}"/>
    <cellStyle name="Normal 11 4 2 6" xfId="7744" xr:uid="{00000000-0005-0000-0000-0000AD0A0000}"/>
    <cellStyle name="Normal 11 4 3" xfId="721" xr:uid="{00000000-0005-0000-0000-0000AE0A0000}"/>
    <cellStyle name="Normal 11 4 3 2" xfId="1594" xr:uid="{00000000-0005-0000-0000-0000AF0A0000}"/>
    <cellStyle name="Normal 11 4 3 2 2" xfId="3333" xr:uid="{00000000-0005-0000-0000-0000B00A0000}"/>
    <cellStyle name="Normal 11 4 3 2 2 2" xfId="4373" xr:uid="{00000000-0005-0000-0000-0000B10A0000}"/>
    <cellStyle name="Normal 11 4 3 2 2 2 2" xfId="11602" xr:uid="{00000000-0005-0000-0000-0000B20A0000}"/>
    <cellStyle name="Normal 11 4 3 2 2 3" xfId="10562" xr:uid="{00000000-0005-0000-0000-0000B30A0000}"/>
    <cellStyle name="Normal 11 4 3 2 3" xfId="4372" xr:uid="{00000000-0005-0000-0000-0000B40A0000}"/>
    <cellStyle name="Normal 11 4 3 2 3 2" xfId="11601" xr:uid="{00000000-0005-0000-0000-0000B50A0000}"/>
    <cellStyle name="Normal 11 4 3 2 4" xfId="8824" xr:uid="{00000000-0005-0000-0000-0000B60A0000}"/>
    <cellStyle name="Normal 11 4 3 3" xfId="2466" xr:uid="{00000000-0005-0000-0000-0000B70A0000}"/>
    <cellStyle name="Normal 11 4 3 3 2" xfId="4374" xr:uid="{00000000-0005-0000-0000-0000B80A0000}"/>
    <cellStyle name="Normal 11 4 3 3 2 2" xfId="11603" xr:uid="{00000000-0005-0000-0000-0000B90A0000}"/>
    <cellStyle name="Normal 11 4 3 3 3" xfId="9695" xr:uid="{00000000-0005-0000-0000-0000BA0A0000}"/>
    <cellStyle name="Normal 11 4 3 4" xfId="4371" xr:uid="{00000000-0005-0000-0000-0000BB0A0000}"/>
    <cellStyle name="Normal 11 4 3 4 2" xfId="11600" xr:uid="{00000000-0005-0000-0000-0000BC0A0000}"/>
    <cellStyle name="Normal 11 4 3 5" xfId="7957" xr:uid="{00000000-0005-0000-0000-0000BD0A0000}"/>
    <cellStyle name="Normal 11 4 4" xfId="1163" xr:uid="{00000000-0005-0000-0000-0000BE0A0000}"/>
    <cellStyle name="Normal 11 4 4 2" xfId="2902" xr:uid="{00000000-0005-0000-0000-0000BF0A0000}"/>
    <cellStyle name="Normal 11 4 4 2 2" xfId="4376" xr:uid="{00000000-0005-0000-0000-0000C00A0000}"/>
    <cellStyle name="Normal 11 4 4 2 2 2" xfId="11605" xr:uid="{00000000-0005-0000-0000-0000C10A0000}"/>
    <cellStyle name="Normal 11 4 4 2 3" xfId="10131" xr:uid="{00000000-0005-0000-0000-0000C20A0000}"/>
    <cellStyle name="Normal 11 4 4 3" xfId="4375" xr:uid="{00000000-0005-0000-0000-0000C30A0000}"/>
    <cellStyle name="Normal 11 4 4 3 2" xfId="11604" xr:uid="{00000000-0005-0000-0000-0000C40A0000}"/>
    <cellStyle name="Normal 11 4 4 4" xfId="8393" xr:uid="{00000000-0005-0000-0000-0000C50A0000}"/>
    <cellStyle name="Normal 11 4 5" xfId="2035" xr:uid="{00000000-0005-0000-0000-0000C60A0000}"/>
    <cellStyle name="Normal 11 4 5 2" xfId="4377" xr:uid="{00000000-0005-0000-0000-0000C70A0000}"/>
    <cellStyle name="Normal 11 4 5 2 2" xfId="11606" xr:uid="{00000000-0005-0000-0000-0000C80A0000}"/>
    <cellStyle name="Normal 11 4 5 3" xfId="9264" xr:uid="{00000000-0005-0000-0000-0000C90A0000}"/>
    <cellStyle name="Normal 11 4 6" xfId="4362" xr:uid="{00000000-0005-0000-0000-0000CA0A0000}"/>
    <cellStyle name="Normal 11 4 6 2" xfId="11591" xr:uid="{00000000-0005-0000-0000-0000CB0A0000}"/>
    <cellStyle name="Normal 11 4 7" xfId="7526" xr:uid="{00000000-0005-0000-0000-0000CC0A0000}"/>
    <cellStyle name="Normal 11 5" xfId="397" xr:uid="{00000000-0005-0000-0000-0000CD0A0000}"/>
    <cellStyle name="Normal 11 5 2" xfId="843" xr:uid="{00000000-0005-0000-0000-0000CE0A0000}"/>
    <cellStyle name="Normal 11 5 2 2" xfId="1710" xr:uid="{00000000-0005-0000-0000-0000CF0A0000}"/>
    <cellStyle name="Normal 11 5 2 2 2" xfId="3449" xr:uid="{00000000-0005-0000-0000-0000D00A0000}"/>
    <cellStyle name="Normal 11 5 2 2 2 2" xfId="4381" xr:uid="{00000000-0005-0000-0000-0000D10A0000}"/>
    <cellStyle name="Normal 11 5 2 2 2 2 2" xfId="11610" xr:uid="{00000000-0005-0000-0000-0000D20A0000}"/>
    <cellStyle name="Normal 11 5 2 2 2 3" xfId="10678" xr:uid="{00000000-0005-0000-0000-0000D30A0000}"/>
    <cellStyle name="Normal 11 5 2 2 3" xfId="4380" xr:uid="{00000000-0005-0000-0000-0000D40A0000}"/>
    <cellStyle name="Normal 11 5 2 2 3 2" xfId="11609" xr:uid="{00000000-0005-0000-0000-0000D50A0000}"/>
    <cellStyle name="Normal 11 5 2 2 4" xfId="8940" xr:uid="{00000000-0005-0000-0000-0000D60A0000}"/>
    <cellStyle name="Normal 11 5 2 3" xfId="2582" xr:uid="{00000000-0005-0000-0000-0000D70A0000}"/>
    <cellStyle name="Normal 11 5 2 3 2" xfId="4382" xr:uid="{00000000-0005-0000-0000-0000D80A0000}"/>
    <cellStyle name="Normal 11 5 2 3 2 2" xfId="11611" xr:uid="{00000000-0005-0000-0000-0000D90A0000}"/>
    <cellStyle name="Normal 11 5 2 3 3" xfId="9811" xr:uid="{00000000-0005-0000-0000-0000DA0A0000}"/>
    <cellStyle name="Normal 11 5 2 4" xfId="4379" xr:uid="{00000000-0005-0000-0000-0000DB0A0000}"/>
    <cellStyle name="Normal 11 5 2 4 2" xfId="11608" xr:uid="{00000000-0005-0000-0000-0000DC0A0000}"/>
    <cellStyle name="Normal 11 5 2 5" xfId="8073" xr:uid="{00000000-0005-0000-0000-0000DD0A0000}"/>
    <cellStyle name="Normal 11 5 3" xfId="1279" xr:uid="{00000000-0005-0000-0000-0000DE0A0000}"/>
    <cellStyle name="Normal 11 5 3 2" xfId="3018" xr:uid="{00000000-0005-0000-0000-0000DF0A0000}"/>
    <cellStyle name="Normal 11 5 3 2 2" xfId="4384" xr:uid="{00000000-0005-0000-0000-0000E00A0000}"/>
    <cellStyle name="Normal 11 5 3 2 2 2" xfId="11613" xr:uid="{00000000-0005-0000-0000-0000E10A0000}"/>
    <cellStyle name="Normal 11 5 3 2 3" xfId="10247" xr:uid="{00000000-0005-0000-0000-0000E20A0000}"/>
    <cellStyle name="Normal 11 5 3 3" xfId="4383" xr:uid="{00000000-0005-0000-0000-0000E30A0000}"/>
    <cellStyle name="Normal 11 5 3 3 2" xfId="11612" xr:uid="{00000000-0005-0000-0000-0000E40A0000}"/>
    <cellStyle name="Normal 11 5 3 4" xfId="8509" xr:uid="{00000000-0005-0000-0000-0000E50A0000}"/>
    <cellStyle name="Normal 11 5 4" xfId="2151" xr:uid="{00000000-0005-0000-0000-0000E60A0000}"/>
    <cellStyle name="Normal 11 5 4 2" xfId="4385" xr:uid="{00000000-0005-0000-0000-0000E70A0000}"/>
    <cellStyle name="Normal 11 5 4 2 2" xfId="11614" xr:uid="{00000000-0005-0000-0000-0000E80A0000}"/>
    <cellStyle name="Normal 11 5 4 3" xfId="9380" xr:uid="{00000000-0005-0000-0000-0000E90A0000}"/>
    <cellStyle name="Normal 11 5 5" xfId="4378" xr:uid="{00000000-0005-0000-0000-0000EA0A0000}"/>
    <cellStyle name="Normal 11 5 5 2" xfId="11607" xr:uid="{00000000-0005-0000-0000-0000EB0A0000}"/>
    <cellStyle name="Normal 11 5 6" xfId="7642" xr:uid="{00000000-0005-0000-0000-0000EC0A0000}"/>
    <cellStyle name="Normal 11 6" xfId="615" xr:uid="{00000000-0005-0000-0000-0000ED0A0000}"/>
    <cellStyle name="Normal 11 6 2" xfId="1492" xr:uid="{00000000-0005-0000-0000-0000EE0A0000}"/>
    <cellStyle name="Normal 11 6 2 2" xfId="3231" xr:uid="{00000000-0005-0000-0000-0000EF0A0000}"/>
    <cellStyle name="Normal 11 6 2 2 2" xfId="4388" xr:uid="{00000000-0005-0000-0000-0000F00A0000}"/>
    <cellStyle name="Normal 11 6 2 2 2 2" xfId="11617" xr:uid="{00000000-0005-0000-0000-0000F10A0000}"/>
    <cellStyle name="Normal 11 6 2 2 3" xfId="10460" xr:uid="{00000000-0005-0000-0000-0000F20A0000}"/>
    <cellStyle name="Normal 11 6 2 3" xfId="4387" xr:uid="{00000000-0005-0000-0000-0000F30A0000}"/>
    <cellStyle name="Normal 11 6 2 3 2" xfId="11616" xr:uid="{00000000-0005-0000-0000-0000F40A0000}"/>
    <cellStyle name="Normal 11 6 2 4" xfId="8722" xr:uid="{00000000-0005-0000-0000-0000F50A0000}"/>
    <cellStyle name="Normal 11 6 3" xfId="2364" xr:uid="{00000000-0005-0000-0000-0000F60A0000}"/>
    <cellStyle name="Normal 11 6 3 2" xfId="4389" xr:uid="{00000000-0005-0000-0000-0000F70A0000}"/>
    <cellStyle name="Normal 11 6 3 2 2" xfId="11618" xr:uid="{00000000-0005-0000-0000-0000F80A0000}"/>
    <cellStyle name="Normal 11 6 3 3" xfId="9593" xr:uid="{00000000-0005-0000-0000-0000F90A0000}"/>
    <cellStyle name="Normal 11 6 4" xfId="4386" xr:uid="{00000000-0005-0000-0000-0000FA0A0000}"/>
    <cellStyle name="Normal 11 6 4 2" xfId="11615" xr:uid="{00000000-0005-0000-0000-0000FB0A0000}"/>
    <cellStyle name="Normal 11 6 5" xfId="7855" xr:uid="{00000000-0005-0000-0000-0000FC0A0000}"/>
    <cellStyle name="Normal 11 7" xfId="1061" xr:uid="{00000000-0005-0000-0000-0000FD0A0000}"/>
    <cellStyle name="Normal 11 7 2" xfId="2800" xr:uid="{00000000-0005-0000-0000-0000FE0A0000}"/>
    <cellStyle name="Normal 11 7 2 2" xfId="4391" xr:uid="{00000000-0005-0000-0000-0000FF0A0000}"/>
    <cellStyle name="Normal 11 7 2 2 2" xfId="11620" xr:uid="{00000000-0005-0000-0000-0000000B0000}"/>
    <cellStyle name="Normal 11 7 2 3" xfId="10029" xr:uid="{00000000-0005-0000-0000-0000010B0000}"/>
    <cellStyle name="Normal 11 7 3" xfId="4390" xr:uid="{00000000-0005-0000-0000-0000020B0000}"/>
    <cellStyle name="Normal 11 7 3 2" xfId="11619" xr:uid="{00000000-0005-0000-0000-0000030B0000}"/>
    <cellStyle name="Normal 11 7 4" xfId="8291" xr:uid="{00000000-0005-0000-0000-0000040B0000}"/>
    <cellStyle name="Normal 11 8" xfId="1933" xr:uid="{00000000-0005-0000-0000-0000050B0000}"/>
    <cellStyle name="Normal 11 8 2" xfId="4392" xr:uid="{00000000-0005-0000-0000-0000060B0000}"/>
    <cellStyle name="Normal 11 8 2 2" xfId="11621" xr:uid="{00000000-0005-0000-0000-0000070B0000}"/>
    <cellStyle name="Normal 11 8 3" xfId="9162" xr:uid="{00000000-0005-0000-0000-0000080B0000}"/>
    <cellStyle name="Normal 11 9" xfId="4265" xr:uid="{00000000-0005-0000-0000-0000090B0000}"/>
    <cellStyle name="Normal 11 9 2" xfId="11494" xr:uid="{00000000-0005-0000-0000-00000A0B0000}"/>
    <cellStyle name="Normal 12" xfId="51" xr:uid="{00000000-0005-0000-0000-00000B0B0000}"/>
    <cellStyle name="Normal 12 10" xfId="7429" xr:uid="{00000000-0005-0000-0000-00000C0B0000}"/>
    <cellStyle name="Normal 12 2" xfId="106" xr:uid="{00000000-0005-0000-0000-00000D0B0000}"/>
    <cellStyle name="Normal 12 2 2" xfId="201" xr:uid="{00000000-0005-0000-0000-00000E0B0000}"/>
    <cellStyle name="Normal 12 2 2 2" xfId="329" xr:uid="{00000000-0005-0000-0000-00000F0B0000}"/>
    <cellStyle name="Normal 12 2 2 2 2" xfId="555" xr:uid="{00000000-0005-0000-0000-0000100B0000}"/>
    <cellStyle name="Normal 12 2 2 2 2 2" xfId="1001" xr:uid="{00000000-0005-0000-0000-0000110B0000}"/>
    <cellStyle name="Normal 12 2 2 2 2 2 2" xfId="1868" xr:uid="{00000000-0005-0000-0000-0000120B0000}"/>
    <cellStyle name="Normal 12 2 2 2 2 2 2 2" xfId="3607" xr:uid="{00000000-0005-0000-0000-0000130B0000}"/>
    <cellStyle name="Normal 12 2 2 2 2 2 2 2 2" xfId="4400" xr:uid="{00000000-0005-0000-0000-0000140B0000}"/>
    <cellStyle name="Normal 12 2 2 2 2 2 2 2 2 2" xfId="11629" xr:uid="{00000000-0005-0000-0000-0000150B0000}"/>
    <cellStyle name="Normal 12 2 2 2 2 2 2 2 3" xfId="10836" xr:uid="{00000000-0005-0000-0000-0000160B0000}"/>
    <cellStyle name="Normal 12 2 2 2 2 2 2 3" xfId="4399" xr:uid="{00000000-0005-0000-0000-0000170B0000}"/>
    <cellStyle name="Normal 12 2 2 2 2 2 2 3 2" xfId="11628" xr:uid="{00000000-0005-0000-0000-0000180B0000}"/>
    <cellStyle name="Normal 12 2 2 2 2 2 2 4" xfId="9098" xr:uid="{00000000-0005-0000-0000-0000190B0000}"/>
    <cellStyle name="Normal 12 2 2 2 2 2 3" xfId="2740" xr:uid="{00000000-0005-0000-0000-00001A0B0000}"/>
    <cellStyle name="Normal 12 2 2 2 2 2 3 2" xfId="4401" xr:uid="{00000000-0005-0000-0000-00001B0B0000}"/>
    <cellStyle name="Normal 12 2 2 2 2 2 3 2 2" xfId="11630" xr:uid="{00000000-0005-0000-0000-00001C0B0000}"/>
    <cellStyle name="Normal 12 2 2 2 2 2 3 3" xfId="9969" xr:uid="{00000000-0005-0000-0000-00001D0B0000}"/>
    <cellStyle name="Normal 12 2 2 2 2 2 4" xfId="4398" xr:uid="{00000000-0005-0000-0000-00001E0B0000}"/>
    <cellStyle name="Normal 12 2 2 2 2 2 4 2" xfId="11627" xr:uid="{00000000-0005-0000-0000-00001F0B0000}"/>
    <cellStyle name="Normal 12 2 2 2 2 2 5" xfId="8231" xr:uid="{00000000-0005-0000-0000-0000200B0000}"/>
    <cellStyle name="Normal 12 2 2 2 2 3" xfId="1437" xr:uid="{00000000-0005-0000-0000-0000210B0000}"/>
    <cellStyle name="Normal 12 2 2 2 2 3 2" xfId="3176" xr:uid="{00000000-0005-0000-0000-0000220B0000}"/>
    <cellStyle name="Normal 12 2 2 2 2 3 2 2" xfId="4403" xr:uid="{00000000-0005-0000-0000-0000230B0000}"/>
    <cellStyle name="Normal 12 2 2 2 2 3 2 2 2" xfId="11632" xr:uid="{00000000-0005-0000-0000-0000240B0000}"/>
    <cellStyle name="Normal 12 2 2 2 2 3 2 3" xfId="10405" xr:uid="{00000000-0005-0000-0000-0000250B0000}"/>
    <cellStyle name="Normal 12 2 2 2 2 3 3" xfId="4402" xr:uid="{00000000-0005-0000-0000-0000260B0000}"/>
    <cellStyle name="Normal 12 2 2 2 2 3 3 2" xfId="11631" xr:uid="{00000000-0005-0000-0000-0000270B0000}"/>
    <cellStyle name="Normal 12 2 2 2 2 3 4" xfId="8667" xr:uid="{00000000-0005-0000-0000-0000280B0000}"/>
    <cellStyle name="Normal 12 2 2 2 2 4" xfId="2309" xr:uid="{00000000-0005-0000-0000-0000290B0000}"/>
    <cellStyle name="Normal 12 2 2 2 2 4 2" xfId="4404" xr:uid="{00000000-0005-0000-0000-00002A0B0000}"/>
    <cellStyle name="Normal 12 2 2 2 2 4 2 2" xfId="11633" xr:uid="{00000000-0005-0000-0000-00002B0B0000}"/>
    <cellStyle name="Normal 12 2 2 2 2 4 3" xfId="9538" xr:uid="{00000000-0005-0000-0000-00002C0B0000}"/>
    <cellStyle name="Normal 12 2 2 2 2 5" xfId="4397" xr:uid="{00000000-0005-0000-0000-00002D0B0000}"/>
    <cellStyle name="Normal 12 2 2 2 2 5 2" xfId="11626" xr:uid="{00000000-0005-0000-0000-00002E0B0000}"/>
    <cellStyle name="Normal 12 2 2 2 2 6" xfId="7800" xr:uid="{00000000-0005-0000-0000-00002F0B0000}"/>
    <cellStyle name="Normal 12 2 2 2 3" xfId="777" xr:uid="{00000000-0005-0000-0000-0000300B0000}"/>
    <cellStyle name="Normal 12 2 2 2 3 2" xfId="1650" xr:uid="{00000000-0005-0000-0000-0000310B0000}"/>
    <cellStyle name="Normal 12 2 2 2 3 2 2" xfId="3389" xr:uid="{00000000-0005-0000-0000-0000320B0000}"/>
    <cellStyle name="Normal 12 2 2 2 3 2 2 2" xfId="4407" xr:uid="{00000000-0005-0000-0000-0000330B0000}"/>
    <cellStyle name="Normal 12 2 2 2 3 2 2 2 2" xfId="11636" xr:uid="{00000000-0005-0000-0000-0000340B0000}"/>
    <cellStyle name="Normal 12 2 2 2 3 2 2 3" xfId="10618" xr:uid="{00000000-0005-0000-0000-0000350B0000}"/>
    <cellStyle name="Normal 12 2 2 2 3 2 3" xfId="4406" xr:uid="{00000000-0005-0000-0000-0000360B0000}"/>
    <cellStyle name="Normal 12 2 2 2 3 2 3 2" xfId="11635" xr:uid="{00000000-0005-0000-0000-0000370B0000}"/>
    <cellStyle name="Normal 12 2 2 2 3 2 4" xfId="8880" xr:uid="{00000000-0005-0000-0000-0000380B0000}"/>
    <cellStyle name="Normal 12 2 2 2 3 3" xfId="2522" xr:uid="{00000000-0005-0000-0000-0000390B0000}"/>
    <cellStyle name="Normal 12 2 2 2 3 3 2" xfId="4408" xr:uid="{00000000-0005-0000-0000-00003A0B0000}"/>
    <cellStyle name="Normal 12 2 2 2 3 3 2 2" xfId="11637" xr:uid="{00000000-0005-0000-0000-00003B0B0000}"/>
    <cellStyle name="Normal 12 2 2 2 3 3 3" xfId="9751" xr:uid="{00000000-0005-0000-0000-00003C0B0000}"/>
    <cellStyle name="Normal 12 2 2 2 3 4" xfId="4405" xr:uid="{00000000-0005-0000-0000-00003D0B0000}"/>
    <cellStyle name="Normal 12 2 2 2 3 4 2" xfId="11634" xr:uid="{00000000-0005-0000-0000-00003E0B0000}"/>
    <cellStyle name="Normal 12 2 2 2 3 5" xfId="8013" xr:uid="{00000000-0005-0000-0000-00003F0B0000}"/>
    <cellStyle name="Normal 12 2 2 2 4" xfId="1219" xr:uid="{00000000-0005-0000-0000-0000400B0000}"/>
    <cellStyle name="Normal 12 2 2 2 4 2" xfId="2958" xr:uid="{00000000-0005-0000-0000-0000410B0000}"/>
    <cellStyle name="Normal 12 2 2 2 4 2 2" xfId="4410" xr:uid="{00000000-0005-0000-0000-0000420B0000}"/>
    <cellStyle name="Normal 12 2 2 2 4 2 2 2" xfId="11639" xr:uid="{00000000-0005-0000-0000-0000430B0000}"/>
    <cellStyle name="Normal 12 2 2 2 4 2 3" xfId="10187" xr:uid="{00000000-0005-0000-0000-0000440B0000}"/>
    <cellStyle name="Normal 12 2 2 2 4 3" xfId="4409" xr:uid="{00000000-0005-0000-0000-0000450B0000}"/>
    <cellStyle name="Normal 12 2 2 2 4 3 2" xfId="11638" xr:uid="{00000000-0005-0000-0000-0000460B0000}"/>
    <cellStyle name="Normal 12 2 2 2 4 4" xfId="8449" xr:uid="{00000000-0005-0000-0000-0000470B0000}"/>
    <cellStyle name="Normal 12 2 2 2 5" xfId="2091" xr:uid="{00000000-0005-0000-0000-0000480B0000}"/>
    <cellStyle name="Normal 12 2 2 2 5 2" xfId="4411" xr:uid="{00000000-0005-0000-0000-0000490B0000}"/>
    <cellStyle name="Normal 12 2 2 2 5 2 2" xfId="11640" xr:uid="{00000000-0005-0000-0000-00004A0B0000}"/>
    <cellStyle name="Normal 12 2 2 2 5 3" xfId="9320" xr:uid="{00000000-0005-0000-0000-00004B0B0000}"/>
    <cellStyle name="Normal 12 2 2 2 6" xfId="4396" xr:uid="{00000000-0005-0000-0000-00004C0B0000}"/>
    <cellStyle name="Normal 12 2 2 2 6 2" xfId="11625" xr:uid="{00000000-0005-0000-0000-00004D0B0000}"/>
    <cellStyle name="Normal 12 2 2 2 7" xfId="7582" xr:uid="{00000000-0005-0000-0000-00004E0B0000}"/>
    <cellStyle name="Normal 12 2 2 3" xfId="453" xr:uid="{00000000-0005-0000-0000-00004F0B0000}"/>
    <cellStyle name="Normal 12 2 2 3 2" xfId="899" xr:uid="{00000000-0005-0000-0000-0000500B0000}"/>
    <cellStyle name="Normal 12 2 2 3 2 2" xfId="1766" xr:uid="{00000000-0005-0000-0000-0000510B0000}"/>
    <cellStyle name="Normal 12 2 2 3 2 2 2" xfId="3505" xr:uid="{00000000-0005-0000-0000-0000520B0000}"/>
    <cellStyle name="Normal 12 2 2 3 2 2 2 2" xfId="4415" xr:uid="{00000000-0005-0000-0000-0000530B0000}"/>
    <cellStyle name="Normal 12 2 2 3 2 2 2 2 2" xfId="11644" xr:uid="{00000000-0005-0000-0000-0000540B0000}"/>
    <cellStyle name="Normal 12 2 2 3 2 2 2 3" xfId="10734" xr:uid="{00000000-0005-0000-0000-0000550B0000}"/>
    <cellStyle name="Normal 12 2 2 3 2 2 3" xfId="4414" xr:uid="{00000000-0005-0000-0000-0000560B0000}"/>
    <cellStyle name="Normal 12 2 2 3 2 2 3 2" xfId="11643" xr:uid="{00000000-0005-0000-0000-0000570B0000}"/>
    <cellStyle name="Normal 12 2 2 3 2 2 4" xfId="8996" xr:uid="{00000000-0005-0000-0000-0000580B0000}"/>
    <cellStyle name="Normal 12 2 2 3 2 3" xfId="2638" xr:uid="{00000000-0005-0000-0000-0000590B0000}"/>
    <cellStyle name="Normal 12 2 2 3 2 3 2" xfId="4416" xr:uid="{00000000-0005-0000-0000-00005A0B0000}"/>
    <cellStyle name="Normal 12 2 2 3 2 3 2 2" xfId="11645" xr:uid="{00000000-0005-0000-0000-00005B0B0000}"/>
    <cellStyle name="Normal 12 2 2 3 2 3 3" xfId="9867" xr:uid="{00000000-0005-0000-0000-00005C0B0000}"/>
    <cellStyle name="Normal 12 2 2 3 2 4" xfId="4413" xr:uid="{00000000-0005-0000-0000-00005D0B0000}"/>
    <cellStyle name="Normal 12 2 2 3 2 4 2" xfId="11642" xr:uid="{00000000-0005-0000-0000-00005E0B0000}"/>
    <cellStyle name="Normal 12 2 2 3 2 5" xfId="8129" xr:uid="{00000000-0005-0000-0000-00005F0B0000}"/>
    <cellStyle name="Normal 12 2 2 3 3" xfId="1335" xr:uid="{00000000-0005-0000-0000-0000600B0000}"/>
    <cellStyle name="Normal 12 2 2 3 3 2" xfId="3074" xr:uid="{00000000-0005-0000-0000-0000610B0000}"/>
    <cellStyle name="Normal 12 2 2 3 3 2 2" xfId="4418" xr:uid="{00000000-0005-0000-0000-0000620B0000}"/>
    <cellStyle name="Normal 12 2 2 3 3 2 2 2" xfId="11647" xr:uid="{00000000-0005-0000-0000-0000630B0000}"/>
    <cellStyle name="Normal 12 2 2 3 3 2 3" xfId="10303" xr:uid="{00000000-0005-0000-0000-0000640B0000}"/>
    <cellStyle name="Normal 12 2 2 3 3 3" xfId="4417" xr:uid="{00000000-0005-0000-0000-0000650B0000}"/>
    <cellStyle name="Normal 12 2 2 3 3 3 2" xfId="11646" xr:uid="{00000000-0005-0000-0000-0000660B0000}"/>
    <cellStyle name="Normal 12 2 2 3 3 4" xfId="8565" xr:uid="{00000000-0005-0000-0000-0000670B0000}"/>
    <cellStyle name="Normal 12 2 2 3 4" xfId="2207" xr:uid="{00000000-0005-0000-0000-0000680B0000}"/>
    <cellStyle name="Normal 12 2 2 3 4 2" xfId="4419" xr:uid="{00000000-0005-0000-0000-0000690B0000}"/>
    <cellStyle name="Normal 12 2 2 3 4 2 2" xfId="11648" xr:uid="{00000000-0005-0000-0000-00006A0B0000}"/>
    <cellStyle name="Normal 12 2 2 3 4 3" xfId="9436" xr:uid="{00000000-0005-0000-0000-00006B0B0000}"/>
    <cellStyle name="Normal 12 2 2 3 5" xfId="4412" xr:uid="{00000000-0005-0000-0000-00006C0B0000}"/>
    <cellStyle name="Normal 12 2 2 3 5 2" xfId="11641" xr:uid="{00000000-0005-0000-0000-00006D0B0000}"/>
    <cellStyle name="Normal 12 2 2 3 6" xfId="7698" xr:uid="{00000000-0005-0000-0000-00006E0B0000}"/>
    <cellStyle name="Normal 12 2 2 4" xfId="675" xr:uid="{00000000-0005-0000-0000-00006F0B0000}"/>
    <cellStyle name="Normal 12 2 2 4 2" xfId="1548" xr:uid="{00000000-0005-0000-0000-0000700B0000}"/>
    <cellStyle name="Normal 12 2 2 4 2 2" xfId="3287" xr:uid="{00000000-0005-0000-0000-0000710B0000}"/>
    <cellStyle name="Normal 12 2 2 4 2 2 2" xfId="4422" xr:uid="{00000000-0005-0000-0000-0000720B0000}"/>
    <cellStyle name="Normal 12 2 2 4 2 2 2 2" xfId="11651" xr:uid="{00000000-0005-0000-0000-0000730B0000}"/>
    <cellStyle name="Normal 12 2 2 4 2 2 3" xfId="10516" xr:uid="{00000000-0005-0000-0000-0000740B0000}"/>
    <cellStyle name="Normal 12 2 2 4 2 3" xfId="4421" xr:uid="{00000000-0005-0000-0000-0000750B0000}"/>
    <cellStyle name="Normal 12 2 2 4 2 3 2" xfId="11650" xr:uid="{00000000-0005-0000-0000-0000760B0000}"/>
    <cellStyle name="Normal 12 2 2 4 2 4" xfId="8778" xr:uid="{00000000-0005-0000-0000-0000770B0000}"/>
    <cellStyle name="Normal 12 2 2 4 3" xfId="2420" xr:uid="{00000000-0005-0000-0000-0000780B0000}"/>
    <cellStyle name="Normal 12 2 2 4 3 2" xfId="4423" xr:uid="{00000000-0005-0000-0000-0000790B0000}"/>
    <cellStyle name="Normal 12 2 2 4 3 2 2" xfId="11652" xr:uid="{00000000-0005-0000-0000-00007A0B0000}"/>
    <cellStyle name="Normal 12 2 2 4 3 3" xfId="9649" xr:uid="{00000000-0005-0000-0000-00007B0B0000}"/>
    <cellStyle name="Normal 12 2 2 4 4" xfId="4420" xr:uid="{00000000-0005-0000-0000-00007C0B0000}"/>
    <cellStyle name="Normal 12 2 2 4 4 2" xfId="11649" xr:uid="{00000000-0005-0000-0000-00007D0B0000}"/>
    <cellStyle name="Normal 12 2 2 4 5" xfId="7911" xr:uid="{00000000-0005-0000-0000-00007E0B0000}"/>
    <cellStyle name="Normal 12 2 2 5" xfId="1117" xr:uid="{00000000-0005-0000-0000-00007F0B0000}"/>
    <cellStyle name="Normal 12 2 2 5 2" xfId="2856" xr:uid="{00000000-0005-0000-0000-0000800B0000}"/>
    <cellStyle name="Normal 12 2 2 5 2 2" xfId="4425" xr:uid="{00000000-0005-0000-0000-0000810B0000}"/>
    <cellStyle name="Normal 12 2 2 5 2 2 2" xfId="11654" xr:uid="{00000000-0005-0000-0000-0000820B0000}"/>
    <cellStyle name="Normal 12 2 2 5 2 3" xfId="10085" xr:uid="{00000000-0005-0000-0000-0000830B0000}"/>
    <cellStyle name="Normal 12 2 2 5 3" xfId="4424" xr:uid="{00000000-0005-0000-0000-0000840B0000}"/>
    <cellStyle name="Normal 12 2 2 5 3 2" xfId="11653" xr:uid="{00000000-0005-0000-0000-0000850B0000}"/>
    <cellStyle name="Normal 12 2 2 5 4" xfId="8347" xr:uid="{00000000-0005-0000-0000-0000860B0000}"/>
    <cellStyle name="Normal 12 2 2 6" xfId="1989" xr:uid="{00000000-0005-0000-0000-0000870B0000}"/>
    <cellStyle name="Normal 12 2 2 6 2" xfId="4426" xr:uid="{00000000-0005-0000-0000-0000880B0000}"/>
    <cellStyle name="Normal 12 2 2 6 2 2" xfId="11655" xr:uid="{00000000-0005-0000-0000-0000890B0000}"/>
    <cellStyle name="Normal 12 2 2 6 3" xfId="9218" xr:uid="{00000000-0005-0000-0000-00008A0B0000}"/>
    <cellStyle name="Normal 12 2 2 7" xfId="4395" xr:uid="{00000000-0005-0000-0000-00008B0B0000}"/>
    <cellStyle name="Normal 12 2 2 7 2" xfId="11624" xr:uid="{00000000-0005-0000-0000-00008C0B0000}"/>
    <cellStyle name="Normal 12 2 2 8" xfId="7480" xr:uid="{00000000-0005-0000-0000-00008D0B0000}"/>
    <cellStyle name="Normal 12 2 3" xfId="313" xr:uid="{00000000-0005-0000-0000-00008E0B0000}"/>
    <cellStyle name="Normal 12 2 3 2" xfId="539" xr:uid="{00000000-0005-0000-0000-00008F0B0000}"/>
    <cellStyle name="Normal 12 2 3 2 2" xfId="985" xr:uid="{00000000-0005-0000-0000-0000900B0000}"/>
    <cellStyle name="Normal 12 2 3 2 2 2" xfId="1852" xr:uid="{00000000-0005-0000-0000-0000910B0000}"/>
    <cellStyle name="Normal 12 2 3 2 2 2 2" xfId="3591" xr:uid="{00000000-0005-0000-0000-0000920B0000}"/>
    <cellStyle name="Normal 12 2 3 2 2 2 2 2" xfId="4431" xr:uid="{00000000-0005-0000-0000-0000930B0000}"/>
    <cellStyle name="Normal 12 2 3 2 2 2 2 2 2" xfId="11660" xr:uid="{00000000-0005-0000-0000-0000940B0000}"/>
    <cellStyle name="Normal 12 2 3 2 2 2 2 3" xfId="10820" xr:uid="{00000000-0005-0000-0000-0000950B0000}"/>
    <cellStyle name="Normal 12 2 3 2 2 2 3" xfId="4430" xr:uid="{00000000-0005-0000-0000-0000960B0000}"/>
    <cellStyle name="Normal 12 2 3 2 2 2 3 2" xfId="11659" xr:uid="{00000000-0005-0000-0000-0000970B0000}"/>
    <cellStyle name="Normal 12 2 3 2 2 2 4" xfId="9082" xr:uid="{00000000-0005-0000-0000-0000980B0000}"/>
    <cellStyle name="Normal 12 2 3 2 2 3" xfId="2724" xr:uid="{00000000-0005-0000-0000-0000990B0000}"/>
    <cellStyle name="Normal 12 2 3 2 2 3 2" xfId="4432" xr:uid="{00000000-0005-0000-0000-00009A0B0000}"/>
    <cellStyle name="Normal 12 2 3 2 2 3 2 2" xfId="11661" xr:uid="{00000000-0005-0000-0000-00009B0B0000}"/>
    <cellStyle name="Normal 12 2 3 2 2 3 3" xfId="9953" xr:uid="{00000000-0005-0000-0000-00009C0B0000}"/>
    <cellStyle name="Normal 12 2 3 2 2 4" xfId="4429" xr:uid="{00000000-0005-0000-0000-00009D0B0000}"/>
    <cellStyle name="Normal 12 2 3 2 2 4 2" xfId="11658" xr:uid="{00000000-0005-0000-0000-00009E0B0000}"/>
    <cellStyle name="Normal 12 2 3 2 2 5" xfId="8215" xr:uid="{00000000-0005-0000-0000-00009F0B0000}"/>
    <cellStyle name="Normal 12 2 3 2 3" xfId="1421" xr:uid="{00000000-0005-0000-0000-0000A00B0000}"/>
    <cellStyle name="Normal 12 2 3 2 3 2" xfId="3160" xr:uid="{00000000-0005-0000-0000-0000A10B0000}"/>
    <cellStyle name="Normal 12 2 3 2 3 2 2" xfId="4434" xr:uid="{00000000-0005-0000-0000-0000A20B0000}"/>
    <cellStyle name="Normal 12 2 3 2 3 2 2 2" xfId="11663" xr:uid="{00000000-0005-0000-0000-0000A30B0000}"/>
    <cellStyle name="Normal 12 2 3 2 3 2 3" xfId="10389" xr:uid="{00000000-0005-0000-0000-0000A40B0000}"/>
    <cellStyle name="Normal 12 2 3 2 3 3" xfId="4433" xr:uid="{00000000-0005-0000-0000-0000A50B0000}"/>
    <cellStyle name="Normal 12 2 3 2 3 3 2" xfId="11662" xr:uid="{00000000-0005-0000-0000-0000A60B0000}"/>
    <cellStyle name="Normal 12 2 3 2 3 4" xfId="8651" xr:uid="{00000000-0005-0000-0000-0000A70B0000}"/>
    <cellStyle name="Normal 12 2 3 2 4" xfId="2293" xr:uid="{00000000-0005-0000-0000-0000A80B0000}"/>
    <cellStyle name="Normal 12 2 3 2 4 2" xfId="4435" xr:uid="{00000000-0005-0000-0000-0000A90B0000}"/>
    <cellStyle name="Normal 12 2 3 2 4 2 2" xfId="11664" xr:uid="{00000000-0005-0000-0000-0000AA0B0000}"/>
    <cellStyle name="Normal 12 2 3 2 4 3" xfId="9522" xr:uid="{00000000-0005-0000-0000-0000AB0B0000}"/>
    <cellStyle name="Normal 12 2 3 2 5" xfId="4428" xr:uid="{00000000-0005-0000-0000-0000AC0B0000}"/>
    <cellStyle name="Normal 12 2 3 2 5 2" xfId="11657" xr:uid="{00000000-0005-0000-0000-0000AD0B0000}"/>
    <cellStyle name="Normal 12 2 3 2 6" xfId="7784" xr:uid="{00000000-0005-0000-0000-0000AE0B0000}"/>
    <cellStyle name="Normal 12 2 3 3" xfId="761" xr:uid="{00000000-0005-0000-0000-0000AF0B0000}"/>
    <cellStyle name="Normal 12 2 3 3 2" xfId="1634" xr:uid="{00000000-0005-0000-0000-0000B00B0000}"/>
    <cellStyle name="Normal 12 2 3 3 2 2" xfId="3373" xr:uid="{00000000-0005-0000-0000-0000B10B0000}"/>
    <cellStyle name="Normal 12 2 3 3 2 2 2" xfId="4438" xr:uid="{00000000-0005-0000-0000-0000B20B0000}"/>
    <cellStyle name="Normal 12 2 3 3 2 2 2 2" xfId="11667" xr:uid="{00000000-0005-0000-0000-0000B30B0000}"/>
    <cellStyle name="Normal 12 2 3 3 2 2 3" xfId="10602" xr:uid="{00000000-0005-0000-0000-0000B40B0000}"/>
    <cellStyle name="Normal 12 2 3 3 2 3" xfId="4437" xr:uid="{00000000-0005-0000-0000-0000B50B0000}"/>
    <cellStyle name="Normal 12 2 3 3 2 3 2" xfId="11666" xr:uid="{00000000-0005-0000-0000-0000B60B0000}"/>
    <cellStyle name="Normal 12 2 3 3 2 4" xfId="8864" xr:uid="{00000000-0005-0000-0000-0000B70B0000}"/>
    <cellStyle name="Normal 12 2 3 3 3" xfId="2506" xr:uid="{00000000-0005-0000-0000-0000B80B0000}"/>
    <cellStyle name="Normal 12 2 3 3 3 2" xfId="4439" xr:uid="{00000000-0005-0000-0000-0000B90B0000}"/>
    <cellStyle name="Normal 12 2 3 3 3 2 2" xfId="11668" xr:uid="{00000000-0005-0000-0000-0000BA0B0000}"/>
    <cellStyle name="Normal 12 2 3 3 3 3" xfId="9735" xr:uid="{00000000-0005-0000-0000-0000BB0B0000}"/>
    <cellStyle name="Normal 12 2 3 3 4" xfId="4436" xr:uid="{00000000-0005-0000-0000-0000BC0B0000}"/>
    <cellStyle name="Normal 12 2 3 3 4 2" xfId="11665" xr:uid="{00000000-0005-0000-0000-0000BD0B0000}"/>
    <cellStyle name="Normal 12 2 3 3 5" xfId="7997" xr:uid="{00000000-0005-0000-0000-0000BE0B0000}"/>
    <cellStyle name="Normal 12 2 3 4" xfId="1203" xr:uid="{00000000-0005-0000-0000-0000BF0B0000}"/>
    <cellStyle name="Normal 12 2 3 4 2" xfId="2942" xr:uid="{00000000-0005-0000-0000-0000C00B0000}"/>
    <cellStyle name="Normal 12 2 3 4 2 2" xfId="4441" xr:uid="{00000000-0005-0000-0000-0000C10B0000}"/>
    <cellStyle name="Normal 12 2 3 4 2 2 2" xfId="11670" xr:uid="{00000000-0005-0000-0000-0000C20B0000}"/>
    <cellStyle name="Normal 12 2 3 4 2 3" xfId="10171" xr:uid="{00000000-0005-0000-0000-0000C30B0000}"/>
    <cellStyle name="Normal 12 2 3 4 3" xfId="4440" xr:uid="{00000000-0005-0000-0000-0000C40B0000}"/>
    <cellStyle name="Normal 12 2 3 4 3 2" xfId="11669" xr:uid="{00000000-0005-0000-0000-0000C50B0000}"/>
    <cellStyle name="Normal 12 2 3 4 4" xfId="8433" xr:uid="{00000000-0005-0000-0000-0000C60B0000}"/>
    <cellStyle name="Normal 12 2 3 5" xfId="2075" xr:uid="{00000000-0005-0000-0000-0000C70B0000}"/>
    <cellStyle name="Normal 12 2 3 5 2" xfId="4442" xr:uid="{00000000-0005-0000-0000-0000C80B0000}"/>
    <cellStyle name="Normal 12 2 3 5 2 2" xfId="11671" xr:uid="{00000000-0005-0000-0000-0000C90B0000}"/>
    <cellStyle name="Normal 12 2 3 5 3" xfId="9304" xr:uid="{00000000-0005-0000-0000-0000CA0B0000}"/>
    <cellStyle name="Normal 12 2 3 6" xfId="4427" xr:uid="{00000000-0005-0000-0000-0000CB0B0000}"/>
    <cellStyle name="Normal 12 2 3 6 2" xfId="11656" xr:uid="{00000000-0005-0000-0000-0000CC0B0000}"/>
    <cellStyle name="Normal 12 2 3 7" xfId="7566" xr:uid="{00000000-0005-0000-0000-0000CD0B0000}"/>
    <cellStyle name="Normal 12 2 4" xfId="437" xr:uid="{00000000-0005-0000-0000-0000CE0B0000}"/>
    <cellStyle name="Normal 12 2 4 2" xfId="883" xr:uid="{00000000-0005-0000-0000-0000CF0B0000}"/>
    <cellStyle name="Normal 12 2 4 2 2" xfId="1750" xr:uid="{00000000-0005-0000-0000-0000D00B0000}"/>
    <cellStyle name="Normal 12 2 4 2 2 2" xfId="3489" xr:uid="{00000000-0005-0000-0000-0000D10B0000}"/>
    <cellStyle name="Normal 12 2 4 2 2 2 2" xfId="4446" xr:uid="{00000000-0005-0000-0000-0000D20B0000}"/>
    <cellStyle name="Normal 12 2 4 2 2 2 2 2" xfId="11675" xr:uid="{00000000-0005-0000-0000-0000D30B0000}"/>
    <cellStyle name="Normal 12 2 4 2 2 2 3" xfId="10718" xr:uid="{00000000-0005-0000-0000-0000D40B0000}"/>
    <cellStyle name="Normal 12 2 4 2 2 3" xfId="4445" xr:uid="{00000000-0005-0000-0000-0000D50B0000}"/>
    <cellStyle name="Normal 12 2 4 2 2 3 2" xfId="11674" xr:uid="{00000000-0005-0000-0000-0000D60B0000}"/>
    <cellStyle name="Normal 12 2 4 2 2 4" xfId="8980" xr:uid="{00000000-0005-0000-0000-0000D70B0000}"/>
    <cellStyle name="Normal 12 2 4 2 3" xfId="2622" xr:uid="{00000000-0005-0000-0000-0000D80B0000}"/>
    <cellStyle name="Normal 12 2 4 2 3 2" xfId="4447" xr:uid="{00000000-0005-0000-0000-0000D90B0000}"/>
    <cellStyle name="Normal 12 2 4 2 3 2 2" xfId="11676" xr:uid="{00000000-0005-0000-0000-0000DA0B0000}"/>
    <cellStyle name="Normal 12 2 4 2 3 3" xfId="9851" xr:uid="{00000000-0005-0000-0000-0000DB0B0000}"/>
    <cellStyle name="Normal 12 2 4 2 4" xfId="4444" xr:uid="{00000000-0005-0000-0000-0000DC0B0000}"/>
    <cellStyle name="Normal 12 2 4 2 4 2" xfId="11673" xr:uid="{00000000-0005-0000-0000-0000DD0B0000}"/>
    <cellStyle name="Normal 12 2 4 2 5" xfId="8113" xr:uid="{00000000-0005-0000-0000-0000DE0B0000}"/>
    <cellStyle name="Normal 12 2 4 3" xfId="1319" xr:uid="{00000000-0005-0000-0000-0000DF0B0000}"/>
    <cellStyle name="Normal 12 2 4 3 2" xfId="3058" xr:uid="{00000000-0005-0000-0000-0000E00B0000}"/>
    <cellStyle name="Normal 12 2 4 3 2 2" xfId="4449" xr:uid="{00000000-0005-0000-0000-0000E10B0000}"/>
    <cellStyle name="Normal 12 2 4 3 2 2 2" xfId="11678" xr:uid="{00000000-0005-0000-0000-0000E20B0000}"/>
    <cellStyle name="Normal 12 2 4 3 2 3" xfId="10287" xr:uid="{00000000-0005-0000-0000-0000E30B0000}"/>
    <cellStyle name="Normal 12 2 4 3 3" xfId="4448" xr:uid="{00000000-0005-0000-0000-0000E40B0000}"/>
    <cellStyle name="Normal 12 2 4 3 3 2" xfId="11677" xr:uid="{00000000-0005-0000-0000-0000E50B0000}"/>
    <cellStyle name="Normal 12 2 4 3 4" xfId="8549" xr:uid="{00000000-0005-0000-0000-0000E60B0000}"/>
    <cellStyle name="Normal 12 2 4 4" xfId="2191" xr:uid="{00000000-0005-0000-0000-0000E70B0000}"/>
    <cellStyle name="Normal 12 2 4 4 2" xfId="4450" xr:uid="{00000000-0005-0000-0000-0000E80B0000}"/>
    <cellStyle name="Normal 12 2 4 4 2 2" xfId="11679" xr:uid="{00000000-0005-0000-0000-0000E90B0000}"/>
    <cellStyle name="Normal 12 2 4 4 3" xfId="9420" xr:uid="{00000000-0005-0000-0000-0000EA0B0000}"/>
    <cellStyle name="Normal 12 2 4 5" xfId="4443" xr:uid="{00000000-0005-0000-0000-0000EB0B0000}"/>
    <cellStyle name="Normal 12 2 4 5 2" xfId="11672" xr:uid="{00000000-0005-0000-0000-0000EC0B0000}"/>
    <cellStyle name="Normal 12 2 4 6" xfId="7682" xr:uid="{00000000-0005-0000-0000-0000ED0B0000}"/>
    <cellStyle name="Normal 12 2 5" xfId="656" xr:uid="{00000000-0005-0000-0000-0000EE0B0000}"/>
    <cellStyle name="Normal 12 2 5 2" xfId="1532" xr:uid="{00000000-0005-0000-0000-0000EF0B0000}"/>
    <cellStyle name="Normal 12 2 5 2 2" xfId="3271" xr:uid="{00000000-0005-0000-0000-0000F00B0000}"/>
    <cellStyle name="Normal 12 2 5 2 2 2" xfId="4453" xr:uid="{00000000-0005-0000-0000-0000F10B0000}"/>
    <cellStyle name="Normal 12 2 5 2 2 2 2" xfId="11682" xr:uid="{00000000-0005-0000-0000-0000F20B0000}"/>
    <cellStyle name="Normal 12 2 5 2 2 3" xfId="10500" xr:uid="{00000000-0005-0000-0000-0000F30B0000}"/>
    <cellStyle name="Normal 12 2 5 2 3" xfId="4452" xr:uid="{00000000-0005-0000-0000-0000F40B0000}"/>
    <cellStyle name="Normal 12 2 5 2 3 2" xfId="11681" xr:uid="{00000000-0005-0000-0000-0000F50B0000}"/>
    <cellStyle name="Normal 12 2 5 2 4" xfId="8762" xr:uid="{00000000-0005-0000-0000-0000F60B0000}"/>
    <cellStyle name="Normal 12 2 5 3" xfId="2404" xr:uid="{00000000-0005-0000-0000-0000F70B0000}"/>
    <cellStyle name="Normal 12 2 5 3 2" xfId="4454" xr:uid="{00000000-0005-0000-0000-0000F80B0000}"/>
    <cellStyle name="Normal 12 2 5 3 2 2" xfId="11683" xr:uid="{00000000-0005-0000-0000-0000F90B0000}"/>
    <cellStyle name="Normal 12 2 5 3 3" xfId="9633" xr:uid="{00000000-0005-0000-0000-0000FA0B0000}"/>
    <cellStyle name="Normal 12 2 5 4" xfId="4451" xr:uid="{00000000-0005-0000-0000-0000FB0B0000}"/>
    <cellStyle name="Normal 12 2 5 4 2" xfId="11680" xr:uid="{00000000-0005-0000-0000-0000FC0B0000}"/>
    <cellStyle name="Normal 12 2 5 5" xfId="7895" xr:uid="{00000000-0005-0000-0000-0000FD0B0000}"/>
    <cellStyle name="Normal 12 2 6" xfId="1101" xr:uid="{00000000-0005-0000-0000-0000FE0B0000}"/>
    <cellStyle name="Normal 12 2 6 2" xfId="2840" xr:uid="{00000000-0005-0000-0000-0000FF0B0000}"/>
    <cellStyle name="Normal 12 2 6 2 2" xfId="4456" xr:uid="{00000000-0005-0000-0000-0000000C0000}"/>
    <cellStyle name="Normal 12 2 6 2 2 2" xfId="11685" xr:uid="{00000000-0005-0000-0000-0000010C0000}"/>
    <cellStyle name="Normal 12 2 6 2 3" xfId="10069" xr:uid="{00000000-0005-0000-0000-0000020C0000}"/>
    <cellStyle name="Normal 12 2 6 3" xfId="4455" xr:uid="{00000000-0005-0000-0000-0000030C0000}"/>
    <cellStyle name="Normal 12 2 6 3 2" xfId="11684" xr:uid="{00000000-0005-0000-0000-0000040C0000}"/>
    <cellStyle name="Normal 12 2 6 4" xfId="8331" xr:uid="{00000000-0005-0000-0000-0000050C0000}"/>
    <cellStyle name="Normal 12 2 7" xfId="1973" xr:uid="{00000000-0005-0000-0000-0000060C0000}"/>
    <cellStyle name="Normal 12 2 7 2" xfId="4457" xr:uid="{00000000-0005-0000-0000-0000070C0000}"/>
    <cellStyle name="Normal 12 2 7 2 2" xfId="11686" xr:uid="{00000000-0005-0000-0000-0000080C0000}"/>
    <cellStyle name="Normal 12 2 7 3" xfId="9202" xr:uid="{00000000-0005-0000-0000-0000090C0000}"/>
    <cellStyle name="Normal 12 2 8" xfId="4394" xr:uid="{00000000-0005-0000-0000-00000A0C0000}"/>
    <cellStyle name="Normal 12 2 8 2" xfId="11623" xr:uid="{00000000-0005-0000-0000-00000B0C0000}"/>
    <cellStyle name="Normal 12 2 9" xfId="7462" xr:uid="{00000000-0005-0000-0000-00000C0C0000}"/>
    <cellStyle name="Normal 12 3" xfId="202" xr:uid="{00000000-0005-0000-0000-00000D0C0000}"/>
    <cellStyle name="Normal 12 3 2" xfId="330" xr:uid="{00000000-0005-0000-0000-00000E0C0000}"/>
    <cellStyle name="Normal 12 3 2 2" xfId="556" xr:uid="{00000000-0005-0000-0000-00000F0C0000}"/>
    <cellStyle name="Normal 12 3 2 2 2" xfId="1002" xr:uid="{00000000-0005-0000-0000-0000100C0000}"/>
    <cellStyle name="Normal 12 3 2 2 2 2" xfId="1869" xr:uid="{00000000-0005-0000-0000-0000110C0000}"/>
    <cellStyle name="Normal 12 3 2 2 2 2 2" xfId="3608" xr:uid="{00000000-0005-0000-0000-0000120C0000}"/>
    <cellStyle name="Normal 12 3 2 2 2 2 2 2" xfId="4463" xr:uid="{00000000-0005-0000-0000-0000130C0000}"/>
    <cellStyle name="Normal 12 3 2 2 2 2 2 2 2" xfId="11692" xr:uid="{00000000-0005-0000-0000-0000140C0000}"/>
    <cellStyle name="Normal 12 3 2 2 2 2 2 3" xfId="10837" xr:uid="{00000000-0005-0000-0000-0000150C0000}"/>
    <cellStyle name="Normal 12 3 2 2 2 2 3" xfId="4462" xr:uid="{00000000-0005-0000-0000-0000160C0000}"/>
    <cellStyle name="Normal 12 3 2 2 2 2 3 2" xfId="11691" xr:uid="{00000000-0005-0000-0000-0000170C0000}"/>
    <cellStyle name="Normal 12 3 2 2 2 2 4" xfId="9099" xr:uid="{00000000-0005-0000-0000-0000180C0000}"/>
    <cellStyle name="Normal 12 3 2 2 2 3" xfId="2741" xr:uid="{00000000-0005-0000-0000-0000190C0000}"/>
    <cellStyle name="Normal 12 3 2 2 2 3 2" xfId="4464" xr:uid="{00000000-0005-0000-0000-00001A0C0000}"/>
    <cellStyle name="Normal 12 3 2 2 2 3 2 2" xfId="11693" xr:uid="{00000000-0005-0000-0000-00001B0C0000}"/>
    <cellStyle name="Normal 12 3 2 2 2 3 3" xfId="9970" xr:uid="{00000000-0005-0000-0000-00001C0C0000}"/>
    <cellStyle name="Normal 12 3 2 2 2 4" xfId="4461" xr:uid="{00000000-0005-0000-0000-00001D0C0000}"/>
    <cellStyle name="Normal 12 3 2 2 2 4 2" xfId="11690" xr:uid="{00000000-0005-0000-0000-00001E0C0000}"/>
    <cellStyle name="Normal 12 3 2 2 2 5" xfId="8232" xr:uid="{00000000-0005-0000-0000-00001F0C0000}"/>
    <cellStyle name="Normal 12 3 2 2 3" xfId="1438" xr:uid="{00000000-0005-0000-0000-0000200C0000}"/>
    <cellStyle name="Normal 12 3 2 2 3 2" xfId="3177" xr:uid="{00000000-0005-0000-0000-0000210C0000}"/>
    <cellStyle name="Normal 12 3 2 2 3 2 2" xfId="4466" xr:uid="{00000000-0005-0000-0000-0000220C0000}"/>
    <cellStyle name="Normal 12 3 2 2 3 2 2 2" xfId="11695" xr:uid="{00000000-0005-0000-0000-0000230C0000}"/>
    <cellStyle name="Normal 12 3 2 2 3 2 3" xfId="10406" xr:uid="{00000000-0005-0000-0000-0000240C0000}"/>
    <cellStyle name="Normal 12 3 2 2 3 3" xfId="4465" xr:uid="{00000000-0005-0000-0000-0000250C0000}"/>
    <cellStyle name="Normal 12 3 2 2 3 3 2" xfId="11694" xr:uid="{00000000-0005-0000-0000-0000260C0000}"/>
    <cellStyle name="Normal 12 3 2 2 3 4" xfId="8668" xr:uid="{00000000-0005-0000-0000-0000270C0000}"/>
    <cellStyle name="Normal 12 3 2 2 4" xfId="2310" xr:uid="{00000000-0005-0000-0000-0000280C0000}"/>
    <cellStyle name="Normal 12 3 2 2 4 2" xfId="4467" xr:uid="{00000000-0005-0000-0000-0000290C0000}"/>
    <cellStyle name="Normal 12 3 2 2 4 2 2" xfId="11696" xr:uid="{00000000-0005-0000-0000-00002A0C0000}"/>
    <cellStyle name="Normal 12 3 2 2 4 3" xfId="9539" xr:uid="{00000000-0005-0000-0000-00002B0C0000}"/>
    <cellStyle name="Normal 12 3 2 2 5" xfId="4460" xr:uid="{00000000-0005-0000-0000-00002C0C0000}"/>
    <cellStyle name="Normal 12 3 2 2 5 2" xfId="11689" xr:uid="{00000000-0005-0000-0000-00002D0C0000}"/>
    <cellStyle name="Normal 12 3 2 2 6" xfId="7801" xr:uid="{00000000-0005-0000-0000-00002E0C0000}"/>
    <cellStyle name="Normal 12 3 2 3" xfId="778" xr:uid="{00000000-0005-0000-0000-00002F0C0000}"/>
    <cellStyle name="Normal 12 3 2 3 2" xfId="1651" xr:uid="{00000000-0005-0000-0000-0000300C0000}"/>
    <cellStyle name="Normal 12 3 2 3 2 2" xfId="3390" xr:uid="{00000000-0005-0000-0000-0000310C0000}"/>
    <cellStyle name="Normal 12 3 2 3 2 2 2" xfId="4470" xr:uid="{00000000-0005-0000-0000-0000320C0000}"/>
    <cellStyle name="Normal 12 3 2 3 2 2 2 2" xfId="11699" xr:uid="{00000000-0005-0000-0000-0000330C0000}"/>
    <cellStyle name="Normal 12 3 2 3 2 2 3" xfId="10619" xr:uid="{00000000-0005-0000-0000-0000340C0000}"/>
    <cellStyle name="Normal 12 3 2 3 2 3" xfId="4469" xr:uid="{00000000-0005-0000-0000-0000350C0000}"/>
    <cellStyle name="Normal 12 3 2 3 2 3 2" xfId="11698" xr:uid="{00000000-0005-0000-0000-0000360C0000}"/>
    <cellStyle name="Normal 12 3 2 3 2 4" xfId="8881" xr:uid="{00000000-0005-0000-0000-0000370C0000}"/>
    <cellStyle name="Normal 12 3 2 3 3" xfId="2523" xr:uid="{00000000-0005-0000-0000-0000380C0000}"/>
    <cellStyle name="Normal 12 3 2 3 3 2" xfId="4471" xr:uid="{00000000-0005-0000-0000-0000390C0000}"/>
    <cellStyle name="Normal 12 3 2 3 3 2 2" xfId="11700" xr:uid="{00000000-0005-0000-0000-00003A0C0000}"/>
    <cellStyle name="Normal 12 3 2 3 3 3" xfId="9752" xr:uid="{00000000-0005-0000-0000-00003B0C0000}"/>
    <cellStyle name="Normal 12 3 2 3 4" xfId="4468" xr:uid="{00000000-0005-0000-0000-00003C0C0000}"/>
    <cellStyle name="Normal 12 3 2 3 4 2" xfId="11697" xr:uid="{00000000-0005-0000-0000-00003D0C0000}"/>
    <cellStyle name="Normal 12 3 2 3 5" xfId="8014" xr:uid="{00000000-0005-0000-0000-00003E0C0000}"/>
    <cellStyle name="Normal 12 3 2 4" xfId="1220" xr:uid="{00000000-0005-0000-0000-00003F0C0000}"/>
    <cellStyle name="Normal 12 3 2 4 2" xfId="2959" xr:uid="{00000000-0005-0000-0000-0000400C0000}"/>
    <cellStyle name="Normal 12 3 2 4 2 2" xfId="4473" xr:uid="{00000000-0005-0000-0000-0000410C0000}"/>
    <cellStyle name="Normal 12 3 2 4 2 2 2" xfId="11702" xr:uid="{00000000-0005-0000-0000-0000420C0000}"/>
    <cellStyle name="Normal 12 3 2 4 2 3" xfId="10188" xr:uid="{00000000-0005-0000-0000-0000430C0000}"/>
    <cellStyle name="Normal 12 3 2 4 3" xfId="4472" xr:uid="{00000000-0005-0000-0000-0000440C0000}"/>
    <cellStyle name="Normal 12 3 2 4 3 2" xfId="11701" xr:uid="{00000000-0005-0000-0000-0000450C0000}"/>
    <cellStyle name="Normal 12 3 2 4 4" xfId="8450" xr:uid="{00000000-0005-0000-0000-0000460C0000}"/>
    <cellStyle name="Normal 12 3 2 5" xfId="2092" xr:uid="{00000000-0005-0000-0000-0000470C0000}"/>
    <cellStyle name="Normal 12 3 2 5 2" xfId="4474" xr:uid="{00000000-0005-0000-0000-0000480C0000}"/>
    <cellStyle name="Normal 12 3 2 5 2 2" xfId="11703" xr:uid="{00000000-0005-0000-0000-0000490C0000}"/>
    <cellStyle name="Normal 12 3 2 5 3" xfId="9321" xr:uid="{00000000-0005-0000-0000-00004A0C0000}"/>
    <cellStyle name="Normal 12 3 2 6" xfId="4459" xr:uid="{00000000-0005-0000-0000-00004B0C0000}"/>
    <cellStyle name="Normal 12 3 2 6 2" xfId="11688" xr:uid="{00000000-0005-0000-0000-00004C0C0000}"/>
    <cellStyle name="Normal 12 3 2 7" xfId="7583" xr:uid="{00000000-0005-0000-0000-00004D0C0000}"/>
    <cellStyle name="Normal 12 3 3" xfId="454" xr:uid="{00000000-0005-0000-0000-00004E0C0000}"/>
    <cellStyle name="Normal 12 3 3 2" xfId="900" xr:uid="{00000000-0005-0000-0000-00004F0C0000}"/>
    <cellStyle name="Normal 12 3 3 2 2" xfId="1767" xr:uid="{00000000-0005-0000-0000-0000500C0000}"/>
    <cellStyle name="Normal 12 3 3 2 2 2" xfId="3506" xr:uid="{00000000-0005-0000-0000-0000510C0000}"/>
    <cellStyle name="Normal 12 3 3 2 2 2 2" xfId="4478" xr:uid="{00000000-0005-0000-0000-0000520C0000}"/>
    <cellStyle name="Normal 12 3 3 2 2 2 2 2" xfId="11707" xr:uid="{00000000-0005-0000-0000-0000530C0000}"/>
    <cellStyle name="Normal 12 3 3 2 2 2 3" xfId="10735" xr:uid="{00000000-0005-0000-0000-0000540C0000}"/>
    <cellStyle name="Normal 12 3 3 2 2 3" xfId="4477" xr:uid="{00000000-0005-0000-0000-0000550C0000}"/>
    <cellStyle name="Normal 12 3 3 2 2 3 2" xfId="11706" xr:uid="{00000000-0005-0000-0000-0000560C0000}"/>
    <cellStyle name="Normal 12 3 3 2 2 4" xfId="8997" xr:uid="{00000000-0005-0000-0000-0000570C0000}"/>
    <cellStyle name="Normal 12 3 3 2 3" xfId="2639" xr:uid="{00000000-0005-0000-0000-0000580C0000}"/>
    <cellStyle name="Normal 12 3 3 2 3 2" xfId="4479" xr:uid="{00000000-0005-0000-0000-0000590C0000}"/>
    <cellStyle name="Normal 12 3 3 2 3 2 2" xfId="11708" xr:uid="{00000000-0005-0000-0000-00005A0C0000}"/>
    <cellStyle name="Normal 12 3 3 2 3 3" xfId="9868" xr:uid="{00000000-0005-0000-0000-00005B0C0000}"/>
    <cellStyle name="Normal 12 3 3 2 4" xfId="4476" xr:uid="{00000000-0005-0000-0000-00005C0C0000}"/>
    <cellStyle name="Normal 12 3 3 2 4 2" xfId="11705" xr:uid="{00000000-0005-0000-0000-00005D0C0000}"/>
    <cellStyle name="Normal 12 3 3 2 5" xfId="8130" xr:uid="{00000000-0005-0000-0000-00005E0C0000}"/>
    <cellStyle name="Normal 12 3 3 3" xfId="1336" xr:uid="{00000000-0005-0000-0000-00005F0C0000}"/>
    <cellStyle name="Normal 12 3 3 3 2" xfId="3075" xr:uid="{00000000-0005-0000-0000-0000600C0000}"/>
    <cellStyle name="Normal 12 3 3 3 2 2" xfId="4481" xr:uid="{00000000-0005-0000-0000-0000610C0000}"/>
    <cellStyle name="Normal 12 3 3 3 2 2 2" xfId="11710" xr:uid="{00000000-0005-0000-0000-0000620C0000}"/>
    <cellStyle name="Normal 12 3 3 3 2 3" xfId="10304" xr:uid="{00000000-0005-0000-0000-0000630C0000}"/>
    <cellStyle name="Normal 12 3 3 3 3" xfId="4480" xr:uid="{00000000-0005-0000-0000-0000640C0000}"/>
    <cellStyle name="Normal 12 3 3 3 3 2" xfId="11709" xr:uid="{00000000-0005-0000-0000-0000650C0000}"/>
    <cellStyle name="Normal 12 3 3 3 4" xfId="8566" xr:uid="{00000000-0005-0000-0000-0000660C0000}"/>
    <cellStyle name="Normal 12 3 3 4" xfId="2208" xr:uid="{00000000-0005-0000-0000-0000670C0000}"/>
    <cellStyle name="Normal 12 3 3 4 2" xfId="4482" xr:uid="{00000000-0005-0000-0000-0000680C0000}"/>
    <cellStyle name="Normal 12 3 3 4 2 2" xfId="11711" xr:uid="{00000000-0005-0000-0000-0000690C0000}"/>
    <cellStyle name="Normal 12 3 3 4 3" xfId="9437" xr:uid="{00000000-0005-0000-0000-00006A0C0000}"/>
    <cellStyle name="Normal 12 3 3 5" xfId="4475" xr:uid="{00000000-0005-0000-0000-00006B0C0000}"/>
    <cellStyle name="Normal 12 3 3 5 2" xfId="11704" xr:uid="{00000000-0005-0000-0000-00006C0C0000}"/>
    <cellStyle name="Normal 12 3 3 6" xfId="7699" xr:uid="{00000000-0005-0000-0000-00006D0C0000}"/>
    <cellStyle name="Normal 12 3 4" xfId="676" xr:uid="{00000000-0005-0000-0000-00006E0C0000}"/>
    <cellStyle name="Normal 12 3 4 2" xfId="1549" xr:uid="{00000000-0005-0000-0000-00006F0C0000}"/>
    <cellStyle name="Normal 12 3 4 2 2" xfId="3288" xr:uid="{00000000-0005-0000-0000-0000700C0000}"/>
    <cellStyle name="Normal 12 3 4 2 2 2" xfId="4485" xr:uid="{00000000-0005-0000-0000-0000710C0000}"/>
    <cellStyle name="Normal 12 3 4 2 2 2 2" xfId="11714" xr:uid="{00000000-0005-0000-0000-0000720C0000}"/>
    <cellStyle name="Normal 12 3 4 2 2 3" xfId="10517" xr:uid="{00000000-0005-0000-0000-0000730C0000}"/>
    <cellStyle name="Normal 12 3 4 2 3" xfId="4484" xr:uid="{00000000-0005-0000-0000-0000740C0000}"/>
    <cellStyle name="Normal 12 3 4 2 3 2" xfId="11713" xr:uid="{00000000-0005-0000-0000-0000750C0000}"/>
    <cellStyle name="Normal 12 3 4 2 4" xfId="8779" xr:uid="{00000000-0005-0000-0000-0000760C0000}"/>
    <cellStyle name="Normal 12 3 4 3" xfId="2421" xr:uid="{00000000-0005-0000-0000-0000770C0000}"/>
    <cellStyle name="Normal 12 3 4 3 2" xfId="4486" xr:uid="{00000000-0005-0000-0000-0000780C0000}"/>
    <cellStyle name="Normal 12 3 4 3 2 2" xfId="11715" xr:uid="{00000000-0005-0000-0000-0000790C0000}"/>
    <cellStyle name="Normal 12 3 4 3 3" xfId="9650" xr:uid="{00000000-0005-0000-0000-00007A0C0000}"/>
    <cellStyle name="Normal 12 3 4 4" xfId="4483" xr:uid="{00000000-0005-0000-0000-00007B0C0000}"/>
    <cellStyle name="Normal 12 3 4 4 2" xfId="11712" xr:uid="{00000000-0005-0000-0000-00007C0C0000}"/>
    <cellStyle name="Normal 12 3 4 5" xfId="7912" xr:uid="{00000000-0005-0000-0000-00007D0C0000}"/>
    <cellStyle name="Normal 12 3 5" xfId="1118" xr:uid="{00000000-0005-0000-0000-00007E0C0000}"/>
    <cellStyle name="Normal 12 3 5 2" xfId="2857" xr:uid="{00000000-0005-0000-0000-00007F0C0000}"/>
    <cellStyle name="Normal 12 3 5 2 2" xfId="4488" xr:uid="{00000000-0005-0000-0000-0000800C0000}"/>
    <cellStyle name="Normal 12 3 5 2 2 2" xfId="11717" xr:uid="{00000000-0005-0000-0000-0000810C0000}"/>
    <cellStyle name="Normal 12 3 5 2 3" xfId="10086" xr:uid="{00000000-0005-0000-0000-0000820C0000}"/>
    <cellStyle name="Normal 12 3 5 3" xfId="4487" xr:uid="{00000000-0005-0000-0000-0000830C0000}"/>
    <cellStyle name="Normal 12 3 5 3 2" xfId="11716" xr:uid="{00000000-0005-0000-0000-0000840C0000}"/>
    <cellStyle name="Normal 12 3 5 4" xfId="8348" xr:uid="{00000000-0005-0000-0000-0000850C0000}"/>
    <cellStyle name="Normal 12 3 6" xfId="1990" xr:uid="{00000000-0005-0000-0000-0000860C0000}"/>
    <cellStyle name="Normal 12 3 6 2" xfId="4489" xr:uid="{00000000-0005-0000-0000-0000870C0000}"/>
    <cellStyle name="Normal 12 3 6 2 2" xfId="11718" xr:uid="{00000000-0005-0000-0000-0000880C0000}"/>
    <cellStyle name="Normal 12 3 6 3" xfId="9219" xr:uid="{00000000-0005-0000-0000-0000890C0000}"/>
    <cellStyle name="Normal 12 3 7" xfId="4458" xr:uid="{00000000-0005-0000-0000-00008A0C0000}"/>
    <cellStyle name="Normal 12 3 7 2" xfId="11687" xr:uid="{00000000-0005-0000-0000-00008B0C0000}"/>
    <cellStyle name="Normal 12 3 8" xfId="7481" xr:uid="{00000000-0005-0000-0000-00008C0C0000}"/>
    <cellStyle name="Normal 12 4" xfId="280" xr:uid="{00000000-0005-0000-0000-00008D0C0000}"/>
    <cellStyle name="Normal 12 4 2" xfId="506" xr:uid="{00000000-0005-0000-0000-00008E0C0000}"/>
    <cellStyle name="Normal 12 4 2 2" xfId="952" xr:uid="{00000000-0005-0000-0000-00008F0C0000}"/>
    <cellStyle name="Normal 12 4 2 2 2" xfId="1819" xr:uid="{00000000-0005-0000-0000-0000900C0000}"/>
    <cellStyle name="Normal 12 4 2 2 2 2" xfId="3558" xr:uid="{00000000-0005-0000-0000-0000910C0000}"/>
    <cellStyle name="Normal 12 4 2 2 2 2 2" xfId="4494" xr:uid="{00000000-0005-0000-0000-0000920C0000}"/>
    <cellStyle name="Normal 12 4 2 2 2 2 2 2" xfId="11723" xr:uid="{00000000-0005-0000-0000-0000930C0000}"/>
    <cellStyle name="Normal 12 4 2 2 2 2 3" xfId="10787" xr:uid="{00000000-0005-0000-0000-0000940C0000}"/>
    <cellStyle name="Normal 12 4 2 2 2 3" xfId="4493" xr:uid="{00000000-0005-0000-0000-0000950C0000}"/>
    <cellStyle name="Normal 12 4 2 2 2 3 2" xfId="11722" xr:uid="{00000000-0005-0000-0000-0000960C0000}"/>
    <cellStyle name="Normal 12 4 2 2 2 4" xfId="9049" xr:uid="{00000000-0005-0000-0000-0000970C0000}"/>
    <cellStyle name="Normal 12 4 2 2 3" xfId="2691" xr:uid="{00000000-0005-0000-0000-0000980C0000}"/>
    <cellStyle name="Normal 12 4 2 2 3 2" xfId="4495" xr:uid="{00000000-0005-0000-0000-0000990C0000}"/>
    <cellStyle name="Normal 12 4 2 2 3 2 2" xfId="11724" xr:uid="{00000000-0005-0000-0000-00009A0C0000}"/>
    <cellStyle name="Normal 12 4 2 2 3 3" xfId="9920" xr:uid="{00000000-0005-0000-0000-00009B0C0000}"/>
    <cellStyle name="Normal 12 4 2 2 4" xfId="4492" xr:uid="{00000000-0005-0000-0000-00009C0C0000}"/>
    <cellStyle name="Normal 12 4 2 2 4 2" xfId="11721" xr:uid="{00000000-0005-0000-0000-00009D0C0000}"/>
    <cellStyle name="Normal 12 4 2 2 5" xfId="8182" xr:uid="{00000000-0005-0000-0000-00009E0C0000}"/>
    <cellStyle name="Normal 12 4 2 3" xfId="1388" xr:uid="{00000000-0005-0000-0000-00009F0C0000}"/>
    <cellStyle name="Normal 12 4 2 3 2" xfId="3127" xr:uid="{00000000-0005-0000-0000-0000A00C0000}"/>
    <cellStyle name="Normal 12 4 2 3 2 2" xfId="4497" xr:uid="{00000000-0005-0000-0000-0000A10C0000}"/>
    <cellStyle name="Normal 12 4 2 3 2 2 2" xfId="11726" xr:uid="{00000000-0005-0000-0000-0000A20C0000}"/>
    <cellStyle name="Normal 12 4 2 3 2 3" xfId="10356" xr:uid="{00000000-0005-0000-0000-0000A30C0000}"/>
    <cellStyle name="Normal 12 4 2 3 3" xfId="4496" xr:uid="{00000000-0005-0000-0000-0000A40C0000}"/>
    <cellStyle name="Normal 12 4 2 3 3 2" xfId="11725" xr:uid="{00000000-0005-0000-0000-0000A50C0000}"/>
    <cellStyle name="Normal 12 4 2 3 4" xfId="8618" xr:uid="{00000000-0005-0000-0000-0000A60C0000}"/>
    <cellStyle name="Normal 12 4 2 4" xfId="2260" xr:uid="{00000000-0005-0000-0000-0000A70C0000}"/>
    <cellStyle name="Normal 12 4 2 4 2" xfId="4498" xr:uid="{00000000-0005-0000-0000-0000A80C0000}"/>
    <cellStyle name="Normal 12 4 2 4 2 2" xfId="11727" xr:uid="{00000000-0005-0000-0000-0000A90C0000}"/>
    <cellStyle name="Normal 12 4 2 4 3" xfId="9489" xr:uid="{00000000-0005-0000-0000-0000AA0C0000}"/>
    <cellStyle name="Normal 12 4 2 5" xfId="4491" xr:uid="{00000000-0005-0000-0000-0000AB0C0000}"/>
    <cellStyle name="Normal 12 4 2 5 2" xfId="11720" xr:uid="{00000000-0005-0000-0000-0000AC0C0000}"/>
    <cellStyle name="Normal 12 4 2 6" xfId="7751" xr:uid="{00000000-0005-0000-0000-0000AD0C0000}"/>
    <cellStyle name="Normal 12 4 3" xfId="728" xr:uid="{00000000-0005-0000-0000-0000AE0C0000}"/>
    <cellStyle name="Normal 12 4 3 2" xfId="1601" xr:uid="{00000000-0005-0000-0000-0000AF0C0000}"/>
    <cellStyle name="Normal 12 4 3 2 2" xfId="3340" xr:uid="{00000000-0005-0000-0000-0000B00C0000}"/>
    <cellStyle name="Normal 12 4 3 2 2 2" xfId="4501" xr:uid="{00000000-0005-0000-0000-0000B10C0000}"/>
    <cellStyle name="Normal 12 4 3 2 2 2 2" xfId="11730" xr:uid="{00000000-0005-0000-0000-0000B20C0000}"/>
    <cellStyle name="Normal 12 4 3 2 2 3" xfId="10569" xr:uid="{00000000-0005-0000-0000-0000B30C0000}"/>
    <cellStyle name="Normal 12 4 3 2 3" xfId="4500" xr:uid="{00000000-0005-0000-0000-0000B40C0000}"/>
    <cellStyle name="Normal 12 4 3 2 3 2" xfId="11729" xr:uid="{00000000-0005-0000-0000-0000B50C0000}"/>
    <cellStyle name="Normal 12 4 3 2 4" xfId="8831" xr:uid="{00000000-0005-0000-0000-0000B60C0000}"/>
    <cellStyle name="Normal 12 4 3 3" xfId="2473" xr:uid="{00000000-0005-0000-0000-0000B70C0000}"/>
    <cellStyle name="Normal 12 4 3 3 2" xfId="4502" xr:uid="{00000000-0005-0000-0000-0000B80C0000}"/>
    <cellStyle name="Normal 12 4 3 3 2 2" xfId="11731" xr:uid="{00000000-0005-0000-0000-0000B90C0000}"/>
    <cellStyle name="Normal 12 4 3 3 3" xfId="9702" xr:uid="{00000000-0005-0000-0000-0000BA0C0000}"/>
    <cellStyle name="Normal 12 4 3 4" xfId="4499" xr:uid="{00000000-0005-0000-0000-0000BB0C0000}"/>
    <cellStyle name="Normal 12 4 3 4 2" xfId="11728" xr:uid="{00000000-0005-0000-0000-0000BC0C0000}"/>
    <cellStyle name="Normal 12 4 3 5" xfId="7964" xr:uid="{00000000-0005-0000-0000-0000BD0C0000}"/>
    <cellStyle name="Normal 12 4 4" xfId="1170" xr:uid="{00000000-0005-0000-0000-0000BE0C0000}"/>
    <cellStyle name="Normal 12 4 4 2" xfId="2909" xr:uid="{00000000-0005-0000-0000-0000BF0C0000}"/>
    <cellStyle name="Normal 12 4 4 2 2" xfId="4504" xr:uid="{00000000-0005-0000-0000-0000C00C0000}"/>
    <cellStyle name="Normal 12 4 4 2 2 2" xfId="11733" xr:uid="{00000000-0005-0000-0000-0000C10C0000}"/>
    <cellStyle name="Normal 12 4 4 2 3" xfId="10138" xr:uid="{00000000-0005-0000-0000-0000C20C0000}"/>
    <cellStyle name="Normal 12 4 4 3" xfId="4503" xr:uid="{00000000-0005-0000-0000-0000C30C0000}"/>
    <cellStyle name="Normal 12 4 4 3 2" xfId="11732" xr:uid="{00000000-0005-0000-0000-0000C40C0000}"/>
    <cellStyle name="Normal 12 4 4 4" xfId="8400" xr:uid="{00000000-0005-0000-0000-0000C50C0000}"/>
    <cellStyle name="Normal 12 4 5" xfId="2042" xr:uid="{00000000-0005-0000-0000-0000C60C0000}"/>
    <cellStyle name="Normal 12 4 5 2" xfId="4505" xr:uid="{00000000-0005-0000-0000-0000C70C0000}"/>
    <cellStyle name="Normal 12 4 5 2 2" xfId="11734" xr:uid="{00000000-0005-0000-0000-0000C80C0000}"/>
    <cellStyle name="Normal 12 4 5 3" xfId="9271" xr:uid="{00000000-0005-0000-0000-0000C90C0000}"/>
    <cellStyle name="Normal 12 4 6" xfId="4490" xr:uid="{00000000-0005-0000-0000-0000CA0C0000}"/>
    <cellStyle name="Normal 12 4 6 2" xfId="11719" xr:uid="{00000000-0005-0000-0000-0000CB0C0000}"/>
    <cellStyle name="Normal 12 4 7" xfId="7533" xr:uid="{00000000-0005-0000-0000-0000CC0C0000}"/>
    <cellStyle name="Normal 12 5" xfId="404" xr:uid="{00000000-0005-0000-0000-0000CD0C0000}"/>
    <cellStyle name="Normal 12 5 2" xfId="850" xr:uid="{00000000-0005-0000-0000-0000CE0C0000}"/>
    <cellStyle name="Normal 12 5 2 2" xfId="1717" xr:uid="{00000000-0005-0000-0000-0000CF0C0000}"/>
    <cellStyle name="Normal 12 5 2 2 2" xfId="3456" xr:uid="{00000000-0005-0000-0000-0000D00C0000}"/>
    <cellStyle name="Normal 12 5 2 2 2 2" xfId="4509" xr:uid="{00000000-0005-0000-0000-0000D10C0000}"/>
    <cellStyle name="Normal 12 5 2 2 2 2 2" xfId="11738" xr:uid="{00000000-0005-0000-0000-0000D20C0000}"/>
    <cellStyle name="Normal 12 5 2 2 2 3" xfId="10685" xr:uid="{00000000-0005-0000-0000-0000D30C0000}"/>
    <cellStyle name="Normal 12 5 2 2 3" xfId="4508" xr:uid="{00000000-0005-0000-0000-0000D40C0000}"/>
    <cellStyle name="Normal 12 5 2 2 3 2" xfId="11737" xr:uid="{00000000-0005-0000-0000-0000D50C0000}"/>
    <cellStyle name="Normal 12 5 2 2 4" xfId="8947" xr:uid="{00000000-0005-0000-0000-0000D60C0000}"/>
    <cellStyle name="Normal 12 5 2 3" xfId="2589" xr:uid="{00000000-0005-0000-0000-0000D70C0000}"/>
    <cellStyle name="Normal 12 5 2 3 2" xfId="4510" xr:uid="{00000000-0005-0000-0000-0000D80C0000}"/>
    <cellStyle name="Normal 12 5 2 3 2 2" xfId="11739" xr:uid="{00000000-0005-0000-0000-0000D90C0000}"/>
    <cellStyle name="Normal 12 5 2 3 3" xfId="9818" xr:uid="{00000000-0005-0000-0000-0000DA0C0000}"/>
    <cellStyle name="Normal 12 5 2 4" xfId="4507" xr:uid="{00000000-0005-0000-0000-0000DB0C0000}"/>
    <cellStyle name="Normal 12 5 2 4 2" xfId="11736" xr:uid="{00000000-0005-0000-0000-0000DC0C0000}"/>
    <cellStyle name="Normal 12 5 2 5" xfId="8080" xr:uid="{00000000-0005-0000-0000-0000DD0C0000}"/>
    <cellStyle name="Normal 12 5 3" xfId="1286" xr:uid="{00000000-0005-0000-0000-0000DE0C0000}"/>
    <cellStyle name="Normal 12 5 3 2" xfId="3025" xr:uid="{00000000-0005-0000-0000-0000DF0C0000}"/>
    <cellStyle name="Normal 12 5 3 2 2" xfId="4512" xr:uid="{00000000-0005-0000-0000-0000E00C0000}"/>
    <cellStyle name="Normal 12 5 3 2 2 2" xfId="11741" xr:uid="{00000000-0005-0000-0000-0000E10C0000}"/>
    <cellStyle name="Normal 12 5 3 2 3" xfId="10254" xr:uid="{00000000-0005-0000-0000-0000E20C0000}"/>
    <cellStyle name="Normal 12 5 3 3" xfId="4511" xr:uid="{00000000-0005-0000-0000-0000E30C0000}"/>
    <cellStyle name="Normal 12 5 3 3 2" xfId="11740" xr:uid="{00000000-0005-0000-0000-0000E40C0000}"/>
    <cellStyle name="Normal 12 5 3 4" xfId="8516" xr:uid="{00000000-0005-0000-0000-0000E50C0000}"/>
    <cellStyle name="Normal 12 5 4" xfId="2158" xr:uid="{00000000-0005-0000-0000-0000E60C0000}"/>
    <cellStyle name="Normal 12 5 4 2" xfId="4513" xr:uid="{00000000-0005-0000-0000-0000E70C0000}"/>
    <cellStyle name="Normal 12 5 4 2 2" xfId="11742" xr:uid="{00000000-0005-0000-0000-0000E80C0000}"/>
    <cellStyle name="Normal 12 5 4 3" xfId="9387" xr:uid="{00000000-0005-0000-0000-0000E90C0000}"/>
    <cellStyle name="Normal 12 5 5" xfId="4506" xr:uid="{00000000-0005-0000-0000-0000EA0C0000}"/>
    <cellStyle name="Normal 12 5 5 2" xfId="11735" xr:uid="{00000000-0005-0000-0000-0000EB0C0000}"/>
    <cellStyle name="Normal 12 5 6" xfId="7649" xr:uid="{00000000-0005-0000-0000-0000EC0C0000}"/>
    <cellStyle name="Normal 12 6" xfId="623" xr:uid="{00000000-0005-0000-0000-0000ED0C0000}"/>
    <cellStyle name="Normal 12 6 2" xfId="1499" xr:uid="{00000000-0005-0000-0000-0000EE0C0000}"/>
    <cellStyle name="Normal 12 6 2 2" xfId="3238" xr:uid="{00000000-0005-0000-0000-0000EF0C0000}"/>
    <cellStyle name="Normal 12 6 2 2 2" xfId="4516" xr:uid="{00000000-0005-0000-0000-0000F00C0000}"/>
    <cellStyle name="Normal 12 6 2 2 2 2" xfId="11745" xr:uid="{00000000-0005-0000-0000-0000F10C0000}"/>
    <cellStyle name="Normal 12 6 2 2 3" xfId="10467" xr:uid="{00000000-0005-0000-0000-0000F20C0000}"/>
    <cellStyle name="Normal 12 6 2 3" xfId="4515" xr:uid="{00000000-0005-0000-0000-0000F30C0000}"/>
    <cellStyle name="Normal 12 6 2 3 2" xfId="11744" xr:uid="{00000000-0005-0000-0000-0000F40C0000}"/>
    <cellStyle name="Normal 12 6 2 4" xfId="8729" xr:uid="{00000000-0005-0000-0000-0000F50C0000}"/>
    <cellStyle name="Normal 12 6 3" xfId="2371" xr:uid="{00000000-0005-0000-0000-0000F60C0000}"/>
    <cellStyle name="Normal 12 6 3 2" xfId="4517" xr:uid="{00000000-0005-0000-0000-0000F70C0000}"/>
    <cellStyle name="Normal 12 6 3 2 2" xfId="11746" xr:uid="{00000000-0005-0000-0000-0000F80C0000}"/>
    <cellStyle name="Normal 12 6 3 3" xfId="9600" xr:uid="{00000000-0005-0000-0000-0000F90C0000}"/>
    <cellStyle name="Normal 12 6 4" xfId="4514" xr:uid="{00000000-0005-0000-0000-0000FA0C0000}"/>
    <cellStyle name="Normal 12 6 4 2" xfId="11743" xr:uid="{00000000-0005-0000-0000-0000FB0C0000}"/>
    <cellStyle name="Normal 12 6 5" xfId="7862" xr:uid="{00000000-0005-0000-0000-0000FC0C0000}"/>
    <cellStyle name="Normal 12 7" xfId="1068" xr:uid="{00000000-0005-0000-0000-0000FD0C0000}"/>
    <cellStyle name="Normal 12 7 2" xfId="2807" xr:uid="{00000000-0005-0000-0000-0000FE0C0000}"/>
    <cellStyle name="Normal 12 7 2 2" xfId="4519" xr:uid="{00000000-0005-0000-0000-0000FF0C0000}"/>
    <cellStyle name="Normal 12 7 2 2 2" xfId="11748" xr:uid="{00000000-0005-0000-0000-0000000D0000}"/>
    <cellStyle name="Normal 12 7 2 3" xfId="10036" xr:uid="{00000000-0005-0000-0000-0000010D0000}"/>
    <cellStyle name="Normal 12 7 3" xfId="4518" xr:uid="{00000000-0005-0000-0000-0000020D0000}"/>
    <cellStyle name="Normal 12 7 3 2" xfId="11747" xr:uid="{00000000-0005-0000-0000-0000030D0000}"/>
    <cellStyle name="Normal 12 7 4" xfId="8298" xr:uid="{00000000-0005-0000-0000-0000040D0000}"/>
    <cellStyle name="Normal 12 8" xfId="1940" xr:uid="{00000000-0005-0000-0000-0000050D0000}"/>
    <cellStyle name="Normal 12 8 2" xfId="4520" xr:uid="{00000000-0005-0000-0000-0000060D0000}"/>
    <cellStyle name="Normal 12 8 2 2" xfId="11749" xr:uid="{00000000-0005-0000-0000-0000070D0000}"/>
    <cellStyle name="Normal 12 8 3" xfId="9169" xr:uid="{00000000-0005-0000-0000-0000080D0000}"/>
    <cellStyle name="Normal 12 9" xfId="4393" xr:uid="{00000000-0005-0000-0000-0000090D0000}"/>
    <cellStyle name="Normal 12 9 2" xfId="11622" xr:uid="{00000000-0005-0000-0000-00000A0D0000}"/>
    <cellStyle name="Normal 13" xfId="52" xr:uid="{00000000-0005-0000-0000-00000B0D0000}"/>
    <cellStyle name="Normal 13 10" xfId="7430" xr:uid="{00000000-0005-0000-0000-00000C0D0000}"/>
    <cellStyle name="Normal 13 2" xfId="107" xr:uid="{00000000-0005-0000-0000-00000D0D0000}"/>
    <cellStyle name="Normal 13 2 2" xfId="203" xr:uid="{00000000-0005-0000-0000-00000E0D0000}"/>
    <cellStyle name="Normal 13 2 2 2" xfId="331" xr:uid="{00000000-0005-0000-0000-00000F0D0000}"/>
    <cellStyle name="Normal 13 2 2 2 2" xfId="557" xr:uid="{00000000-0005-0000-0000-0000100D0000}"/>
    <cellStyle name="Normal 13 2 2 2 2 2" xfId="1003" xr:uid="{00000000-0005-0000-0000-0000110D0000}"/>
    <cellStyle name="Normal 13 2 2 2 2 2 2" xfId="1870" xr:uid="{00000000-0005-0000-0000-0000120D0000}"/>
    <cellStyle name="Normal 13 2 2 2 2 2 2 2" xfId="3609" xr:uid="{00000000-0005-0000-0000-0000130D0000}"/>
    <cellStyle name="Normal 13 2 2 2 2 2 2 2 2" xfId="4528" xr:uid="{00000000-0005-0000-0000-0000140D0000}"/>
    <cellStyle name="Normal 13 2 2 2 2 2 2 2 2 2" xfId="11757" xr:uid="{00000000-0005-0000-0000-0000150D0000}"/>
    <cellStyle name="Normal 13 2 2 2 2 2 2 2 3" xfId="10838" xr:uid="{00000000-0005-0000-0000-0000160D0000}"/>
    <cellStyle name="Normal 13 2 2 2 2 2 2 3" xfId="4527" xr:uid="{00000000-0005-0000-0000-0000170D0000}"/>
    <cellStyle name="Normal 13 2 2 2 2 2 2 3 2" xfId="11756" xr:uid="{00000000-0005-0000-0000-0000180D0000}"/>
    <cellStyle name="Normal 13 2 2 2 2 2 2 4" xfId="9100" xr:uid="{00000000-0005-0000-0000-0000190D0000}"/>
    <cellStyle name="Normal 13 2 2 2 2 2 3" xfId="2742" xr:uid="{00000000-0005-0000-0000-00001A0D0000}"/>
    <cellStyle name="Normal 13 2 2 2 2 2 3 2" xfId="4529" xr:uid="{00000000-0005-0000-0000-00001B0D0000}"/>
    <cellStyle name="Normal 13 2 2 2 2 2 3 2 2" xfId="11758" xr:uid="{00000000-0005-0000-0000-00001C0D0000}"/>
    <cellStyle name="Normal 13 2 2 2 2 2 3 3" xfId="9971" xr:uid="{00000000-0005-0000-0000-00001D0D0000}"/>
    <cellStyle name="Normal 13 2 2 2 2 2 4" xfId="4526" xr:uid="{00000000-0005-0000-0000-00001E0D0000}"/>
    <cellStyle name="Normal 13 2 2 2 2 2 4 2" xfId="11755" xr:uid="{00000000-0005-0000-0000-00001F0D0000}"/>
    <cellStyle name="Normal 13 2 2 2 2 2 5" xfId="8233" xr:uid="{00000000-0005-0000-0000-0000200D0000}"/>
    <cellStyle name="Normal 13 2 2 2 2 3" xfId="1439" xr:uid="{00000000-0005-0000-0000-0000210D0000}"/>
    <cellStyle name="Normal 13 2 2 2 2 3 2" xfId="3178" xr:uid="{00000000-0005-0000-0000-0000220D0000}"/>
    <cellStyle name="Normal 13 2 2 2 2 3 2 2" xfId="4531" xr:uid="{00000000-0005-0000-0000-0000230D0000}"/>
    <cellStyle name="Normal 13 2 2 2 2 3 2 2 2" xfId="11760" xr:uid="{00000000-0005-0000-0000-0000240D0000}"/>
    <cellStyle name="Normal 13 2 2 2 2 3 2 3" xfId="10407" xr:uid="{00000000-0005-0000-0000-0000250D0000}"/>
    <cellStyle name="Normal 13 2 2 2 2 3 3" xfId="4530" xr:uid="{00000000-0005-0000-0000-0000260D0000}"/>
    <cellStyle name="Normal 13 2 2 2 2 3 3 2" xfId="11759" xr:uid="{00000000-0005-0000-0000-0000270D0000}"/>
    <cellStyle name="Normal 13 2 2 2 2 3 4" xfId="8669" xr:uid="{00000000-0005-0000-0000-0000280D0000}"/>
    <cellStyle name="Normal 13 2 2 2 2 4" xfId="2311" xr:uid="{00000000-0005-0000-0000-0000290D0000}"/>
    <cellStyle name="Normal 13 2 2 2 2 4 2" xfId="4532" xr:uid="{00000000-0005-0000-0000-00002A0D0000}"/>
    <cellStyle name="Normal 13 2 2 2 2 4 2 2" xfId="11761" xr:uid="{00000000-0005-0000-0000-00002B0D0000}"/>
    <cellStyle name="Normal 13 2 2 2 2 4 3" xfId="9540" xr:uid="{00000000-0005-0000-0000-00002C0D0000}"/>
    <cellStyle name="Normal 13 2 2 2 2 5" xfId="4525" xr:uid="{00000000-0005-0000-0000-00002D0D0000}"/>
    <cellStyle name="Normal 13 2 2 2 2 5 2" xfId="11754" xr:uid="{00000000-0005-0000-0000-00002E0D0000}"/>
    <cellStyle name="Normal 13 2 2 2 2 6" xfId="7802" xr:uid="{00000000-0005-0000-0000-00002F0D0000}"/>
    <cellStyle name="Normal 13 2 2 2 3" xfId="779" xr:uid="{00000000-0005-0000-0000-0000300D0000}"/>
    <cellStyle name="Normal 13 2 2 2 3 2" xfId="1652" xr:uid="{00000000-0005-0000-0000-0000310D0000}"/>
    <cellStyle name="Normal 13 2 2 2 3 2 2" xfId="3391" xr:uid="{00000000-0005-0000-0000-0000320D0000}"/>
    <cellStyle name="Normal 13 2 2 2 3 2 2 2" xfId="4535" xr:uid="{00000000-0005-0000-0000-0000330D0000}"/>
    <cellStyle name="Normal 13 2 2 2 3 2 2 2 2" xfId="11764" xr:uid="{00000000-0005-0000-0000-0000340D0000}"/>
    <cellStyle name="Normal 13 2 2 2 3 2 2 3" xfId="10620" xr:uid="{00000000-0005-0000-0000-0000350D0000}"/>
    <cellStyle name="Normal 13 2 2 2 3 2 3" xfId="4534" xr:uid="{00000000-0005-0000-0000-0000360D0000}"/>
    <cellStyle name="Normal 13 2 2 2 3 2 3 2" xfId="11763" xr:uid="{00000000-0005-0000-0000-0000370D0000}"/>
    <cellStyle name="Normal 13 2 2 2 3 2 4" xfId="8882" xr:uid="{00000000-0005-0000-0000-0000380D0000}"/>
    <cellStyle name="Normal 13 2 2 2 3 3" xfId="2524" xr:uid="{00000000-0005-0000-0000-0000390D0000}"/>
    <cellStyle name="Normal 13 2 2 2 3 3 2" xfId="4536" xr:uid="{00000000-0005-0000-0000-00003A0D0000}"/>
    <cellStyle name="Normal 13 2 2 2 3 3 2 2" xfId="11765" xr:uid="{00000000-0005-0000-0000-00003B0D0000}"/>
    <cellStyle name="Normal 13 2 2 2 3 3 3" xfId="9753" xr:uid="{00000000-0005-0000-0000-00003C0D0000}"/>
    <cellStyle name="Normal 13 2 2 2 3 4" xfId="4533" xr:uid="{00000000-0005-0000-0000-00003D0D0000}"/>
    <cellStyle name="Normal 13 2 2 2 3 4 2" xfId="11762" xr:uid="{00000000-0005-0000-0000-00003E0D0000}"/>
    <cellStyle name="Normal 13 2 2 2 3 5" xfId="8015" xr:uid="{00000000-0005-0000-0000-00003F0D0000}"/>
    <cellStyle name="Normal 13 2 2 2 4" xfId="1221" xr:uid="{00000000-0005-0000-0000-0000400D0000}"/>
    <cellStyle name="Normal 13 2 2 2 4 2" xfId="2960" xr:uid="{00000000-0005-0000-0000-0000410D0000}"/>
    <cellStyle name="Normal 13 2 2 2 4 2 2" xfId="4538" xr:uid="{00000000-0005-0000-0000-0000420D0000}"/>
    <cellStyle name="Normal 13 2 2 2 4 2 2 2" xfId="11767" xr:uid="{00000000-0005-0000-0000-0000430D0000}"/>
    <cellStyle name="Normal 13 2 2 2 4 2 3" xfId="10189" xr:uid="{00000000-0005-0000-0000-0000440D0000}"/>
    <cellStyle name="Normal 13 2 2 2 4 3" xfId="4537" xr:uid="{00000000-0005-0000-0000-0000450D0000}"/>
    <cellStyle name="Normal 13 2 2 2 4 3 2" xfId="11766" xr:uid="{00000000-0005-0000-0000-0000460D0000}"/>
    <cellStyle name="Normal 13 2 2 2 4 4" xfId="8451" xr:uid="{00000000-0005-0000-0000-0000470D0000}"/>
    <cellStyle name="Normal 13 2 2 2 5" xfId="2093" xr:uid="{00000000-0005-0000-0000-0000480D0000}"/>
    <cellStyle name="Normal 13 2 2 2 5 2" xfId="4539" xr:uid="{00000000-0005-0000-0000-0000490D0000}"/>
    <cellStyle name="Normal 13 2 2 2 5 2 2" xfId="11768" xr:uid="{00000000-0005-0000-0000-00004A0D0000}"/>
    <cellStyle name="Normal 13 2 2 2 5 3" xfId="9322" xr:uid="{00000000-0005-0000-0000-00004B0D0000}"/>
    <cellStyle name="Normal 13 2 2 2 6" xfId="4524" xr:uid="{00000000-0005-0000-0000-00004C0D0000}"/>
    <cellStyle name="Normal 13 2 2 2 6 2" xfId="11753" xr:uid="{00000000-0005-0000-0000-00004D0D0000}"/>
    <cellStyle name="Normal 13 2 2 2 7" xfId="7584" xr:uid="{00000000-0005-0000-0000-00004E0D0000}"/>
    <cellStyle name="Normal 13 2 2 3" xfId="455" xr:uid="{00000000-0005-0000-0000-00004F0D0000}"/>
    <cellStyle name="Normal 13 2 2 3 2" xfId="901" xr:uid="{00000000-0005-0000-0000-0000500D0000}"/>
    <cellStyle name="Normal 13 2 2 3 2 2" xfId="1768" xr:uid="{00000000-0005-0000-0000-0000510D0000}"/>
    <cellStyle name="Normal 13 2 2 3 2 2 2" xfId="3507" xr:uid="{00000000-0005-0000-0000-0000520D0000}"/>
    <cellStyle name="Normal 13 2 2 3 2 2 2 2" xfId="4543" xr:uid="{00000000-0005-0000-0000-0000530D0000}"/>
    <cellStyle name="Normal 13 2 2 3 2 2 2 2 2" xfId="11772" xr:uid="{00000000-0005-0000-0000-0000540D0000}"/>
    <cellStyle name="Normal 13 2 2 3 2 2 2 3" xfId="10736" xr:uid="{00000000-0005-0000-0000-0000550D0000}"/>
    <cellStyle name="Normal 13 2 2 3 2 2 3" xfId="4542" xr:uid="{00000000-0005-0000-0000-0000560D0000}"/>
    <cellStyle name="Normal 13 2 2 3 2 2 3 2" xfId="11771" xr:uid="{00000000-0005-0000-0000-0000570D0000}"/>
    <cellStyle name="Normal 13 2 2 3 2 2 4" xfId="8998" xr:uid="{00000000-0005-0000-0000-0000580D0000}"/>
    <cellStyle name="Normal 13 2 2 3 2 3" xfId="2640" xr:uid="{00000000-0005-0000-0000-0000590D0000}"/>
    <cellStyle name="Normal 13 2 2 3 2 3 2" xfId="4544" xr:uid="{00000000-0005-0000-0000-00005A0D0000}"/>
    <cellStyle name="Normal 13 2 2 3 2 3 2 2" xfId="11773" xr:uid="{00000000-0005-0000-0000-00005B0D0000}"/>
    <cellStyle name="Normal 13 2 2 3 2 3 3" xfId="9869" xr:uid="{00000000-0005-0000-0000-00005C0D0000}"/>
    <cellStyle name="Normal 13 2 2 3 2 4" xfId="4541" xr:uid="{00000000-0005-0000-0000-00005D0D0000}"/>
    <cellStyle name="Normal 13 2 2 3 2 4 2" xfId="11770" xr:uid="{00000000-0005-0000-0000-00005E0D0000}"/>
    <cellStyle name="Normal 13 2 2 3 2 5" xfId="8131" xr:uid="{00000000-0005-0000-0000-00005F0D0000}"/>
    <cellStyle name="Normal 13 2 2 3 3" xfId="1337" xr:uid="{00000000-0005-0000-0000-0000600D0000}"/>
    <cellStyle name="Normal 13 2 2 3 3 2" xfId="3076" xr:uid="{00000000-0005-0000-0000-0000610D0000}"/>
    <cellStyle name="Normal 13 2 2 3 3 2 2" xfId="4546" xr:uid="{00000000-0005-0000-0000-0000620D0000}"/>
    <cellStyle name="Normal 13 2 2 3 3 2 2 2" xfId="11775" xr:uid="{00000000-0005-0000-0000-0000630D0000}"/>
    <cellStyle name="Normal 13 2 2 3 3 2 3" xfId="10305" xr:uid="{00000000-0005-0000-0000-0000640D0000}"/>
    <cellStyle name="Normal 13 2 2 3 3 3" xfId="4545" xr:uid="{00000000-0005-0000-0000-0000650D0000}"/>
    <cellStyle name="Normal 13 2 2 3 3 3 2" xfId="11774" xr:uid="{00000000-0005-0000-0000-0000660D0000}"/>
    <cellStyle name="Normal 13 2 2 3 3 4" xfId="8567" xr:uid="{00000000-0005-0000-0000-0000670D0000}"/>
    <cellStyle name="Normal 13 2 2 3 4" xfId="2209" xr:uid="{00000000-0005-0000-0000-0000680D0000}"/>
    <cellStyle name="Normal 13 2 2 3 4 2" xfId="4547" xr:uid="{00000000-0005-0000-0000-0000690D0000}"/>
    <cellStyle name="Normal 13 2 2 3 4 2 2" xfId="11776" xr:uid="{00000000-0005-0000-0000-00006A0D0000}"/>
    <cellStyle name="Normal 13 2 2 3 4 3" xfId="9438" xr:uid="{00000000-0005-0000-0000-00006B0D0000}"/>
    <cellStyle name="Normal 13 2 2 3 5" xfId="4540" xr:uid="{00000000-0005-0000-0000-00006C0D0000}"/>
    <cellStyle name="Normal 13 2 2 3 5 2" xfId="11769" xr:uid="{00000000-0005-0000-0000-00006D0D0000}"/>
    <cellStyle name="Normal 13 2 2 3 6" xfId="7700" xr:uid="{00000000-0005-0000-0000-00006E0D0000}"/>
    <cellStyle name="Normal 13 2 2 4" xfId="677" xr:uid="{00000000-0005-0000-0000-00006F0D0000}"/>
    <cellStyle name="Normal 13 2 2 4 2" xfId="1550" xr:uid="{00000000-0005-0000-0000-0000700D0000}"/>
    <cellStyle name="Normal 13 2 2 4 2 2" xfId="3289" xr:uid="{00000000-0005-0000-0000-0000710D0000}"/>
    <cellStyle name="Normal 13 2 2 4 2 2 2" xfId="4550" xr:uid="{00000000-0005-0000-0000-0000720D0000}"/>
    <cellStyle name="Normal 13 2 2 4 2 2 2 2" xfId="11779" xr:uid="{00000000-0005-0000-0000-0000730D0000}"/>
    <cellStyle name="Normal 13 2 2 4 2 2 3" xfId="10518" xr:uid="{00000000-0005-0000-0000-0000740D0000}"/>
    <cellStyle name="Normal 13 2 2 4 2 3" xfId="4549" xr:uid="{00000000-0005-0000-0000-0000750D0000}"/>
    <cellStyle name="Normal 13 2 2 4 2 3 2" xfId="11778" xr:uid="{00000000-0005-0000-0000-0000760D0000}"/>
    <cellStyle name="Normal 13 2 2 4 2 4" xfId="8780" xr:uid="{00000000-0005-0000-0000-0000770D0000}"/>
    <cellStyle name="Normal 13 2 2 4 3" xfId="2422" xr:uid="{00000000-0005-0000-0000-0000780D0000}"/>
    <cellStyle name="Normal 13 2 2 4 3 2" xfId="4551" xr:uid="{00000000-0005-0000-0000-0000790D0000}"/>
    <cellStyle name="Normal 13 2 2 4 3 2 2" xfId="11780" xr:uid="{00000000-0005-0000-0000-00007A0D0000}"/>
    <cellStyle name="Normal 13 2 2 4 3 3" xfId="9651" xr:uid="{00000000-0005-0000-0000-00007B0D0000}"/>
    <cellStyle name="Normal 13 2 2 4 4" xfId="4548" xr:uid="{00000000-0005-0000-0000-00007C0D0000}"/>
    <cellStyle name="Normal 13 2 2 4 4 2" xfId="11777" xr:uid="{00000000-0005-0000-0000-00007D0D0000}"/>
    <cellStyle name="Normal 13 2 2 4 5" xfId="7913" xr:uid="{00000000-0005-0000-0000-00007E0D0000}"/>
    <cellStyle name="Normal 13 2 2 5" xfId="1119" xr:uid="{00000000-0005-0000-0000-00007F0D0000}"/>
    <cellStyle name="Normal 13 2 2 5 2" xfId="2858" xr:uid="{00000000-0005-0000-0000-0000800D0000}"/>
    <cellStyle name="Normal 13 2 2 5 2 2" xfId="4553" xr:uid="{00000000-0005-0000-0000-0000810D0000}"/>
    <cellStyle name="Normal 13 2 2 5 2 2 2" xfId="11782" xr:uid="{00000000-0005-0000-0000-0000820D0000}"/>
    <cellStyle name="Normal 13 2 2 5 2 3" xfId="10087" xr:uid="{00000000-0005-0000-0000-0000830D0000}"/>
    <cellStyle name="Normal 13 2 2 5 3" xfId="4552" xr:uid="{00000000-0005-0000-0000-0000840D0000}"/>
    <cellStyle name="Normal 13 2 2 5 3 2" xfId="11781" xr:uid="{00000000-0005-0000-0000-0000850D0000}"/>
    <cellStyle name="Normal 13 2 2 5 4" xfId="8349" xr:uid="{00000000-0005-0000-0000-0000860D0000}"/>
    <cellStyle name="Normal 13 2 2 6" xfId="1991" xr:uid="{00000000-0005-0000-0000-0000870D0000}"/>
    <cellStyle name="Normal 13 2 2 6 2" xfId="4554" xr:uid="{00000000-0005-0000-0000-0000880D0000}"/>
    <cellStyle name="Normal 13 2 2 6 2 2" xfId="11783" xr:uid="{00000000-0005-0000-0000-0000890D0000}"/>
    <cellStyle name="Normal 13 2 2 6 3" xfId="9220" xr:uid="{00000000-0005-0000-0000-00008A0D0000}"/>
    <cellStyle name="Normal 13 2 2 7" xfId="4523" xr:uid="{00000000-0005-0000-0000-00008B0D0000}"/>
    <cellStyle name="Normal 13 2 2 7 2" xfId="11752" xr:uid="{00000000-0005-0000-0000-00008C0D0000}"/>
    <cellStyle name="Normal 13 2 2 8" xfId="7482" xr:uid="{00000000-0005-0000-0000-00008D0D0000}"/>
    <cellStyle name="Normal 13 2 3" xfId="314" xr:uid="{00000000-0005-0000-0000-00008E0D0000}"/>
    <cellStyle name="Normal 13 2 3 2" xfId="540" xr:uid="{00000000-0005-0000-0000-00008F0D0000}"/>
    <cellStyle name="Normal 13 2 3 2 2" xfId="986" xr:uid="{00000000-0005-0000-0000-0000900D0000}"/>
    <cellStyle name="Normal 13 2 3 2 2 2" xfId="1853" xr:uid="{00000000-0005-0000-0000-0000910D0000}"/>
    <cellStyle name="Normal 13 2 3 2 2 2 2" xfId="3592" xr:uid="{00000000-0005-0000-0000-0000920D0000}"/>
    <cellStyle name="Normal 13 2 3 2 2 2 2 2" xfId="4559" xr:uid="{00000000-0005-0000-0000-0000930D0000}"/>
    <cellStyle name="Normal 13 2 3 2 2 2 2 2 2" xfId="11788" xr:uid="{00000000-0005-0000-0000-0000940D0000}"/>
    <cellStyle name="Normal 13 2 3 2 2 2 2 3" xfId="10821" xr:uid="{00000000-0005-0000-0000-0000950D0000}"/>
    <cellStyle name="Normal 13 2 3 2 2 2 3" xfId="4558" xr:uid="{00000000-0005-0000-0000-0000960D0000}"/>
    <cellStyle name="Normal 13 2 3 2 2 2 3 2" xfId="11787" xr:uid="{00000000-0005-0000-0000-0000970D0000}"/>
    <cellStyle name="Normal 13 2 3 2 2 2 4" xfId="9083" xr:uid="{00000000-0005-0000-0000-0000980D0000}"/>
    <cellStyle name="Normal 13 2 3 2 2 3" xfId="2725" xr:uid="{00000000-0005-0000-0000-0000990D0000}"/>
    <cellStyle name="Normal 13 2 3 2 2 3 2" xfId="4560" xr:uid="{00000000-0005-0000-0000-00009A0D0000}"/>
    <cellStyle name="Normal 13 2 3 2 2 3 2 2" xfId="11789" xr:uid="{00000000-0005-0000-0000-00009B0D0000}"/>
    <cellStyle name="Normal 13 2 3 2 2 3 3" xfId="9954" xr:uid="{00000000-0005-0000-0000-00009C0D0000}"/>
    <cellStyle name="Normal 13 2 3 2 2 4" xfId="4557" xr:uid="{00000000-0005-0000-0000-00009D0D0000}"/>
    <cellStyle name="Normal 13 2 3 2 2 4 2" xfId="11786" xr:uid="{00000000-0005-0000-0000-00009E0D0000}"/>
    <cellStyle name="Normal 13 2 3 2 2 5" xfId="8216" xr:uid="{00000000-0005-0000-0000-00009F0D0000}"/>
    <cellStyle name="Normal 13 2 3 2 3" xfId="1422" xr:uid="{00000000-0005-0000-0000-0000A00D0000}"/>
    <cellStyle name="Normal 13 2 3 2 3 2" xfId="3161" xr:uid="{00000000-0005-0000-0000-0000A10D0000}"/>
    <cellStyle name="Normal 13 2 3 2 3 2 2" xfId="4562" xr:uid="{00000000-0005-0000-0000-0000A20D0000}"/>
    <cellStyle name="Normal 13 2 3 2 3 2 2 2" xfId="11791" xr:uid="{00000000-0005-0000-0000-0000A30D0000}"/>
    <cellStyle name="Normal 13 2 3 2 3 2 3" xfId="10390" xr:uid="{00000000-0005-0000-0000-0000A40D0000}"/>
    <cellStyle name="Normal 13 2 3 2 3 3" xfId="4561" xr:uid="{00000000-0005-0000-0000-0000A50D0000}"/>
    <cellStyle name="Normal 13 2 3 2 3 3 2" xfId="11790" xr:uid="{00000000-0005-0000-0000-0000A60D0000}"/>
    <cellStyle name="Normal 13 2 3 2 3 4" xfId="8652" xr:uid="{00000000-0005-0000-0000-0000A70D0000}"/>
    <cellStyle name="Normal 13 2 3 2 4" xfId="2294" xr:uid="{00000000-0005-0000-0000-0000A80D0000}"/>
    <cellStyle name="Normal 13 2 3 2 4 2" xfId="4563" xr:uid="{00000000-0005-0000-0000-0000A90D0000}"/>
    <cellStyle name="Normal 13 2 3 2 4 2 2" xfId="11792" xr:uid="{00000000-0005-0000-0000-0000AA0D0000}"/>
    <cellStyle name="Normal 13 2 3 2 4 3" xfId="9523" xr:uid="{00000000-0005-0000-0000-0000AB0D0000}"/>
    <cellStyle name="Normal 13 2 3 2 5" xfId="4556" xr:uid="{00000000-0005-0000-0000-0000AC0D0000}"/>
    <cellStyle name="Normal 13 2 3 2 5 2" xfId="11785" xr:uid="{00000000-0005-0000-0000-0000AD0D0000}"/>
    <cellStyle name="Normal 13 2 3 2 6" xfId="7785" xr:uid="{00000000-0005-0000-0000-0000AE0D0000}"/>
    <cellStyle name="Normal 13 2 3 3" xfId="762" xr:uid="{00000000-0005-0000-0000-0000AF0D0000}"/>
    <cellStyle name="Normal 13 2 3 3 2" xfId="1635" xr:uid="{00000000-0005-0000-0000-0000B00D0000}"/>
    <cellStyle name="Normal 13 2 3 3 2 2" xfId="3374" xr:uid="{00000000-0005-0000-0000-0000B10D0000}"/>
    <cellStyle name="Normal 13 2 3 3 2 2 2" xfId="4566" xr:uid="{00000000-0005-0000-0000-0000B20D0000}"/>
    <cellStyle name="Normal 13 2 3 3 2 2 2 2" xfId="11795" xr:uid="{00000000-0005-0000-0000-0000B30D0000}"/>
    <cellStyle name="Normal 13 2 3 3 2 2 3" xfId="10603" xr:uid="{00000000-0005-0000-0000-0000B40D0000}"/>
    <cellStyle name="Normal 13 2 3 3 2 3" xfId="4565" xr:uid="{00000000-0005-0000-0000-0000B50D0000}"/>
    <cellStyle name="Normal 13 2 3 3 2 3 2" xfId="11794" xr:uid="{00000000-0005-0000-0000-0000B60D0000}"/>
    <cellStyle name="Normal 13 2 3 3 2 4" xfId="8865" xr:uid="{00000000-0005-0000-0000-0000B70D0000}"/>
    <cellStyle name="Normal 13 2 3 3 3" xfId="2507" xr:uid="{00000000-0005-0000-0000-0000B80D0000}"/>
    <cellStyle name="Normal 13 2 3 3 3 2" xfId="4567" xr:uid="{00000000-0005-0000-0000-0000B90D0000}"/>
    <cellStyle name="Normal 13 2 3 3 3 2 2" xfId="11796" xr:uid="{00000000-0005-0000-0000-0000BA0D0000}"/>
    <cellStyle name="Normal 13 2 3 3 3 3" xfId="9736" xr:uid="{00000000-0005-0000-0000-0000BB0D0000}"/>
    <cellStyle name="Normal 13 2 3 3 4" xfId="4564" xr:uid="{00000000-0005-0000-0000-0000BC0D0000}"/>
    <cellStyle name="Normal 13 2 3 3 4 2" xfId="11793" xr:uid="{00000000-0005-0000-0000-0000BD0D0000}"/>
    <cellStyle name="Normal 13 2 3 3 5" xfId="7998" xr:uid="{00000000-0005-0000-0000-0000BE0D0000}"/>
    <cellStyle name="Normal 13 2 3 4" xfId="1204" xr:uid="{00000000-0005-0000-0000-0000BF0D0000}"/>
    <cellStyle name="Normal 13 2 3 4 2" xfId="2943" xr:uid="{00000000-0005-0000-0000-0000C00D0000}"/>
    <cellStyle name="Normal 13 2 3 4 2 2" xfId="4569" xr:uid="{00000000-0005-0000-0000-0000C10D0000}"/>
    <cellStyle name="Normal 13 2 3 4 2 2 2" xfId="11798" xr:uid="{00000000-0005-0000-0000-0000C20D0000}"/>
    <cellStyle name="Normal 13 2 3 4 2 3" xfId="10172" xr:uid="{00000000-0005-0000-0000-0000C30D0000}"/>
    <cellStyle name="Normal 13 2 3 4 3" xfId="4568" xr:uid="{00000000-0005-0000-0000-0000C40D0000}"/>
    <cellStyle name="Normal 13 2 3 4 3 2" xfId="11797" xr:uid="{00000000-0005-0000-0000-0000C50D0000}"/>
    <cellStyle name="Normal 13 2 3 4 4" xfId="8434" xr:uid="{00000000-0005-0000-0000-0000C60D0000}"/>
    <cellStyle name="Normal 13 2 3 5" xfId="2076" xr:uid="{00000000-0005-0000-0000-0000C70D0000}"/>
    <cellStyle name="Normal 13 2 3 5 2" xfId="4570" xr:uid="{00000000-0005-0000-0000-0000C80D0000}"/>
    <cellStyle name="Normal 13 2 3 5 2 2" xfId="11799" xr:uid="{00000000-0005-0000-0000-0000C90D0000}"/>
    <cellStyle name="Normal 13 2 3 5 3" xfId="9305" xr:uid="{00000000-0005-0000-0000-0000CA0D0000}"/>
    <cellStyle name="Normal 13 2 3 6" xfId="4555" xr:uid="{00000000-0005-0000-0000-0000CB0D0000}"/>
    <cellStyle name="Normal 13 2 3 6 2" xfId="11784" xr:uid="{00000000-0005-0000-0000-0000CC0D0000}"/>
    <cellStyle name="Normal 13 2 3 7" xfId="7567" xr:uid="{00000000-0005-0000-0000-0000CD0D0000}"/>
    <cellStyle name="Normal 13 2 4" xfId="438" xr:uid="{00000000-0005-0000-0000-0000CE0D0000}"/>
    <cellStyle name="Normal 13 2 4 2" xfId="884" xr:uid="{00000000-0005-0000-0000-0000CF0D0000}"/>
    <cellStyle name="Normal 13 2 4 2 2" xfId="1751" xr:uid="{00000000-0005-0000-0000-0000D00D0000}"/>
    <cellStyle name="Normal 13 2 4 2 2 2" xfId="3490" xr:uid="{00000000-0005-0000-0000-0000D10D0000}"/>
    <cellStyle name="Normal 13 2 4 2 2 2 2" xfId="4574" xr:uid="{00000000-0005-0000-0000-0000D20D0000}"/>
    <cellStyle name="Normal 13 2 4 2 2 2 2 2" xfId="11803" xr:uid="{00000000-0005-0000-0000-0000D30D0000}"/>
    <cellStyle name="Normal 13 2 4 2 2 2 3" xfId="10719" xr:uid="{00000000-0005-0000-0000-0000D40D0000}"/>
    <cellStyle name="Normal 13 2 4 2 2 3" xfId="4573" xr:uid="{00000000-0005-0000-0000-0000D50D0000}"/>
    <cellStyle name="Normal 13 2 4 2 2 3 2" xfId="11802" xr:uid="{00000000-0005-0000-0000-0000D60D0000}"/>
    <cellStyle name="Normal 13 2 4 2 2 4" xfId="8981" xr:uid="{00000000-0005-0000-0000-0000D70D0000}"/>
    <cellStyle name="Normal 13 2 4 2 3" xfId="2623" xr:uid="{00000000-0005-0000-0000-0000D80D0000}"/>
    <cellStyle name="Normal 13 2 4 2 3 2" xfId="4575" xr:uid="{00000000-0005-0000-0000-0000D90D0000}"/>
    <cellStyle name="Normal 13 2 4 2 3 2 2" xfId="11804" xr:uid="{00000000-0005-0000-0000-0000DA0D0000}"/>
    <cellStyle name="Normal 13 2 4 2 3 3" xfId="9852" xr:uid="{00000000-0005-0000-0000-0000DB0D0000}"/>
    <cellStyle name="Normal 13 2 4 2 4" xfId="4572" xr:uid="{00000000-0005-0000-0000-0000DC0D0000}"/>
    <cellStyle name="Normal 13 2 4 2 4 2" xfId="11801" xr:uid="{00000000-0005-0000-0000-0000DD0D0000}"/>
    <cellStyle name="Normal 13 2 4 2 5" xfId="8114" xr:uid="{00000000-0005-0000-0000-0000DE0D0000}"/>
    <cellStyle name="Normal 13 2 4 3" xfId="1320" xr:uid="{00000000-0005-0000-0000-0000DF0D0000}"/>
    <cellStyle name="Normal 13 2 4 3 2" xfId="3059" xr:uid="{00000000-0005-0000-0000-0000E00D0000}"/>
    <cellStyle name="Normal 13 2 4 3 2 2" xfId="4577" xr:uid="{00000000-0005-0000-0000-0000E10D0000}"/>
    <cellStyle name="Normal 13 2 4 3 2 2 2" xfId="11806" xr:uid="{00000000-0005-0000-0000-0000E20D0000}"/>
    <cellStyle name="Normal 13 2 4 3 2 3" xfId="10288" xr:uid="{00000000-0005-0000-0000-0000E30D0000}"/>
    <cellStyle name="Normal 13 2 4 3 3" xfId="4576" xr:uid="{00000000-0005-0000-0000-0000E40D0000}"/>
    <cellStyle name="Normal 13 2 4 3 3 2" xfId="11805" xr:uid="{00000000-0005-0000-0000-0000E50D0000}"/>
    <cellStyle name="Normal 13 2 4 3 4" xfId="8550" xr:uid="{00000000-0005-0000-0000-0000E60D0000}"/>
    <cellStyle name="Normal 13 2 4 4" xfId="2192" xr:uid="{00000000-0005-0000-0000-0000E70D0000}"/>
    <cellStyle name="Normal 13 2 4 4 2" xfId="4578" xr:uid="{00000000-0005-0000-0000-0000E80D0000}"/>
    <cellStyle name="Normal 13 2 4 4 2 2" xfId="11807" xr:uid="{00000000-0005-0000-0000-0000E90D0000}"/>
    <cellStyle name="Normal 13 2 4 4 3" xfId="9421" xr:uid="{00000000-0005-0000-0000-0000EA0D0000}"/>
    <cellStyle name="Normal 13 2 4 5" xfId="4571" xr:uid="{00000000-0005-0000-0000-0000EB0D0000}"/>
    <cellStyle name="Normal 13 2 4 5 2" xfId="11800" xr:uid="{00000000-0005-0000-0000-0000EC0D0000}"/>
    <cellStyle name="Normal 13 2 4 6" xfId="7683" xr:uid="{00000000-0005-0000-0000-0000ED0D0000}"/>
    <cellStyle name="Normal 13 2 5" xfId="657" xr:uid="{00000000-0005-0000-0000-0000EE0D0000}"/>
    <cellStyle name="Normal 13 2 5 2" xfId="1533" xr:uid="{00000000-0005-0000-0000-0000EF0D0000}"/>
    <cellStyle name="Normal 13 2 5 2 2" xfId="3272" xr:uid="{00000000-0005-0000-0000-0000F00D0000}"/>
    <cellStyle name="Normal 13 2 5 2 2 2" xfId="4581" xr:uid="{00000000-0005-0000-0000-0000F10D0000}"/>
    <cellStyle name="Normal 13 2 5 2 2 2 2" xfId="11810" xr:uid="{00000000-0005-0000-0000-0000F20D0000}"/>
    <cellStyle name="Normal 13 2 5 2 2 3" xfId="10501" xr:uid="{00000000-0005-0000-0000-0000F30D0000}"/>
    <cellStyle name="Normal 13 2 5 2 3" xfId="4580" xr:uid="{00000000-0005-0000-0000-0000F40D0000}"/>
    <cellStyle name="Normal 13 2 5 2 3 2" xfId="11809" xr:uid="{00000000-0005-0000-0000-0000F50D0000}"/>
    <cellStyle name="Normal 13 2 5 2 4" xfId="8763" xr:uid="{00000000-0005-0000-0000-0000F60D0000}"/>
    <cellStyle name="Normal 13 2 5 3" xfId="2405" xr:uid="{00000000-0005-0000-0000-0000F70D0000}"/>
    <cellStyle name="Normal 13 2 5 3 2" xfId="4582" xr:uid="{00000000-0005-0000-0000-0000F80D0000}"/>
    <cellStyle name="Normal 13 2 5 3 2 2" xfId="11811" xr:uid="{00000000-0005-0000-0000-0000F90D0000}"/>
    <cellStyle name="Normal 13 2 5 3 3" xfId="9634" xr:uid="{00000000-0005-0000-0000-0000FA0D0000}"/>
    <cellStyle name="Normal 13 2 5 4" xfId="4579" xr:uid="{00000000-0005-0000-0000-0000FB0D0000}"/>
    <cellStyle name="Normal 13 2 5 4 2" xfId="11808" xr:uid="{00000000-0005-0000-0000-0000FC0D0000}"/>
    <cellStyle name="Normal 13 2 5 5" xfId="7896" xr:uid="{00000000-0005-0000-0000-0000FD0D0000}"/>
    <cellStyle name="Normal 13 2 6" xfId="1102" xr:uid="{00000000-0005-0000-0000-0000FE0D0000}"/>
    <cellStyle name="Normal 13 2 6 2" xfId="2841" xr:uid="{00000000-0005-0000-0000-0000FF0D0000}"/>
    <cellStyle name="Normal 13 2 6 2 2" xfId="4584" xr:uid="{00000000-0005-0000-0000-0000000E0000}"/>
    <cellStyle name="Normal 13 2 6 2 2 2" xfId="11813" xr:uid="{00000000-0005-0000-0000-0000010E0000}"/>
    <cellStyle name="Normal 13 2 6 2 3" xfId="10070" xr:uid="{00000000-0005-0000-0000-0000020E0000}"/>
    <cellStyle name="Normal 13 2 6 3" xfId="4583" xr:uid="{00000000-0005-0000-0000-0000030E0000}"/>
    <cellStyle name="Normal 13 2 6 3 2" xfId="11812" xr:uid="{00000000-0005-0000-0000-0000040E0000}"/>
    <cellStyle name="Normal 13 2 6 4" xfId="8332" xr:uid="{00000000-0005-0000-0000-0000050E0000}"/>
    <cellStyle name="Normal 13 2 7" xfId="1974" xr:uid="{00000000-0005-0000-0000-0000060E0000}"/>
    <cellStyle name="Normal 13 2 7 2" xfId="4585" xr:uid="{00000000-0005-0000-0000-0000070E0000}"/>
    <cellStyle name="Normal 13 2 7 2 2" xfId="11814" xr:uid="{00000000-0005-0000-0000-0000080E0000}"/>
    <cellStyle name="Normal 13 2 7 3" xfId="9203" xr:uid="{00000000-0005-0000-0000-0000090E0000}"/>
    <cellStyle name="Normal 13 2 8" xfId="4522" xr:uid="{00000000-0005-0000-0000-00000A0E0000}"/>
    <cellStyle name="Normal 13 2 8 2" xfId="11751" xr:uid="{00000000-0005-0000-0000-00000B0E0000}"/>
    <cellStyle name="Normal 13 2 9" xfId="7463" xr:uid="{00000000-0005-0000-0000-00000C0E0000}"/>
    <cellStyle name="Normal 13 3" xfId="204" xr:uid="{00000000-0005-0000-0000-00000D0E0000}"/>
    <cellStyle name="Normal 13 3 2" xfId="205" xr:uid="{00000000-0005-0000-0000-00000E0E0000}"/>
    <cellStyle name="Normal 13 3 2 2" xfId="4587" xr:uid="{00000000-0005-0000-0000-00000F0E0000}"/>
    <cellStyle name="Normal 13 3 2 2 2" xfId="11816" xr:uid="{00000000-0005-0000-0000-0000100E0000}"/>
    <cellStyle name="Normal 13 3 3" xfId="332" xr:uid="{00000000-0005-0000-0000-0000110E0000}"/>
    <cellStyle name="Normal 13 3 3 2" xfId="558" xr:uid="{00000000-0005-0000-0000-0000120E0000}"/>
    <cellStyle name="Normal 13 3 3 2 2" xfId="1004" xr:uid="{00000000-0005-0000-0000-0000130E0000}"/>
    <cellStyle name="Normal 13 3 3 2 2 2" xfId="1871" xr:uid="{00000000-0005-0000-0000-0000140E0000}"/>
    <cellStyle name="Normal 13 3 3 2 2 2 2" xfId="3610" xr:uid="{00000000-0005-0000-0000-0000150E0000}"/>
    <cellStyle name="Normal 13 3 3 2 2 2 2 2" xfId="4592" xr:uid="{00000000-0005-0000-0000-0000160E0000}"/>
    <cellStyle name="Normal 13 3 3 2 2 2 2 2 2" xfId="11821" xr:uid="{00000000-0005-0000-0000-0000170E0000}"/>
    <cellStyle name="Normal 13 3 3 2 2 2 2 3" xfId="10839" xr:uid="{00000000-0005-0000-0000-0000180E0000}"/>
    <cellStyle name="Normal 13 3 3 2 2 2 3" xfId="4591" xr:uid="{00000000-0005-0000-0000-0000190E0000}"/>
    <cellStyle name="Normal 13 3 3 2 2 2 3 2" xfId="11820" xr:uid="{00000000-0005-0000-0000-00001A0E0000}"/>
    <cellStyle name="Normal 13 3 3 2 2 2 4" xfId="9101" xr:uid="{00000000-0005-0000-0000-00001B0E0000}"/>
    <cellStyle name="Normal 13 3 3 2 2 3" xfId="2743" xr:uid="{00000000-0005-0000-0000-00001C0E0000}"/>
    <cellStyle name="Normal 13 3 3 2 2 3 2" xfId="4593" xr:uid="{00000000-0005-0000-0000-00001D0E0000}"/>
    <cellStyle name="Normal 13 3 3 2 2 3 2 2" xfId="11822" xr:uid="{00000000-0005-0000-0000-00001E0E0000}"/>
    <cellStyle name="Normal 13 3 3 2 2 3 3" xfId="9972" xr:uid="{00000000-0005-0000-0000-00001F0E0000}"/>
    <cellStyle name="Normal 13 3 3 2 2 4" xfId="4590" xr:uid="{00000000-0005-0000-0000-0000200E0000}"/>
    <cellStyle name="Normal 13 3 3 2 2 4 2" xfId="11819" xr:uid="{00000000-0005-0000-0000-0000210E0000}"/>
    <cellStyle name="Normal 13 3 3 2 2 5" xfId="8234" xr:uid="{00000000-0005-0000-0000-0000220E0000}"/>
    <cellStyle name="Normal 13 3 3 2 3" xfId="1440" xr:uid="{00000000-0005-0000-0000-0000230E0000}"/>
    <cellStyle name="Normal 13 3 3 2 3 2" xfId="3179" xr:uid="{00000000-0005-0000-0000-0000240E0000}"/>
    <cellStyle name="Normal 13 3 3 2 3 2 2" xfId="4595" xr:uid="{00000000-0005-0000-0000-0000250E0000}"/>
    <cellStyle name="Normal 13 3 3 2 3 2 2 2" xfId="11824" xr:uid="{00000000-0005-0000-0000-0000260E0000}"/>
    <cellStyle name="Normal 13 3 3 2 3 2 3" xfId="10408" xr:uid="{00000000-0005-0000-0000-0000270E0000}"/>
    <cellStyle name="Normal 13 3 3 2 3 3" xfId="4594" xr:uid="{00000000-0005-0000-0000-0000280E0000}"/>
    <cellStyle name="Normal 13 3 3 2 3 3 2" xfId="11823" xr:uid="{00000000-0005-0000-0000-0000290E0000}"/>
    <cellStyle name="Normal 13 3 3 2 3 4" xfId="8670" xr:uid="{00000000-0005-0000-0000-00002A0E0000}"/>
    <cellStyle name="Normal 13 3 3 2 4" xfId="2312" xr:uid="{00000000-0005-0000-0000-00002B0E0000}"/>
    <cellStyle name="Normal 13 3 3 2 4 2" xfId="4596" xr:uid="{00000000-0005-0000-0000-00002C0E0000}"/>
    <cellStyle name="Normal 13 3 3 2 4 2 2" xfId="11825" xr:uid="{00000000-0005-0000-0000-00002D0E0000}"/>
    <cellStyle name="Normal 13 3 3 2 4 3" xfId="9541" xr:uid="{00000000-0005-0000-0000-00002E0E0000}"/>
    <cellStyle name="Normal 13 3 3 2 5" xfId="4589" xr:uid="{00000000-0005-0000-0000-00002F0E0000}"/>
    <cellStyle name="Normal 13 3 3 2 5 2" xfId="11818" xr:uid="{00000000-0005-0000-0000-0000300E0000}"/>
    <cellStyle name="Normal 13 3 3 2 6" xfId="7803" xr:uid="{00000000-0005-0000-0000-0000310E0000}"/>
    <cellStyle name="Normal 13 3 3 3" xfId="780" xr:uid="{00000000-0005-0000-0000-0000320E0000}"/>
    <cellStyle name="Normal 13 3 3 3 2" xfId="1653" xr:uid="{00000000-0005-0000-0000-0000330E0000}"/>
    <cellStyle name="Normal 13 3 3 3 2 2" xfId="3392" xr:uid="{00000000-0005-0000-0000-0000340E0000}"/>
    <cellStyle name="Normal 13 3 3 3 2 2 2" xfId="4599" xr:uid="{00000000-0005-0000-0000-0000350E0000}"/>
    <cellStyle name="Normal 13 3 3 3 2 2 2 2" xfId="11828" xr:uid="{00000000-0005-0000-0000-0000360E0000}"/>
    <cellStyle name="Normal 13 3 3 3 2 2 3" xfId="10621" xr:uid="{00000000-0005-0000-0000-0000370E0000}"/>
    <cellStyle name="Normal 13 3 3 3 2 3" xfId="4598" xr:uid="{00000000-0005-0000-0000-0000380E0000}"/>
    <cellStyle name="Normal 13 3 3 3 2 3 2" xfId="11827" xr:uid="{00000000-0005-0000-0000-0000390E0000}"/>
    <cellStyle name="Normal 13 3 3 3 2 4" xfId="8883" xr:uid="{00000000-0005-0000-0000-00003A0E0000}"/>
    <cellStyle name="Normal 13 3 3 3 3" xfId="2525" xr:uid="{00000000-0005-0000-0000-00003B0E0000}"/>
    <cellStyle name="Normal 13 3 3 3 3 2" xfId="4600" xr:uid="{00000000-0005-0000-0000-00003C0E0000}"/>
    <cellStyle name="Normal 13 3 3 3 3 2 2" xfId="11829" xr:uid="{00000000-0005-0000-0000-00003D0E0000}"/>
    <cellStyle name="Normal 13 3 3 3 3 3" xfId="9754" xr:uid="{00000000-0005-0000-0000-00003E0E0000}"/>
    <cellStyle name="Normal 13 3 3 3 4" xfId="4597" xr:uid="{00000000-0005-0000-0000-00003F0E0000}"/>
    <cellStyle name="Normal 13 3 3 3 4 2" xfId="11826" xr:uid="{00000000-0005-0000-0000-0000400E0000}"/>
    <cellStyle name="Normal 13 3 3 3 5" xfId="8016" xr:uid="{00000000-0005-0000-0000-0000410E0000}"/>
    <cellStyle name="Normal 13 3 3 4" xfId="1222" xr:uid="{00000000-0005-0000-0000-0000420E0000}"/>
    <cellStyle name="Normal 13 3 3 4 2" xfId="2961" xr:uid="{00000000-0005-0000-0000-0000430E0000}"/>
    <cellStyle name="Normal 13 3 3 4 2 2" xfId="4602" xr:uid="{00000000-0005-0000-0000-0000440E0000}"/>
    <cellStyle name="Normal 13 3 3 4 2 2 2" xfId="11831" xr:uid="{00000000-0005-0000-0000-0000450E0000}"/>
    <cellStyle name="Normal 13 3 3 4 2 3" xfId="10190" xr:uid="{00000000-0005-0000-0000-0000460E0000}"/>
    <cellStyle name="Normal 13 3 3 4 3" xfId="4601" xr:uid="{00000000-0005-0000-0000-0000470E0000}"/>
    <cellStyle name="Normal 13 3 3 4 3 2" xfId="11830" xr:uid="{00000000-0005-0000-0000-0000480E0000}"/>
    <cellStyle name="Normal 13 3 3 4 4" xfId="8452" xr:uid="{00000000-0005-0000-0000-0000490E0000}"/>
    <cellStyle name="Normal 13 3 3 5" xfId="2094" xr:uid="{00000000-0005-0000-0000-00004A0E0000}"/>
    <cellStyle name="Normal 13 3 3 5 2" xfId="4603" xr:uid="{00000000-0005-0000-0000-00004B0E0000}"/>
    <cellStyle name="Normal 13 3 3 5 2 2" xfId="11832" xr:uid="{00000000-0005-0000-0000-00004C0E0000}"/>
    <cellStyle name="Normal 13 3 3 5 3" xfId="9323" xr:uid="{00000000-0005-0000-0000-00004D0E0000}"/>
    <cellStyle name="Normal 13 3 3 6" xfId="4588" xr:uid="{00000000-0005-0000-0000-00004E0E0000}"/>
    <cellStyle name="Normal 13 3 3 6 2" xfId="11817" xr:uid="{00000000-0005-0000-0000-00004F0E0000}"/>
    <cellStyle name="Normal 13 3 3 7" xfId="7585" xr:uid="{00000000-0005-0000-0000-0000500E0000}"/>
    <cellStyle name="Normal 13 3 4" xfId="456" xr:uid="{00000000-0005-0000-0000-0000510E0000}"/>
    <cellStyle name="Normal 13 3 4 2" xfId="902" xr:uid="{00000000-0005-0000-0000-0000520E0000}"/>
    <cellStyle name="Normal 13 3 4 2 2" xfId="1769" xr:uid="{00000000-0005-0000-0000-0000530E0000}"/>
    <cellStyle name="Normal 13 3 4 2 2 2" xfId="3508" xr:uid="{00000000-0005-0000-0000-0000540E0000}"/>
    <cellStyle name="Normal 13 3 4 2 2 2 2" xfId="4607" xr:uid="{00000000-0005-0000-0000-0000550E0000}"/>
    <cellStyle name="Normal 13 3 4 2 2 2 2 2" xfId="11836" xr:uid="{00000000-0005-0000-0000-0000560E0000}"/>
    <cellStyle name="Normal 13 3 4 2 2 2 3" xfId="10737" xr:uid="{00000000-0005-0000-0000-0000570E0000}"/>
    <cellStyle name="Normal 13 3 4 2 2 3" xfId="4606" xr:uid="{00000000-0005-0000-0000-0000580E0000}"/>
    <cellStyle name="Normal 13 3 4 2 2 3 2" xfId="11835" xr:uid="{00000000-0005-0000-0000-0000590E0000}"/>
    <cellStyle name="Normal 13 3 4 2 2 4" xfId="8999" xr:uid="{00000000-0005-0000-0000-00005A0E0000}"/>
    <cellStyle name="Normal 13 3 4 2 3" xfId="2641" xr:uid="{00000000-0005-0000-0000-00005B0E0000}"/>
    <cellStyle name="Normal 13 3 4 2 3 2" xfId="4608" xr:uid="{00000000-0005-0000-0000-00005C0E0000}"/>
    <cellStyle name="Normal 13 3 4 2 3 2 2" xfId="11837" xr:uid="{00000000-0005-0000-0000-00005D0E0000}"/>
    <cellStyle name="Normal 13 3 4 2 3 3" xfId="9870" xr:uid="{00000000-0005-0000-0000-00005E0E0000}"/>
    <cellStyle name="Normal 13 3 4 2 4" xfId="4605" xr:uid="{00000000-0005-0000-0000-00005F0E0000}"/>
    <cellStyle name="Normal 13 3 4 2 4 2" xfId="11834" xr:uid="{00000000-0005-0000-0000-0000600E0000}"/>
    <cellStyle name="Normal 13 3 4 2 5" xfId="8132" xr:uid="{00000000-0005-0000-0000-0000610E0000}"/>
    <cellStyle name="Normal 13 3 4 3" xfId="1338" xr:uid="{00000000-0005-0000-0000-0000620E0000}"/>
    <cellStyle name="Normal 13 3 4 3 2" xfId="3077" xr:uid="{00000000-0005-0000-0000-0000630E0000}"/>
    <cellStyle name="Normal 13 3 4 3 2 2" xfId="4610" xr:uid="{00000000-0005-0000-0000-0000640E0000}"/>
    <cellStyle name="Normal 13 3 4 3 2 2 2" xfId="11839" xr:uid="{00000000-0005-0000-0000-0000650E0000}"/>
    <cellStyle name="Normal 13 3 4 3 2 3" xfId="10306" xr:uid="{00000000-0005-0000-0000-0000660E0000}"/>
    <cellStyle name="Normal 13 3 4 3 3" xfId="4609" xr:uid="{00000000-0005-0000-0000-0000670E0000}"/>
    <cellStyle name="Normal 13 3 4 3 3 2" xfId="11838" xr:uid="{00000000-0005-0000-0000-0000680E0000}"/>
    <cellStyle name="Normal 13 3 4 3 4" xfId="8568" xr:uid="{00000000-0005-0000-0000-0000690E0000}"/>
    <cellStyle name="Normal 13 3 4 4" xfId="2210" xr:uid="{00000000-0005-0000-0000-00006A0E0000}"/>
    <cellStyle name="Normal 13 3 4 4 2" xfId="4611" xr:uid="{00000000-0005-0000-0000-00006B0E0000}"/>
    <cellStyle name="Normal 13 3 4 4 2 2" xfId="11840" xr:uid="{00000000-0005-0000-0000-00006C0E0000}"/>
    <cellStyle name="Normal 13 3 4 4 3" xfId="9439" xr:uid="{00000000-0005-0000-0000-00006D0E0000}"/>
    <cellStyle name="Normal 13 3 4 5" xfId="4604" xr:uid="{00000000-0005-0000-0000-00006E0E0000}"/>
    <cellStyle name="Normal 13 3 4 5 2" xfId="11833" xr:uid="{00000000-0005-0000-0000-00006F0E0000}"/>
    <cellStyle name="Normal 13 3 4 6" xfId="7701" xr:uid="{00000000-0005-0000-0000-0000700E0000}"/>
    <cellStyle name="Normal 13 3 5" xfId="678" xr:uid="{00000000-0005-0000-0000-0000710E0000}"/>
    <cellStyle name="Normal 13 3 5 2" xfId="1551" xr:uid="{00000000-0005-0000-0000-0000720E0000}"/>
    <cellStyle name="Normal 13 3 5 2 2" xfId="3290" xr:uid="{00000000-0005-0000-0000-0000730E0000}"/>
    <cellStyle name="Normal 13 3 5 2 2 2" xfId="4614" xr:uid="{00000000-0005-0000-0000-0000740E0000}"/>
    <cellStyle name="Normal 13 3 5 2 2 2 2" xfId="11843" xr:uid="{00000000-0005-0000-0000-0000750E0000}"/>
    <cellStyle name="Normal 13 3 5 2 2 3" xfId="10519" xr:uid="{00000000-0005-0000-0000-0000760E0000}"/>
    <cellStyle name="Normal 13 3 5 2 3" xfId="4613" xr:uid="{00000000-0005-0000-0000-0000770E0000}"/>
    <cellStyle name="Normal 13 3 5 2 3 2" xfId="11842" xr:uid="{00000000-0005-0000-0000-0000780E0000}"/>
    <cellStyle name="Normal 13 3 5 2 4" xfId="8781" xr:uid="{00000000-0005-0000-0000-0000790E0000}"/>
    <cellStyle name="Normal 13 3 5 3" xfId="2423" xr:uid="{00000000-0005-0000-0000-00007A0E0000}"/>
    <cellStyle name="Normal 13 3 5 3 2" xfId="4615" xr:uid="{00000000-0005-0000-0000-00007B0E0000}"/>
    <cellStyle name="Normal 13 3 5 3 2 2" xfId="11844" xr:uid="{00000000-0005-0000-0000-00007C0E0000}"/>
    <cellStyle name="Normal 13 3 5 3 3" xfId="9652" xr:uid="{00000000-0005-0000-0000-00007D0E0000}"/>
    <cellStyle name="Normal 13 3 5 4" xfId="4612" xr:uid="{00000000-0005-0000-0000-00007E0E0000}"/>
    <cellStyle name="Normal 13 3 5 4 2" xfId="11841" xr:uid="{00000000-0005-0000-0000-00007F0E0000}"/>
    <cellStyle name="Normal 13 3 5 5" xfId="7914" xr:uid="{00000000-0005-0000-0000-0000800E0000}"/>
    <cellStyle name="Normal 13 3 6" xfId="1120" xr:uid="{00000000-0005-0000-0000-0000810E0000}"/>
    <cellStyle name="Normal 13 3 6 2" xfId="2859" xr:uid="{00000000-0005-0000-0000-0000820E0000}"/>
    <cellStyle name="Normal 13 3 6 2 2" xfId="4617" xr:uid="{00000000-0005-0000-0000-0000830E0000}"/>
    <cellStyle name="Normal 13 3 6 2 2 2" xfId="11846" xr:uid="{00000000-0005-0000-0000-0000840E0000}"/>
    <cellStyle name="Normal 13 3 6 2 3" xfId="10088" xr:uid="{00000000-0005-0000-0000-0000850E0000}"/>
    <cellStyle name="Normal 13 3 6 3" xfId="4616" xr:uid="{00000000-0005-0000-0000-0000860E0000}"/>
    <cellStyle name="Normal 13 3 6 3 2" xfId="11845" xr:uid="{00000000-0005-0000-0000-0000870E0000}"/>
    <cellStyle name="Normal 13 3 6 4" xfId="8350" xr:uid="{00000000-0005-0000-0000-0000880E0000}"/>
    <cellStyle name="Normal 13 3 7" xfId="1992" xr:uid="{00000000-0005-0000-0000-0000890E0000}"/>
    <cellStyle name="Normal 13 3 7 2" xfId="4618" xr:uid="{00000000-0005-0000-0000-00008A0E0000}"/>
    <cellStyle name="Normal 13 3 7 2 2" xfId="11847" xr:uid="{00000000-0005-0000-0000-00008B0E0000}"/>
    <cellStyle name="Normal 13 3 7 3" xfId="9221" xr:uid="{00000000-0005-0000-0000-00008C0E0000}"/>
    <cellStyle name="Normal 13 3 8" xfId="4586" xr:uid="{00000000-0005-0000-0000-00008D0E0000}"/>
    <cellStyle name="Normal 13 3 8 2" xfId="11815" xr:uid="{00000000-0005-0000-0000-00008E0E0000}"/>
    <cellStyle name="Normal 13 3 9" xfId="7483" xr:uid="{00000000-0005-0000-0000-00008F0E0000}"/>
    <cellStyle name="Normal 13 4" xfId="281" xr:uid="{00000000-0005-0000-0000-0000900E0000}"/>
    <cellStyle name="Normal 13 4 2" xfId="507" xr:uid="{00000000-0005-0000-0000-0000910E0000}"/>
    <cellStyle name="Normal 13 4 2 2" xfId="953" xr:uid="{00000000-0005-0000-0000-0000920E0000}"/>
    <cellStyle name="Normal 13 4 2 2 2" xfId="1820" xr:uid="{00000000-0005-0000-0000-0000930E0000}"/>
    <cellStyle name="Normal 13 4 2 2 2 2" xfId="3559" xr:uid="{00000000-0005-0000-0000-0000940E0000}"/>
    <cellStyle name="Normal 13 4 2 2 2 2 2" xfId="4623" xr:uid="{00000000-0005-0000-0000-0000950E0000}"/>
    <cellStyle name="Normal 13 4 2 2 2 2 2 2" xfId="11852" xr:uid="{00000000-0005-0000-0000-0000960E0000}"/>
    <cellStyle name="Normal 13 4 2 2 2 2 3" xfId="10788" xr:uid="{00000000-0005-0000-0000-0000970E0000}"/>
    <cellStyle name="Normal 13 4 2 2 2 3" xfId="4622" xr:uid="{00000000-0005-0000-0000-0000980E0000}"/>
    <cellStyle name="Normal 13 4 2 2 2 3 2" xfId="11851" xr:uid="{00000000-0005-0000-0000-0000990E0000}"/>
    <cellStyle name="Normal 13 4 2 2 2 4" xfId="9050" xr:uid="{00000000-0005-0000-0000-00009A0E0000}"/>
    <cellStyle name="Normal 13 4 2 2 3" xfId="2692" xr:uid="{00000000-0005-0000-0000-00009B0E0000}"/>
    <cellStyle name="Normal 13 4 2 2 3 2" xfId="4624" xr:uid="{00000000-0005-0000-0000-00009C0E0000}"/>
    <cellStyle name="Normal 13 4 2 2 3 2 2" xfId="11853" xr:uid="{00000000-0005-0000-0000-00009D0E0000}"/>
    <cellStyle name="Normal 13 4 2 2 3 3" xfId="9921" xr:uid="{00000000-0005-0000-0000-00009E0E0000}"/>
    <cellStyle name="Normal 13 4 2 2 4" xfId="4621" xr:uid="{00000000-0005-0000-0000-00009F0E0000}"/>
    <cellStyle name="Normal 13 4 2 2 4 2" xfId="11850" xr:uid="{00000000-0005-0000-0000-0000A00E0000}"/>
    <cellStyle name="Normal 13 4 2 2 5" xfId="8183" xr:uid="{00000000-0005-0000-0000-0000A10E0000}"/>
    <cellStyle name="Normal 13 4 2 3" xfId="1389" xr:uid="{00000000-0005-0000-0000-0000A20E0000}"/>
    <cellStyle name="Normal 13 4 2 3 2" xfId="3128" xr:uid="{00000000-0005-0000-0000-0000A30E0000}"/>
    <cellStyle name="Normal 13 4 2 3 2 2" xfId="4626" xr:uid="{00000000-0005-0000-0000-0000A40E0000}"/>
    <cellStyle name="Normal 13 4 2 3 2 2 2" xfId="11855" xr:uid="{00000000-0005-0000-0000-0000A50E0000}"/>
    <cellStyle name="Normal 13 4 2 3 2 3" xfId="10357" xr:uid="{00000000-0005-0000-0000-0000A60E0000}"/>
    <cellStyle name="Normal 13 4 2 3 3" xfId="4625" xr:uid="{00000000-0005-0000-0000-0000A70E0000}"/>
    <cellStyle name="Normal 13 4 2 3 3 2" xfId="11854" xr:uid="{00000000-0005-0000-0000-0000A80E0000}"/>
    <cellStyle name="Normal 13 4 2 3 4" xfId="8619" xr:uid="{00000000-0005-0000-0000-0000A90E0000}"/>
    <cellStyle name="Normal 13 4 2 4" xfId="2261" xr:uid="{00000000-0005-0000-0000-0000AA0E0000}"/>
    <cellStyle name="Normal 13 4 2 4 2" xfId="4627" xr:uid="{00000000-0005-0000-0000-0000AB0E0000}"/>
    <cellStyle name="Normal 13 4 2 4 2 2" xfId="11856" xr:uid="{00000000-0005-0000-0000-0000AC0E0000}"/>
    <cellStyle name="Normal 13 4 2 4 3" xfId="9490" xr:uid="{00000000-0005-0000-0000-0000AD0E0000}"/>
    <cellStyle name="Normal 13 4 2 5" xfId="4620" xr:uid="{00000000-0005-0000-0000-0000AE0E0000}"/>
    <cellStyle name="Normal 13 4 2 5 2" xfId="11849" xr:uid="{00000000-0005-0000-0000-0000AF0E0000}"/>
    <cellStyle name="Normal 13 4 2 6" xfId="7752" xr:uid="{00000000-0005-0000-0000-0000B00E0000}"/>
    <cellStyle name="Normal 13 4 3" xfId="729" xr:uid="{00000000-0005-0000-0000-0000B10E0000}"/>
    <cellStyle name="Normal 13 4 3 2" xfId="1602" xr:uid="{00000000-0005-0000-0000-0000B20E0000}"/>
    <cellStyle name="Normal 13 4 3 2 2" xfId="3341" xr:uid="{00000000-0005-0000-0000-0000B30E0000}"/>
    <cellStyle name="Normal 13 4 3 2 2 2" xfId="4630" xr:uid="{00000000-0005-0000-0000-0000B40E0000}"/>
    <cellStyle name="Normal 13 4 3 2 2 2 2" xfId="11859" xr:uid="{00000000-0005-0000-0000-0000B50E0000}"/>
    <cellStyle name="Normal 13 4 3 2 2 3" xfId="10570" xr:uid="{00000000-0005-0000-0000-0000B60E0000}"/>
    <cellStyle name="Normal 13 4 3 2 3" xfId="4629" xr:uid="{00000000-0005-0000-0000-0000B70E0000}"/>
    <cellStyle name="Normal 13 4 3 2 3 2" xfId="11858" xr:uid="{00000000-0005-0000-0000-0000B80E0000}"/>
    <cellStyle name="Normal 13 4 3 2 4" xfId="8832" xr:uid="{00000000-0005-0000-0000-0000B90E0000}"/>
    <cellStyle name="Normal 13 4 3 3" xfId="2474" xr:uid="{00000000-0005-0000-0000-0000BA0E0000}"/>
    <cellStyle name="Normal 13 4 3 3 2" xfId="4631" xr:uid="{00000000-0005-0000-0000-0000BB0E0000}"/>
    <cellStyle name="Normal 13 4 3 3 2 2" xfId="11860" xr:uid="{00000000-0005-0000-0000-0000BC0E0000}"/>
    <cellStyle name="Normal 13 4 3 3 3" xfId="9703" xr:uid="{00000000-0005-0000-0000-0000BD0E0000}"/>
    <cellStyle name="Normal 13 4 3 4" xfId="4628" xr:uid="{00000000-0005-0000-0000-0000BE0E0000}"/>
    <cellStyle name="Normal 13 4 3 4 2" xfId="11857" xr:uid="{00000000-0005-0000-0000-0000BF0E0000}"/>
    <cellStyle name="Normal 13 4 3 5" xfId="7965" xr:uid="{00000000-0005-0000-0000-0000C00E0000}"/>
    <cellStyle name="Normal 13 4 4" xfId="1171" xr:uid="{00000000-0005-0000-0000-0000C10E0000}"/>
    <cellStyle name="Normal 13 4 4 2" xfId="2910" xr:uid="{00000000-0005-0000-0000-0000C20E0000}"/>
    <cellStyle name="Normal 13 4 4 2 2" xfId="4633" xr:uid="{00000000-0005-0000-0000-0000C30E0000}"/>
    <cellStyle name="Normal 13 4 4 2 2 2" xfId="11862" xr:uid="{00000000-0005-0000-0000-0000C40E0000}"/>
    <cellStyle name="Normal 13 4 4 2 3" xfId="10139" xr:uid="{00000000-0005-0000-0000-0000C50E0000}"/>
    <cellStyle name="Normal 13 4 4 3" xfId="4632" xr:uid="{00000000-0005-0000-0000-0000C60E0000}"/>
    <cellStyle name="Normal 13 4 4 3 2" xfId="11861" xr:uid="{00000000-0005-0000-0000-0000C70E0000}"/>
    <cellStyle name="Normal 13 4 4 4" xfId="8401" xr:uid="{00000000-0005-0000-0000-0000C80E0000}"/>
    <cellStyle name="Normal 13 4 5" xfId="2043" xr:uid="{00000000-0005-0000-0000-0000C90E0000}"/>
    <cellStyle name="Normal 13 4 5 2" xfId="4634" xr:uid="{00000000-0005-0000-0000-0000CA0E0000}"/>
    <cellStyle name="Normal 13 4 5 2 2" xfId="11863" xr:uid="{00000000-0005-0000-0000-0000CB0E0000}"/>
    <cellStyle name="Normal 13 4 5 3" xfId="9272" xr:uid="{00000000-0005-0000-0000-0000CC0E0000}"/>
    <cellStyle name="Normal 13 4 6" xfId="4619" xr:uid="{00000000-0005-0000-0000-0000CD0E0000}"/>
    <cellStyle name="Normal 13 4 6 2" xfId="11848" xr:uid="{00000000-0005-0000-0000-0000CE0E0000}"/>
    <cellStyle name="Normal 13 4 7" xfId="7534" xr:uid="{00000000-0005-0000-0000-0000CF0E0000}"/>
    <cellStyle name="Normal 13 5" xfId="405" xr:uid="{00000000-0005-0000-0000-0000D00E0000}"/>
    <cellStyle name="Normal 13 5 2" xfId="851" xr:uid="{00000000-0005-0000-0000-0000D10E0000}"/>
    <cellStyle name="Normal 13 5 2 2" xfId="1718" xr:uid="{00000000-0005-0000-0000-0000D20E0000}"/>
    <cellStyle name="Normal 13 5 2 2 2" xfId="3457" xr:uid="{00000000-0005-0000-0000-0000D30E0000}"/>
    <cellStyle name="Normal 13 5 2 2 2 2" xfId="4638" xr:uid="{00000000-0005-0000-0000-0000D40E0000}"/>
    <cellStyle name="Normal 13 5 2 2 2 2 2" xfId="11867" xr:uid="{00000000-0005-0000-0000-0000D50E0000}"/>
    <cellStyle name="Normal 13 5 2 2 2 3" xfId="10686" xr:uid="{00000000-0005-0000-0000-0000D60E0000}"/>
    <cellStyle name="Normal 13 5 2 2 3" xfId="4637" xr:uid="{00000000-0005-0000-0000-0000D70E0000}"/>
    <cellStyle name="Normal 13 5 2 2 3 2" xfId="11866" xr:uid="{00000000-0005-0000-0000-0000D80E0000}"/>
    <cellStyle name="Normal 13 5 2 2 4" xfId="8948" xr:uid="{00000000-0005-0000-0000-0000D90E0000}"/>
    <cellStyle name="Normal 13 5 2 3" xfId="2590" xr:uid="{00000000-0005-0000-0000-0000DA0E0000}"/>
    <cellStyle name="Normal 13 5 2 3 2" xfId="4639" xr:uid="{00000000-0005-0000-0000-0000DB0E0000}"/>
    <cellStyle name="Normal 13 5 2 3 2 2" xfId="11868" xr:uid="{00000000-0005-0000-0000-0000DC0E0000}"/>
    <cellStyle name="Normal 13 5 2 3 3" xfId="9819" xr:uid="{00000000-0005-0000-0000-0000DD0E0000}"/>
    <cellStyle name="Normal 13 5 2 4" xfId="4636" xr:uid="{00000000-0005-0000-0000-0000DE0E0000}"/>
    <cellStyle name="Normal 13 5 2 4 2" xfId="11865" xr:uid="{00000000-0005-0000-0000-0000DF0E0000}"/>
    <cellStyle name="Normal 13 5 2 5" xfId="8081" xr:uid="{00000000-0005-0000-0000-0000E00E0000}"/>
    <cellStyle name="Normal 13 5 3" xfId="1287" xr:uid="{00000000-0005-0000-0000-0000E10E0000}"/>
    <cellStyle name="Normal 13 5 3 2" xfId="3026" xr:uid="{00000000-0005-0000-0000-0000E20E0000}"/>
    <cellStyle name="Normal 13 5 3 2 2" xfId="4641" xr:uid="{00000000-0005-0000-0000-0000E30E0000}"/>
    <cellStyle name="Normal 13 5 3 2 2 2" xfId="11870" xr:uid="{00000000-0005-0000-0000-0000E40E0000}"/>
    <cellStyle name="Normal 13 5 3 2 3" xfId="10255" xr:uid="{00000000-0005-0000-0000-0000E50E0000}"/>
    <cellStyle name="Normal 13 5 3 3" xfId="4640" xr:uid="{00000000-0005-0000-0000-0000E60E0000}"/>
    <cellStyle name="Normal 13 5 3 3 2" xfId="11869" xr:uid="{00000000-0005-0000-0000-0000E70E0000}"/>
    <cellStyle name="Normal 13 5 3 4" xfId="8517" xr:uid="{00000000-0005-0000-0000-0000E80E0000}"/>
    <cellStyle name="Normal 13 5 4" xfId="2159" xr:uid="{00000000-0005-0000-0000-0000E90E0000}"/>
    <cellStyle name="Normal 13 5 4 2" xfId="4642" xr:uid="{00000000-0005-0000-0000-0000EA0E0000}"/>
    <cellStyle name="Normal 13 5 4 2 2" xfId="11871" xr:uid="{00000000-0005-0000-0000-0000EB0E0000}"/>
    <cellStyle name="Normal 13 5 4 3" xfId="9388" xr:uid="{00000000-0005-0000-0000-0000EC0E0000}"/>
    <cellStyle name="Normal 13 5 5" xfId="4635" xr:uid="{00000000-0005-0000-0000-0000ED0E0000}"/>
    <cellStyle name="Normal 13 5 5 2" xfId="11864" xr:uid="{00000000-0005-0000-0000-0000EE0E0000}"/>
    <cellStyle name="Normal 13 5 6" xfId="7650" xr:uid="{00000000-0005-0000-0000-0000EF0E0000}"/>
    <cellStyle name="Normal 13 6" xfId="624" xr:uid="{00000000-0005-0000-0000-0000F00E0000}"/>
    <cellStyle name="Normal 13 6 2" xfId="1500" xr:uid="{00000000-0005-0000-0000-0000F10E0000}"/>
    <cellStyle name="Normal 13 6 2 2" xfId="3239" xr:uid="{00000000-0005-0000-0000-0000F20E0000}"/>
    <cellStyle name="Normal 13 6 2 2 2" xfId="4645" xr:uid="{00000000-0005-0000-0000-0000F30E0000}"/>
    <cellStyle name="Normal 13 6 2 2 2 2" xfId="11874" xr:uid="{00000000-0005-0000-0000-0000F40E0000}"/>
    <cellStyle name="Normal 13 6 2 2 3" xfId="10468" xr:uid="{00000000-0005-0000-0000-0000F50E0000}"/>
    <cellStyle name="Normal 13 6 2 3" xfId="4644" xr:uid="{00000000-0005-0000-0000-0000F60E0000}"/>
    <cellStyle name="Normal 13 6 2 3 2" xfId="11873" xr:uid="{00000000-0005-0000-0000-0000F70E0000}"/>
    <cellStyle name="Normal 13 6 2 4" xfId="8730" xr:uid="{00000000-0005-0000-0000-0000F80E0000}"/>
    <cellStyle name="Normal 13 6 3" xfId="2372" xr:uid="{00000000-0005-0000-0000-0000F90E0000}"/>
    <cellStyle name="Normal 13 6 3 2" xfId="4646" xr:uid="{00000000-0005-0000-0000-0000FA0E0000}"/>
    <cellStyle name="Normal 13 6 3 2 2" xfId="11875" xr:uid="{00000000-0005-0000-0000-0000FB0E0000}"/>
    <cellStyle name="Normal 13 6 3 3" xfId="9601" xr:uid="{00000000-0005-0000-0000-0000FC0E0000}"/>
    <cellStyle name="Normal 13 6 4" xfId="4643" xr:uid="{00000000-0005-0000-0000-0000FD0E0000}"/>
    <cellStyle name="Normal 13 6 4 2" xfId="11872" xr:uid="{00000000-0005-0000-0000-0000FE0E0000}"/>
    <cellStyle name="Normal 13 6 5" xfId="7863" xr:uid="{00000000-0005-0000-0000-0000FF0E0000}"/>
    <cellStyle name="Normal 13 7" xfId="1069" xr:uid="{00000000-0005-0000-0000-0000000F0000}"/>
    <cellStyle name="Normal 13 7 2" xfId="2808" xr:uid="{00000000-0005-0000-0000-0000010F0000}"/>
    <cellStyle name="Normal 13 7 2 2" xfId="4648" xr:uid="{00000000-0005-0000-0000-0000020F0000}"/>
    <cellStyle name="Normal 13 7 2 2 2" xfId="11877" xr:uid="{00000000-0005-0000-0000-0000030F0000}"/>
    <cellStyle name="Normal 13 7 2 3" xfId="10037" xr:uid="{00000000-0005-0000-0000-0000040F0000}"/>
    <cellStyle name="Normal 13 7 3" xfId="4647" xr:uid="{00000000-0005-0000-0000-0000050F0000}"/>
    <cellStyle name="Normal 13 7 3 2" xfId="11876" xr:uid="{00000000-0005-0000-0000-0000060F0000}"/>
    <cellStyle name="Normal 13 7 4" xfId="8299" xr:uid="{00000000-0005-0000-0000-0000070F0000}"/>
    <cellStyle name="Normal 13 8" xfId="1941" xr:uid="{00000000-0005-0000-0000-0000080F0000}"/>
    <cellStyle name="Normal 13 8 2" xfId="4649" xr:uid="{00000000-0005-0000-0000-0000090F0000}"/>
    <cellStyle name="Normal 13 8 2 2" xfId="11878" xr:uid="{00000000-0005-0000-0000-00000A0F0000}"/>
    <cellStyle name="Normal 13 8 3" xfId="9170" xr:uid="{00000000-0005-0000-0000-00000B0F0000}"/>
    <cellStyle name="Normal 13 9" xfId="4521" xr:uid="{00000000-0005-0000-0000-00000C0F0000}"/>
    <cellStyle name="Normal 13 9 2" xfId="11750" xr:uid="{00000000-0005-0000-0000-00000D0F0000}"/>
    <cellStyle name="Normal 14" xfId="53" xr:uid="{00000000-0005-0000-0000-00000E0F0000}"/>
    <cellStyle name="Normal 14 10" xfId="7431" xr:uid="{00000000-0005-0000-0000-00000F0F0000}"/>
    <cellStyle name="Normal 14 2" xfId="108" xr:uid="{00000000-0005-0000-0000-0000100F0000}"/>
    <cellStyle name="Normal 14 2 2" xfId="315" xr:uid="{00000000-0005-0000-0000-0000110F0000}"/>
    <cellStyle name="Normal 14 2 2 2" xfId="541" xr:uid="{00000000-0005-0000-0000-0000120F0000}"/>
    <cellStyle name="Normal 14 2 2 2 2" xfId="987" xr:uid="{00000000-0005-0000-0000-0000130F0000}"/>
    <cellStyle name="Normal 14 2 2 2 2 2" xfId="1854" xr:uid="{00000000-0005-0000-0000-0000140F0000}"/>
    <cellStyle name="Normal 14 2 2 2 2 2 2" xfId="3593" xr:uid="{00000000-0005-0000-0000-0000150F0000}"/>
    <cellStyle name="Normal 14 2 2 2 2 2 2 2" xfId="4656" xr:uid="{00000000-0005-0000-0000-0000160F0000}"/>
    <cellStyle name="Normal 14 2 2 2 2 2 2 2 2" xfId="11885" xr:uid="{00000000-0005-0000-0000-0000170F0000}"/>
    <cellStyle name="Normal 14 2 2 2 2 2 2 3" xfId="10822" xr:uid="{00000000-0005-0000-0000-0000180F0000}"/>
    <cellStyle name="Normal 14 2 2 2 2 2 3" xfId="4655" xr:uid="{00000000-0005-0000-0000-0000190F0000}"/>
    <cellStyle name="Normal 14 2 2 2 2 2 3 2" xfId="11884" xr:uid="{00000000-0005-0000-0000-00001A0F0000}"/>
    <cellStyle name="Normal 14 2 2 2 2 2 4" xfId="9084" xr:uid="{00000000-0005-0000-0000-00001B0F0000}"/>
    <cellStyle name="Normal 14 2 2 2 2 3" xfId="2726" xr:uid="{00000000-0005-0000-0000-00001C0F0000}"/>
    <cellStyle name="Normal 14 2 2 2 2 3 2" xfId="4657" xr:uid="{00000000-0005-0000-0000-00001D0F0000}"/>
    <cellStyle name="Normal 14 2 2 2 2 3 2 2" xfId="11886" xr:uid="{00000000-0005-0000-0000-00001E0F0000}"/>
    <cellStyle name="Normal 14 2 2 2 2 3 3" xfId="9955" xr:uid="{00000000-0005-0000-0000-00001F0F0000}"/>
    <cellStyle name="Normal 14 2 2 2 2 4" xfId="4654" xr:uid="{00000000-0005-0000-0000-0000200F0000}"/>
    <cellStyle name="Normal 14 2 2 2 2 4 2" xfId="11883" xr:uid="{00000000-0005-0000-0000-0000210F0000}"/>
    <cellStyle name="Normal 14 2 2 2 2 5" xfId="8217" xr:uid="{00000000-0005-0000-0000-0000220F0000}"/>
    <cellStyle name="Normal 14 2 2 2 3" xfId="1423" xr:uid="{00000000-0005-0000-0000-0000230F0000}"/>
    <cellStyle name="Normal 14 2 2 2 3 2" xfId="3162" xr:uid="{00000000-0005-0000-0000-0000240F0000}"/>
    <cellStyle name="Normal 14 2 2 2 3 2 2" xfId="4659" xr:uid="{00000000-0005-0000-0000-0000250F0000}"/>
    <cellStyle name="Normal 14 2 2 2 3 2 2 2" xfId="11888" xr:uid="{00000000-0005-0000-0000-0000260F0000}"/>
    <cellStyle name="Normal 14 2 2 2 3 2 3" xfId="10391" xr:uid="{00000000-0005-0000-0000-0000270F0000}"/>
    <cellStyle name="Normal 14 2 2 2 3 3" xfId="4658" xr:uid="{00000000-0005-0000-0000-0000280F0000}"/>
    <cellStyle name="Normal 14 2 2 2 3 3 2" xfId="11887" xr:uid="{00000000-0005-0000-0000-0000290F0000}"/>
    <cellStyle name="Normal 14 2 2 2 3 4" xfId="8653" xr:uid="{00000000-0005-0000-0000-00002A0F0000}"/>
    <cellStyle name="Normal 14 2 2 2 4" xfId="2295" xr:uid="{00000000-0005-0000-0000-00002B0F0000}"/>
    <cellStyle name="Normal 14 2 2 2 4 2" xfId="4660" xr:uid="{00000000-0005-0000-0000-00002C0F0000}"/>
    <cellStyle name="Normal 14 2 2 2 4 2 2" xfId="11889" xr:uid="{00000000-0005-0000-0000-00002D0F0000}"/>
    <cellStyle name="Normal 14 2 2 2 4 3" xfId="9524" xr:uid="{00000000-0005-0000-0000-00002E0F0000}"/>
    <cellStyle name="Normal 14 2 2 2 5" xfId="4653" xr:uid="{00000000-0005-0000-0000-00002F0F0000}"/>
    <cellStyle name="Normal 14 2 2 2 5 2" xfId="11882" xr:uid="{00000000-0005-0000-0000-0000300F0000}"/>
    <cellStyle name="Normal 14 2 2 2 6" xfId="7786" xr:uid="{00000000-0005-0000-0000-0000310F0000}"/>
    <cellStyle name="Normal 14 2 2 3" xfId="763" xr:uid="{00000000-0005-0000-0000-0000320F0000}"/>
    <cellStyle name="Normal 14 2 2 3 2" xfId="1636" xr:uid="{00000000-0005-0000-0000-0000330F0000}"/>
    <cellStyle name="Normal 14 2 2 3 2 2" xfId="3375" xr:uid="{00000000-0005-0000-0000-0000340F0000}"/>
    <cellStyle name="Normal 14 2 2 3 2 2 2" xfId="4663" xr:uid="{00000000-0005-0000-0000-0000350F0000}"/>
    <cellStyle name="Normal 14 2 2 3 2 2 2 2" xfId="11892" xr:uid="{00000000-0005-0000-0000-0000360F0000}"/>
    <cellStyle name="Normal 14 2 2 3 2 2 3" xfId="10604" xr:uid="{00000000-0005-0000-0000-0000370F0000}"/>
    <cellStyle name="Normal 14 2 2 3 2 3" xfId="4662" xr:uid="{00000000-0005-0000-0000-0000380F0000}"/>
    <cellStyle name="Normal 14 2 2 3 2 3 2" xfId="11891" xr:uid="{00000000-0005-0000-0000-0000390F0000}"/>
    <cellStyle name="Normal 14 2 2 3 2 4" xfId="8866" xr:uid="{00000000-0005-0000-0000-00003A0F0000}"/>
    <cellStyle name="Normal 14 2 2 3 3" xfId="2508" xr:uid="{00000000-0005-0000-0000-00003B0F0000}"/>
    <cellStyle name="Normal 14 2 2 3 3 2" xfId="4664" xr:uid="{00000000-0005-0000-0000-00003C0F0000}"/>
    <cellStyle name="Normal 14 2 2 3 3 2 2" xfId="11893" xr:uid="{00000000-0005-0000-0000-00003D0F0000}"/>
    <cellStyle name="Normal 14 2 2 3 3 3" xfId="9737" xr:uid="{00000000-0005-0000-0000-00003E0F0000}"/>
    <cellStyle name="Normal 14 2 2 3 4" xfId="4661" xr:uid="{00000000-0005-0000-0000-00003F0F0000}"/>
    <cellStyle name="Normal 14 2 2 3 4 2" xfId="11890" xr:uid="{00000000-0005-0000-0000-0000400F0000}"/>
    <cellStyle name="Normal 14 2 2 3 5" xfId="7999" xr:uid="{00000000-0005-0000-0000-0000410F0000}"/>
    <cellStyle name="Normal 14 2 2 4" xfId="1205" xr:uid="{00000000-0005-0000-0000-0000420F0000}"/>
    <cellStyle name="Normal 14 2 2 4 2" xfId="2944" xr:uid="{00000000-0005-0000-0000-0000430F0000}"/>
    <cellStyle name="Normal 14 2 2 4 2 2" xfId="4666" xr:uid="{00000000-0005-0000-0000-0000440F0000}"/>
    <cellStyle name="Normal 14 2 2 4 2 2 2" xfId="11895" xr:uid="{00000000-0005-0000-0000-0000450F0000}"/>
    <cellStyle name="Normal 14 2 2 4 2 3" xfId="10173" xr:uid="{00000000-0005-0000-0000-0000460F0000}"/>
    <cellStyle name="Normal 14 2 2 4 3" xfId="4665" xr:uid="{00000000-0005-0000-0000-0000470F0000}"/>
    <cellStyle name="Normal 14 2 2 4 3 2" xfId="11894" xr:uid="{00000000-0005-0000-0000-0000480F0000}"/>
    <cellStyle name="Normal 14 2 2 4 4" xfId="8435" xr:uid="{00000000-0005-0000-0000-0000490F0000}"/>
    <cellStyle name="Normal 14 2 2 5" xfId="2077" xr:uid="{00000000-0005-0000-0000-00004A0F0000}"/>
    <cellStyle name="Normal 14 2 2 5 2" xfId="4667" xr:uid="{00000000-0005-0000-0000-00004B0F0000}"/>
    <cellStyle name="Normal 14 2 2 5 2 2" xfId="11896" xr:uid="{00000000-0005-0000-0000-00004C0F0000}"/>
    <cellStyle name="Normal 14 2 2 5 3" xfId="9306" xr:uid="{00000000-0005-0000-0000-00004D0F0000}"/>
    <cellStyle name="Normal 14 2 2 6" xfId="4652" xr:uid="{00000000-0005-0000-0000-00004E0F0000}"/>
    <cellStyle name="Normal 14 2 2 6 2" xfId="11881" xr:uid="{00000000-0005-0000-0000-00004F0F0000}"/>
    <cellStyle name="Normal 14 2 2 7" xfId="7568" xr:uid="{00000000-0005-0000-0000-0000500F0000}"/>
    <cellStyle name="Normal 14 2 3" xfId="439" xr:uid="{00000000-0005-0000-0000-0000510F0000}"/>
    <cellStyle name="Normal 14 2 3 2" xfId="885" xr:uid="{00000000-0005-0000-0000-0000520F0000}"/>
    <cellStyle name="Normal 14 2 3 2 2" xfId="1752" xr:uid="{00000000-0005-0000-0000-0000530F0000}"/>
    <cellStyle name="Normal 14 2 3 2 2 2" xfId="3491" xr:uid="{00000000-0005-0000-0000-0000540F0000}"/>
    <cellStyle name="Normal 14 2 3 2 2 2 2" xfId="4671" xr:uid="{00000000-0005-0000-0000-0000550F0000}"/>
    <cellStyle name="Normal 14 2 3 2 2 2 2 2" xfId="11900" xr:uid="{00000000-0005-0000-0000-0000560F0000}"/>
    <cellStyle name="Normal 14 2 3 2 2 2 3" xfId="10720" xr:uid="{00000000-0005-0000-0000-0000570F0000}"/>
    <cellStyle name="Normal 14 2 3 2 2 3" xfId="4670" xr:uid="{00000000-0005-0000-0000-0000580F0000}"/>
    <cellStyle name="Normal 14 2 3 2 2 3 2" xfId="11899" xr:uid="{00000000-0005-0000-0000-0000590F0000}"/>
    <cellStyle name="Normal 14 2 3 2 2 4" xfId="8982" xr:uid="{00000000-0005-0000-0000-00005A0F0000}"/>
    <cellStyle name="Normal 14 2 3 2 3" xfId="2624" xr:uid="{00000000-0005-0000-0000-00005B0F0000}"/>
    <cellStyle name="Normal 14 2 3 2 3 2" xfId="4672" xr:uid="{00000000-0005-0000-0000-00005C0F0000}"/>
    <cellStyle name="Normal 14 2 3 2 3 2 2" xfId="11901" xr:uid="{00000000-0005-0000-0000-00005D0F0000}"/>
    <cellStyle name="Normal 14 2 3 2 3 3" xfId="9853" xr:uid="{00000000-0005-0000-0000-00005E0F0000}"/>
    <cellStyle name="Normal 14 2 3 2 4" xfId="4669" xr:uid="{00000000-0005-0000-0000-00005F0F0000}"/>
    <cellStyle name="Normal 14 2 3 2 4 2" xfId="11898" xr:uid="{00000000-0005-0000-0000-0000600F0000}"/>
    <cellStyle name="Normal 14 2 3 2 5" xfId="8115" xr:uid="{00000000-0005-0000-0000-0000610F0000}"/>
    <cellStyle name="Normal 14 2 3 3" xfId="1321" xr:uid="{00000000-0005-0000-0000-0000620F0000}"/>
    <cellStyle name="Normal 14 2 3 3 2" xfId="3060" xr:uid="{00000000-0005-0000-0000-0000630F0000}"/>
    <cellStyle name="Normal 14 2 3 3 2 2" xfId="4674" xr:uid="{00000000-0005-0000-0000-0000640F0000}"/>
    <cellStyle name="Normal 14 2 3 3 2 2 2" xfId="11903" xr:uid="{00000000-0005-0000-0000-0000650F0000}"/>
    <cellStyle name="Normal 14 2 3 3 2 3" xfId="10289" xr:uid="{00000000-0005-0000-0000-0000660F0000}"/>
    <cellStyle name="Normal 14 2 3 3 3" xfId="4673" xr:uid="{00000000-0005-0000-0000-0000670F0000}"/>
    <cellStyle name="Normal 14 2 3 3 3 2" xfId="11902" xr:uid="{00000000-0005-0000-0000-0000680F0000}"/>
    <cellStyle name="Normal 14 2 3 3 4" xfId="8551" xr:uid="{00000000-0005-0000-0000-0000690F0000}"/>
    <cellStyle name="Normal 14 2 3 4" xfId="2193" xr:uid="{00000000-0005-0000-0000-00006A0F0000}"/>
    <cellStyle name="Normal 14 2 3 4 2" xfId="4675" xr:uid="{00000000-0005-0000-0000-00006B0F0000}"/>
    <cellStyle name="Normal 14 2 3 4 2 2" xfId="11904" xr:uid="{00000000-0005-0000-0000-00006C0F0000}"/>
    <cellStyle name="Normal 14 2 3 4 3" xfId="9422" xr:uid="{00000000-0005-0000-0000-00006D0F0000}"/>
    <cellStyle name="Normal 14 2 3 5" xfId="4668" xr:uid="{00000000-0005-0000-0000-00006E0F0000}"/>
    <cellStyle name="Normal 14 2 3 5 2" xfId="11897" xr:uid="{00000000-0005-0000-0000-00006F0F0000}"/>
    <cellStyle name="Normal 14 2 3 6" xfId="7684" xr:uid="{00000000-0005-0000-0000-0000700F0000}"/>
    <cellStyle name="Normal 14 2 4" xfId="658" xr:uid="{00000000-0005-0000-0000-0000710F0000}"/>
    <cellStyle name="Normal 14 2 4 2" xfId="1534" xr:uid="{00000000-0005-0000-0000-0000720F0000}"/>
    <cellStyle name="Normal 14 2 4 2 2" xfId="3273" xr:uid="{00000000-0005-0000-0000-0000730F0000}"/>
    <cellStyle name="Normal 14 2 4 2 2 2" xfId="4678" xr:uid="{00000000-0005-0000-0000-0000740F0000}"/>
    <cellStyle name="Normal 14 2 4 2 2 2 2" xfId="11907" xr:uid="{00000000-0005-0000-0000-0000750F0000}"/>
    <cellStyle name="Normal 14 2 4 2 2 3" xfId="10502" xr:uid="{00000000-0005-0000-0000-0000760F0000}"/>
    <cellStyle name="Normal 14 2 4 2 3" xfId="4677" xr:uid="{00000000-0005-0000-0000-0000770F0000}"/>
    <cellStyle name="Normal 14 2 4 2 3 2" xfId="11906" xr:uid="{00000000-0005-0000-0000-0000780F0000}"/>
    <cellStyle name="Normal 14 2 4 2 4" xfId="8764" xr:uid="{00000000-0005-0000-0000-0000790F0000}"/>
    <cellStyle name="Normal 14 2 4 3" xfId="2406" xr:uid="{00000000-0005-0000-0000-00007A0F0000}"/>
    <cellStyle name="Normal 14 2 4 3 2" xfId="4679" xr:uid="{00000000-0005-0000-0000-00007B0F0000}"/>
    <cellStyle name="Normal 14 2 4 3 2 2" xfId="11908" xr:uid="{00000000-0005-0000-0000-00007C0F0000}"/>
    <cellStyle name="Normal 14 2 4 3 3" xfId="9635" xr:uid="{00000000-0005-0000-0000-00007D0F0000}"/>
    <cellStyle name="Normal 14 2 4 4" xfId="4676" xr:uid="{00000000-0005-0000-0000-00007E0F0000}"/>
    <cellStyle name="Normal 14 2 4 4 2" xfId="11905" xr:uid="{00000000-0005-0000-0000-00007F0F0000}"/>
    <cellStyle name="Normal 14 2 4 5" xfId="7897" xr:uid="{00000000-0005-0000-0000-0000800F0000}"/>
    <cellStyle name="Normal 14 2 5" xfId="1103" xr:uid="{00000000-0005-0000-0000-0000810F0000}"/>
    <cellStyle name="Normal 14 2 5 2" xfId="2842" xr:uid="{00000000-0005-0000-0000-0000820F0000}"/>
    <cellStyle name="Normal 14 2 5 2 2" xfId="4681" xr:uid="{00000000-0005-0000-0000-0000830F0000}"/>
    <cellStyle name="Normal 14 2 5 2 2 2" xfId="11910" xr:uid="{00000000-0005-0000-0000-0000840F0000}"/>
    <cellStyle name="Normal 14 2 5 2 3" xfId="10071" xr:uid="{00000000-0005-0000-0000-0000850F0000}"/>
    <cellStyle name="Normal 14 2 5 3" xfId="4680" xr:uid="{00000000-0005-0000-0000-0000860F0000}"/>
    <cellStyle name="Normal 14 2 5 3 2" xfId="11909" xr:uid="{00000000-0005-0000-0000-0000870F0000}"/>
    <cellStyle name="Normal 14 2 5 4" xfId="8333" xr:uid="{00000000-0005-0000-0000-0000880F0000}"/>
    <cellStyle name="Normal 14 2 6" xfId="1975" xr:uid="{00000000-0005-0000-0000-0000890F0000}"/>
    <cellStyle name="Normal 14 2 6 2" xfId="4682" xr:uid="{00000000-0005-0000-0000-00008A0F0000}"/>
    <cellStyle name="Normal 14 2 6 2 2" xfId="11911" xr:uid="{00000000-0005-0000-0000-00008B0F0000}"/>
    <cellStyle name="Normal 14 2 6 3" xfId="9204" xr:uid="{00000000-0005-0000-0000-00008C0F0000}"/>
    <cellStyle name="Normal 14 2 7" xfId="4651" xr:uid="{00000000-0005-0000-0000-00008D0F0000}"/>
    <cellStyle name="Normal 14 2 7 2" xfId="11880" xr:uid="{00000000-0005-0000-0000-00008E0F0000}"/>
    <cellStyle name="Normal 14 2 8" xfId="7464" xr:uid="{00000000-0005-0000-0000-00008F0F0000}"/>
    <cellStyle name="Normal 14 3" xfId="206" xr:uid="{00000000-0005-0000-0000-0000900F0000}"/>
    <cellStyle name="Normal 14 3 2" xfId="333" xr:uid="{00000000-0005-0000-0000-0000910F0000}"/>
    <cellStyle name="Normal 14 3 2 2" xfId="559" xr:uid="{00000000-0005-0000-0000-0000920F0000}"/>
    <cellStyle name="Normal 14 3 2 2 2" xfId="1005" xr:uid="{00000000-0005-0000-0000-0000930F0000}"/>
    <cellStyle name="Normal 14 3 2 2 2 2" xfId="1872" xr:uid="{00000000-0005-0000-0000-0000940F0000}"/>
    <cellStyle name="Normal 14 3 2 2 2 2 2" xfId="3611" xr:uid="{00000000-0005-0000-0000-0000950F0000}"/>
    <cellStyle name="Normal 14 3 2 2 2 2 2 2" xfId="4688" xr:uid="{00000000-0005-0000-0000-0000960F0000}"/>
    <cellStyle name="Normal 14 3 2 2 2 2 2 2 2" xfId="11917" xr:uid="{00000000-0005-0000-0000-0000970F0000}"/>
    <cellStyle name="Normal 14 3 2 2 2 2 2 3" xfId="10840" xr:uid="{00000000-0005-0000-0000-0000980F0000}"/>
    <cellStyle name="Normal 14 3 2 2 2 2 3" xfId="4687" xr:uid="{00000000-0005-0000-0000-0000990F0000}"/>
    <cellStyle name="Normal 14 3 2 2 2 2 3 2" xfId="11916" xr:uid="{00000000-0005-0000-0000-00009A0F0000}"/>
    <cellStyle name="Normal 14 3 2 2 2 2 4" xfId="9102" xr:uid="{00000000-0005-0000-0000-00009B0F0000}"/>
    <cellStyle name="Normal 14 3 2 2 2 3" xfId="2744" xr:uid="{00000000-0005-0000-0000-00009C0F0000}"/>
    <cellStyle name="Normal 14 3 2 2 2 3 2" xfId="4689" xr:uid="{00000000-0005-0000-0000-00009D0F0000}"/>
    <cellStyle name="Normal 14 3 2 2 2 3 2 2" xfId="11918" xr:uid="{00000000-0005-0000-0000-00009E0F0000}"/>
    <cellStyle name="Normal 14 3 2 2 2 3 3" xfId="9973" xr:uid="{00000000-0005-0000-0000-00009F0F0000}"/>
    <cellStyle name="Normal 14 3 2 2 2 4" xfId="4686" xr:uid="{00000000-0005-0000-0000-0000A00F0000}"/>
    <cellStyle name="Normal 14 3 2 2 2 4 2" xfId="11915" xr:uid="{00000000-0005-0000-0000-0000A10F0000}"/>
    <cellStyle name="Normal 14 3 2 2 2 5" xfId="8235" xr:uid="{00000000-0005-0000-0000-0000A20F0000}"/>
    <cellStyle name="Normal 14 3 2 2 3" xfId="1441" xr:uid="{00000000-0005-0000-0000-0000A30F0000}"/>
    <cellStyle name="Normal 14 3 2 2 3 2" xfId="3180" xr:uid="{00000000-0005-0000-0000-0000A40F0000}"/>
    <cellStyle name="Normal 14 3 2 2 3 2 2" xfId="4691" xr:uid="{00000000-0005-0000-0000-0000A50F0000}"/>
    <cellStyle name="Normal 14 3 2 2 3 2 2 2" xfId="11920" xr:uid="{00000000-0005-0000-0000-0000A60F0000}"/>
    <cellStyle name="Normal 14 3 2 2 3 2 3" xfId="10409" xr:uid="{00000000-0005-0000-0000-0000A70F0000}"/>
    <cellStyle name="Normal 14 3 2 2 3 3" xfId="4690" xr:uid="{00000000-0005-0000-0000-0000A80F0000}"/>
    <cellStyle name="Normal 14 3 2 2 3 3 2" xfId="11919" xr:uid="{00000000-0005-0000-0000-0000A90F0000}"/>
    <cellStyle name="Normal 14 3 2 2 3 4" xfId="8671" xr:uid="{00000000-0005-0000-0000-0000AA0F0000}"/>
    <cellStyle name="Normal 14 3 2 2 4" xfId="2313" xr:uid="{00000000-0005-0000-0000-0000AB0F0000}"/>
    <cellStyle name="Normal 14 3 2 2 4 2" xfId="4692" xr:uid="{00000000-0005-0000-0000-0000AC0F0000}"/>
    <cellStyle name="Normal 14 3 2 2 4 2 2" xfId="11921" xr:uid="{00000000-0005-0000-0000-0000AD0F0000}"/>
    <cellStyle name="Normal 14 3 2 2 4 3" xfId="9542" xr:uid="{00000000-0005-0000-0000-0000AE0F0000}"/>
    <cellStyle name="Normal 14 3 2 2 5" xfId="4685" xr:uid="{00000000-0005-0000-0000-0000AF0F0000}"/>
    <cellStyle name="Normal 14 3 2 2 5 2" xfId="11914" xr:uid="{00000000-0005-0000-0000-0000B00F0000}"/>
    <cellStyle name="Normal 14 3 2 2 6" xfId="7804" xr:uid="{00000000-0005-0000-0000-0000B10F0000}"/>
    <cellStyle name="Normal 14 3 2 3" xfId="781" xr:uid="{00000000-0005-0000-0000-0000B20F0000}"/>
    <cellStyle name="Normal 14 3 2 3 2" xfId="1654" xr:uid="{00000000-0005-0000-0000-0000B30F0000}"/>
    <cellStyle name="Normal 14 3 2 3 2 2" xfId="3393" xr:uid="{00000000-0005-0000-0000-0000B40F0000}"/>
    <cellStyle name="Normal 14 3 2 3 2 2 2" xfId="4695" xr:uid="{00000000-0005-0000-0000-0000B50F0000}"/>
    <cellStyle name="Normal 14 3 2 3 2 2 2 2" xfId="11924" xr:uid="{00000000-0005-0000-0000-0000B60F0000}"/>
    <cellStyle name="Normal 14 3 2 3 2 2 3" xfId="10622" xr:uid="{00000000-0005-0000-0000-0000B70F0000}"/>
    <cellStyle name="Normal 14 3 2 3 2 3" xfId="4694" xr:uid="{00000000-0005-0000-0000-0000B80F0000}"/>
    <cellStyle name="Normal 14 3 2 3 2 3 2" xfId="11923" xr:uid="{00000000-0005-0000-0000-0000B90F0000}"/>
    <cellStyle name="Normal 14 3 2 3 2 4" xfId="8884" xr:uid="{00000000-0005-0000-0000-0000BA0F0000}"/>
    <cellStyle name="Normal 14 3 2 3 3" xfId="2526" xr:uid="{00000000-0005-0000-0000-0000BB0F0000}"/>
    <cellStyle name="Normal 14 3 2 3 3 2" xfId="4696" xr:uid="{00000000-0005-0000-0000-0000BC0F0000}"/>
    <cellStyle name="Normal 14 3 2 3 3 2 2" xfId="11925" xr:uid="{00000000-0005-0000-0000-0000BD0F0000}"/>
    <cellStyle name="Normal 14 3 2 3 3 3" xfId="9755" xr:uid="{00000000-0005-0000-0000-0000BE0F0000}"/>
    <cellStyle name="Normal 14 3 2 3 4" xfId="4693" xr:uid="{00000000-0005-0000-0000-0000BF0F0000}"/>
    <cellStyle name="Normal 14 3 2 3 4 2" xfId="11922" xr:uid="{00000000-0005-0000-0000-0000C00F0000}"/>
    <cellStyle name="Normal 14 3 2 3 5" xfId="8017" xr:uid="{00000000-0005-0000-0000-0000C10F0000}"/>
    <cellStyle name="Normal 14 3 2 4" xfId="1223" xr:uid="{00000000-0005-0000-0000-0000C20F0000}"/>
    <cellStyle name="Normal 14 3 2 4 2" xfId="2962" xr:uid="{00000000-0005-0000-0000-0000C30F0000}"/>
    <cellStyle name="Normal 14 3 2 4 2 2" xfId="4698" xr:uid="{00000000-0005-0000-0000-0000C40F0000}"/>
    <cellStyle name="Normal 14 3 2 4 2 2 2" xfId="11927" xr:uid="{00000000-0005-0000-0000-0000C50F0000}"/>
    <cellStyle name="Normal 14 3 2 4 2 3" xfId="10191" xr:uid="{00000000-0005-0000-0000-0000C60F0000}"/>
    <cellStyle name="Normal 14 3 2 4 3" xfId="4697" xr:uid="{00000000-0005-0000-0000-0000C70F0000}"/>
    <cellStyle name="Normal 14 3 2 4 3 2" xfId="11926" xr:uid="{00000000-0005-0000-0000-0000C80F0000}"/>
    <cellStyle name="Normal 14 3 2 4 4" xfId="8453" xr:uid="{00000000-0005-0000-0000-0000C90F0000}"/>
    <cellStyle name="Normal 14 3 2 5" xfId="2095" xr:uid="{00000000-0005-0000-0000-0000CA0F0000}"/>
    <cellStyle name="Normal 14 3 2 5 2" xfId="4699" xr:uid="{00000000-0005-0000-0000-0000CB0F0000}"/>
    <cellStyle name="Normal 14 3 2 5 2 2" xfId="11928" xr:uid="{00000000-0005-0000-0000-0000CC0F0000}"/>
    <cellStyle name="Normal 14 3 2 5 3" xfId="9324" xr:uid="{00000000-0005-0000-0000-0000CD0F0000}"/>
    <cellStyle name="Normal 14 3 2 6" xfId="4684" xr:uid="{00000000-0005-0000-0000-0000CE0F0000}"/>
    <cellStyle name="Normal 14 3 2 6 2" xfId="11913" xr:uid="{00000000-0005-0000-0000-0000CF0F0000}"/>
    <cellStyle name="Normal 14 3 2 7" xfId="7586" xr:uid="{00000000-0005-0000-0000-0000D00F0000}"/>
    <cellStyle name="Normal 14 3 3" xfId="457" xr:uid="{00000000-0005-0000-0000-0000D10F0000}"/>
    <cellStyle name="Normal 14 3 3 2" xfId="903" xr:uid="{00000000-0005-0000-0000-0000D20F0000}"/>
    <cellStyle name="Normal 14 3 3 2 2" xfId="1770" xr:uid="{00000000-0005-0000-0000-0000D30F0000}"/>
    <cellStyle name="Normal 14 3 3 2 2 2" xfId="3509" xr:uid="{00000000-0005-0000-0000-0000D40F0000}"/>
    <cellStyle name="Normal 14 3 3 2 2 2 2" xfId="4703" xr:uid="{00000000-0005-0000-0000-0000D50F0000}"/>
    <cellStyle name="Normal 14 3 3 2 2 2 2 2" xfId="11932" xr:uid="{00000000-0005-0000-0000-0000D60F0000}"/>
    <cellStyle name="Normal 14 3 3 2 2 2 3" xfId="10738" xr:uid="{00000000-0005-0000-0000-0000D70F0000}"/>
    <cellStyle name="Normal 14 3 3 2 2 3" xfId="4702" xr:uid="{00000000-0005-0000-0000-0000D80F0000}"/>
    <cellStyle name="Normal 14 3 3 2 2 3 2" xfId="11931" xr:uid="{00000000-0005-0000-0000-0000D90F0000}"/>
    <cellStyle name="Normal 14 3 3 2 2 4" xfId="9000" xr:uid="{00000000-0005-0000-0000-0000DA0F0000}"/>
    <cellStyle name="Normal 14 3 3 2 3" xfId="2642" xr:uid="{00000000-0005-0000-0000-0000DB0F0000}"/>
    <cellStyle name="Normal 14 3 3 2 3 2" xfId="4704" xr:uid="{00000000-0005-0000-0000-0000DC0F0000}"/>
    <cellStyle name="Normal 14 3 3 2 3 2 2" xfId="11933" xr:uid="{00000000-0005-0000-0000-0000DD0F0000}"/>
    <cellStyle name="Normal 14 3 3 2 3 3" xfId="9871" xr:uid="{00000000-0005-0000-0000-0000DE0F0000}"/>
    <cellStyle name="Normal 14 3 3 2 4" xfId="4701" xr:uid="{00000000-0005-0000-0000-0000DF0F0000}"/>
    <cellStyle name="Normal 14 3 3 2 4 2" xfId="11930" xr:uid="{00000000-0005-0000-0000-0000E00F0000}"/>
    <cellStyle name="Normal 14 3 3 2 5" xfId="8133" xr:uid="{00000000-0005-0000-0000-0000E10F0000}"/>
    <cellStyle name="Normal 14 3 3 3" xfId="1339" xr:uid="{00000000-0005-0000-0000-0000E20F0000}"/>
    <cellStyle name="Normal 14 3 3 3 2" xfId="3078" xr:uid="{00000000-0005-0000-0000-0000E30F0000}"/>
    <cellStyle name="Normal 14 3 3 3 2 2" xfId="4706" xr:uid="{00000000-0005-0000-0000-0000E40F0000}"/>
    <cellStyle name="Normal 14 3 3 3 2 2 2" xfId="11935" xr:uid="{00000000-0005-0000-0000-0000E50F0000}"/>
    <cellStyle name="Normal 14 3 3 3 2 3" xfId="10307" xr:uid="{00000000-0005-0000-0000-0000E60F0000}"/>
    <cellStyle name="Normal 14 3 3 3 3" xfId="4705" xr:uid="{00000000-0005-0000-0000-0000E70F0000}"/>
    <cellStyle name="Normal 14 3 3 3 3 2" xfId="11934" xr:uid="{00000000-0005-0000-0000-0000E80F0000}"/>
    <cellStyle name="Normal 14 3 3 3 4" xfId="8569" xr:uid="{00000000-0005-0000-0000-0000E90F0000}"/>
    <cellStyle name="Normal 14 3 3 4" xfId="2211" xr:uid="{00000000-0005-0000-0000-0000EA0F0000}"/>
    <cellStyle name="Normal 14 3 3 4 2" xfId="4707" xr:uid="{00000000-0005-0000-0000-0000EB0F0000}"/>
    <cellStyle name="Normal 14 3 3 4 2 2" xfId="11936" xr:uid="{00000000-0005-0000-0000-0000EC0F0000}"/>
    <cellStyle name="Normal 14 3 3 4 3" xfId="9440" xr:uid="{00000000-0005-0000-0000-0000ED0F0000}"/>
    <cellStyle name="Normal 14 3 3 5" xfId="4700" xr:uid="{00000000-0005-0000-0000-0000EE0F0000}"/>
    <cellStyle name="Normal 14 3 3 5 2" xfId="11929" xr:uid="{00000000-0005-0000-0000-0000EF0F0000}"/>
    <cellStyle name="Normal 14 3 3 6" xfId="7702" xr:uid="{00000000-0005-0000-0000-0000F00F0000}"/>
    <cellStyle name="Normal 14 3 4" xfId="679" xr:uid="{00000000-0005-0000-0000-0000F10F0000}"/>
    <cellStyle name="Normal 14 3 4 2" xfId="1552" xr:uid="{00000000-0005-0000-0000-0000F20F0000}"/>
    <cellStyle name="Normal 14 3 4 2 2" xfId="3291" xr:uid="{00000000-0005-0000-0000-0000F30F0000}"/>
    <cellStyle name="Normal 14 3 4 2 2 2" xfId="4710" xr:uid="{00000000-0005-0000-0000-0000F40F0000}"/>
    <cellStyle name="Normal 14 3 4 2 2 2 2" xfId="11939" xr:uid="{00000000-0005-0000-0000-0000F50F0000}"/>
    <cellStyle name="Normal 14 3 4 2 2 3" xfId="10520" xr:uid="{00000000-0005-0000-0000-0000F60F0000}"/>
    <cellStyle name="Normal 14 3 4 2 3" xfId="4709" xr:uid="{00000000-0005-0000-0000-0000F70F0000}"/>
    <cellStyle name="Normal 14 3 4 2 3 2" xfId="11938" xr:uid="{00000000-0005-0000-0000-0000F80F0000}"/>
    <cellStyle name="Normal 14 3 4 2 4" xfId="8782" xr:uid="{00000000-0005-0000-0000-0000F90F0000}"/>
    <cellStyle name="Normal 14 3 4 3" xfId="2424" xr:uid="{00000000-0005-0000-0000-0000FA0F0000}"/>
    <cellStyle name="Normal 14 3 4 3 2" xfId="4711" xr:uid="{00000000-0005-0000-0000-0000FB0F0000}"/>
    <cellStyle name="Normal 14 3 4 3 2 2" xfId="11940" xr:uid="{00000000-0005-0000-0000-0000FC0F0000}"/>
    <cellStyle name="Normal 14 3 4 3 3" xfId="9653" xr:uid="{00000000-0005-0000-0000-0000FD0F0000}"/>
    <cellStyle name="Normal 14 3 4 4" xfId="4708" xr:uid="{00000000-0005-0000-0000-0000FE0F0000}"/>
    <cellStyle name="Normal 14 3 4 4 2" xfId="11937" xr:uid="{00000000-0005-0000-0000-0000FF0F0000}"/>
    <cellStyle name="Normal 14 3 4 5" xfId="7915" xr:uid="{00000000-0005-0000-0000-000000100000}"/>
    <cellStyle name="Normal 14 3 5" xfId="1121" xr:uid="{00000000-0005-0000-0000-000001100000}"/>
    <cellStyle name="Normal 14 3 5 2" xfId="2860" xr:uid="{00000000-0005-0000-0000-000002100000}"/>
    <cellStyle name="Normal 14 3 5 2 2" xfId="4713" xr:uid="{00000000-0005-0000-0000-000003100000}"/>
    <cellStyle name="Normal 14 3 5 2 2 2" xfId="11942" xr:uid="{00000000-0005-0000-0000-000004100000}"/>
    <cellStyle name="Normal 14 3 5 2 3" xfId="10089" xr:uid="{00000000-0005-0000-0000-000005100000}"/>
    <cellStyle name="Normal 14 3 5 3" xfId="4712" xr:uid="{00000000-0005-0000-0000-000006100000}"/>
    <cellStyle name="Normal 14 3 5 3 2" xfId="11941" xr:uid="{00000000-0005-0000-0000-000007100000}"/>
    <cellStyle name="Normal 14 3 5 4" xfId="8351" xr:uid="{00000000-0005-0000-0000-000008100000}"/>
    <cellStyle name="Normal 14 3 6" xfId="1993" xr:uid="{00000000-0005-0000-0000-000009100000}"/>
    <cellStyle name="Normal 14 3 6 2" xfId="4714" xr:uid="{00000000-0005-0000-0000-00000A100000}"/>
    <cellStyle name="Normal 14 3 6 2 2" xfId="11943" xr:uid="{00000000-0005-0000-0000-00000B100000}"/>
    <cellStyle name="Normal 14 3 6 3" xfId="9222" xr:uid="{00000000-0005-0000-0000-00000C100000}"/>
    <cellStyle name="Normal 14 3 7" xfId="4683" xr:uid="{00000000-0005-0000-0000-00000D100000}"/>
    <cellStyle name="Normal 14 3 7 2" xfId="11912" xr:uid="{00000000-0005-0000-0000-00000E100000}"/>
    <cellStyle name="Normal 14 3 8" xfId="7484" xr:uid="{00000000-0005-0000-0000-00000F100000}"/>
    <cellStyle name="Normal 14 4" xfId="282" xr:uid="{00000000-0005-0000-0000-000010100000}"/>
    <cellStyle name="Normal 14 4 2" xfId="508" xr:uid="{00000000-0005-0000-0000-000011100000}"/>
    <cellStyle name="Normal 14 4 2 2" xfId="954" xr:uid="{00000000-0005-0000-0000-000012100000}"/>
    <cellStyle name="Normal 14 4 2 2 2" xfId="1821" xr:uid="{00000000-0005-0000-0000-000013100000}"/>
    <cellStyle name="Normal 14 4 2 2 2 2" xfId="3560" xr:uid="{00000000-0005-0000-0000-000014100000}"/>
    <cellStyle name="Normal 14 4 2 2 2 2 2" xfId="4719" xr:uid="{00000000-0005-0000-0000-000015100000}"/>
    <cellStyle name="Normal 14 4 2 2 2 2 2 2" xfId="11948" xr:uid="{00000000-0005-0000-0000-000016100000}"/>
    <cellStyle name="Normal 14 4 2 2 2 2 3" xfId="10789" xr:uid="{00000000-0005-0000-0000-000017100000}"/>
    <cellStyle name="Normal 14 4 2 2 2 3" xfId="4718" xr:uid="{00000000-0005-0000-0000-000018100000}"/>
    <cellStyle name="Normal 14 4 2 2 2 3 2" xfId="11947" xr:uid="{00000000-0005-0000-0000-000019100000}"/>
    <cellStyle name="Normal 14 4 2 2 2 4" xfId="9051" xr:uid="{00000000-0005-0000-0000-00001A100000}"/>
    <cellStyle name="Normal 14 4 2 2 3" xfId="2693" xr:uid="{00000000-0005-0000-0000-00001B100000}"/>
    <cellStyle name="Normal 14 4 2 2 3 2" xfId="4720" xr:uid="{00000000-0005-0000-0000-00001C100000}"/>
    <cellStyle name="Normal 14 4 2 2 3 2 2" xfId="11949" xr:uid="{00000000-0005-0000-0000-00001D100000}"/>
    <cellStyle name="Normal 14 4 2 2 3 3" xfId="9922" xr:uid="{00000000-0005-0000-0000-00001E100000}"/>
    <cellStyle name="Normal 14 4 2 2 4" xfId="4717" xr:uid="{00000000-0005-0000-0000-00001F100000}"/>
    <cellStyle name="Normal 14 4 2 2 4 2" xfId="11946" xr:uid="{00000000-0005-0000-0000-000020100000}"/>
    <cellStyle name="Normal 14 4 2 2 5" xfId="8184" xr:uid="{00000000-0005-0000-0000-000021100000}"/>
    <cellStyle name="Normal 14 4 2 3" xfId="1390" xr:uid="{00000000-0005-0000-0000-000022100000}"/>
    <cellStyle name="Normal 14 4 2 3 2" xfId="3129" xr:uid="{00000000-0005-0000-0000-000023100000}"/>
    <cellStyle name="Normal 14 4 2 3 2 2" xfId="4722" xr:uid="{00000000-0005-0000-0000-000024100000}"/>
    <cellStyle name="Normal 14 4 2 3 2 2 2" xfId="11951" xr:uid="{00000000-0005-0000-0000-000025100000}"/>
    <cellStyle name="Normal 14 4 2 3 2 3" xfId="10358" xr:uid="{00000000-0005-0000-0000-000026100000}"/>
    <cellStyle name="Normal 14 4 2 3 3" xfId="4721" xr:uid="{00000000-0005-0000-0000-000027100000}"/>
    <cellStyle name="Normal 14 4 2 3 3 2" xfId="11950" xr:uid="{00000000-0005-0000-0000-000028100000}"/>
    <cellStyle name="Normal 14 4 2 3 4" xfId="8620" xr:uid="{00000000-0005-0000-0000-000029100000}"/>
    <cellStyle name="Normal 14 4 2 4" xfId="2262" xr:uid="{00000000-0005-0000-0000-00002A100000}"/>
    <cellStyle name="Normal 14 4 2 4 2" xfId="4723" xr:uid="{00000000-0005-0000-0000-00002B100000}"/>
    <cellStyle name="Normal 14 4 2 4 2 2" xfId="11952" xr:uid="{00000000-0005-0000-0000-00002C100000}"/>
    <cellStyle name="Normal 14 4 2 4 3" xfId="9491" xr:uid="{00000000-0005-0000-0000-00002D100000}"/>
    <cellStyle name="Normal 14 4 2 5" xfId="4716" xr:uid="{00000000-0005-0000-0000-00002E100000}"/>
    <cellStyle name="Normal 14 4 2 5 2" xfId="11945" xr:uid="{00000000-0005-0000-0000-00002F100000}"/>
    <cellStyle name="Normal 14 4 2 6" xfId="7753" xr:uid="{00000000-0005-0000-0000-000030100000}"/>
    <cellStyle name="Normal 14 4 3" xfId="730" xr:uid="{00000000-0005-0000-0000-000031100000}"/>
    <cellStyle name="Normal 14 4 3 2" xfId="1603" xr:uid="{00000000-0005-0000-0000-000032100000}"/>
    <cellStyle name="Normal 14 4 3 2 2" xfId="3342" xr:uid="{00000000-0005-0000-0000-000033100000}"/>
    <cellStyle name="Normal 14 4 3 2 2 2" xfId="4726" xr:uid="{00000000-0005-0000-0000-000034100000}"/>
    <cellStyle name="Normal 14 4 3 2 2 2 2" xfId="11955" xr:uid="{00000000-0005-0000-0000-000035100000}"/>
    <cellStyle name="Normal 14 4 3 2 2 3" xfId="10571" xr:uid="{00000000-0005-0000-0000-000036100000}"/>
    <cellStyle name="Normal 14 4 3 2 3" xfId="4725" xr:uid="{00000000-0005-0000-0000-000037100000}"/>
    <cellStyle name="Normal 14 4 3 2 3 2" xfId="11954" xr:uid="{00000000-0005-0000-0000-000038100000}"/>
    <cellStyle name="Normal 14 4 3 2 4" xfId="8833" xr:uid="{00000000-0005-0000-0000-000039100000}"/>
    <cellStyle name="Normal 14 4 3 3" xfId="2475" xr:uid="{00000000-0005-0000-0000-00003A100000}"/>
    <cellStyle name="Normal 14 4 3 3 2" xfId="4727" xr:uid="{00000000-0005-0000-0000-00003B100000}"/>
    <cellStyle name="Normal 14 4 3 3 2 2" xfId="11956" xr:uid="{00000000-0005-0000-0000-00003C100000}"/>
    <cellStyle name="Normal 14 4 3 3 3" xfId="9704" xr:uid="{00000000-0005-0000-0000-00003D100000}"/>
    <cellStyle name="Normal 14 4 3 4" xfId="4724" xr:uid="{00000000-0005-0000-0000-00003E100000}"/>
    <cellStyle name="Normal 14 4 3 4 2" xfId="11953" xr:uid="{00000000-0005-0000-0000-00003F100000}"/>
    <cellStyle name="Normal 14 4 3 5" xfId="7966" xr:uid="{00000000-0005-0000-0000-000040100000}"/>
    <cellStyle name="Normal 14 4 4" xfId="1172" xr:uid="{00000000-0005-0000-0000-000041100000}"/>
    <cellStyle name="Normal 14 4 4 2" xfId="2911" xr:uid="{00000000-0005-0000-0000-000042100000}"/>
    <cellStyle name="Normal 14 4 4 2 2" xfId="4729" xr:uid="{00000000-0005-0000-0000-000043100000}"/>
    <cellStyle name="Normal 14 4 4 2 2 2" xfId="11958" xr:uid="{00000000-0005-0000-0000-000044100000}"/>
    <cellStyle name="Normal 14 4 4 2 3" xfId="10140" xr:uid="{00000000-0005-0000-0000-000045100000}"/>
    <cellStyle name="Normal 14 4 4 3" xfId="4728" xr:uid="{00000000-0005-0000-0000-000046100000}"/>
    <cellStyle name="Normal 14 4 4 3 2" xfId="11957" xr:uid="{00000000-0005-0000-0000-000047100000}"/>
    <cellStyle name="Normal 14 4 4 4" xfId="8402" xr:uid="{00000000-0005-0000-0000-000048100000}"/>
    <cellStyle name="Normal 14 4 5" xfId="2044" xr:uid="{00000000-0005-0000-0000-000049100000}"/>
    <cellStyle name="Normal 14 4 5 2" xfId="4730" xr:uid="{00000000-0005-0000-0000-00004A100000}"/>
    <cellStyle name="Normal 14 4 5 2 2" xfId="11959" xr:uid="{00000000-0005-0000-0000-00004B100000}"/>
    <cellStyle name="Normal 14 4 5 3" xfId="9273" xr:uid="{00000000-0005-0000-0000-00004C100000}"/>
    <cellStyle name="Normal 14 4 6" xfId="4715" xr:uid="{00000000-0005-0000-0000-00004D100000}"/>
    <cellStyle name="Normal 14 4 6 2" xfId="11944" xr:uid="{00000000-0005-0000-0000-00004E100000}"/>
    <cellStyle name="Normal 14 4 7" xfId="7535" xr:uid="{00000000-0005-0000-0000-00004F100000}"/>
    <cellStyle name="Normal 14 5" xfId="406" xr:uid="{00000000-0005-0000-0000-000050100000}"/>
    <cellStyle name="Normal 14 5 2" xfId="852" xr:uid="{00000000-0005-0000-0000-000051100000}"/>
    <cellStyle name="Normal 14 5 2 2" xfId="1719" xr:uid="{00000000-0005-0000-0000-000052100000}"/>
    <cellStyle name="Normal 14 5 2 2 2" xfId="3458" xr:uid="{00000000-0005-0000-0000-000053100000}"/>
    <cellStyle name="Normal 14 5 2 2 2 2" xfId="4734" xr:uid="{00000000-0005-0000-0000-000054100000}"/>
    <cellStyle name="Normal 14 5 2 2 2 2 2" xfId="11963" xr:uid="{00000000-0005-0000-0000-000055100000}"/>
    <cellStyle name="Normal 14 5 2 2 2 3" xfId="10687" xr:uid="{00000000-0005-0000-0000-000056100000}"/>
    <cellStyle name="Normal 14 5 2 2 3" xfId="4733" xr:uid="{00000000-0005-0000-0000-000057100000}"/>
    <cellStyle name="Normal 14 5 2 2 3 2" xfId="11962" xr:uid="{00000000-0005-0000-0000-000058100000}"/>
    <cellStyle name="Normal 14 5 2 2 4" xfId="8949" xr:uid="{00000000-0005-0000-0000-000059100000}"/>
    <cellStyle name="Normal 14 5 2 3" xfId="2591" xr:uid="{00000000-0005-0000-0000-00005A100000}"/>
    <cellStyle name="Normal 14 5 2 3 2" xfId="4735" xr:uid="{00000000-0005-0000-0000-00005B100000}"/>
    <cellStyle name="Normal 14 5 2 3 2 2" xfId="11964" xr:uid="{00000000-0005-0000-0000-00005C100000}"/>
    <cellStyle name="Normal 14 5 2 3 3" xfId="9820" xr:uid="{00000000-0005-0000-0000-00005D100000}"/>
    <cellStyle name="Normal 14 5 2 4" xfId="4732" xr:uid="{00000000-0005-0000-0000-00005E100000}"/>
    <cellStyle name="Normal 14 5 2 4 2" xfId="11961" xr:uid="{00000000-0005-0000-0000-00005F100000}"/>
    <cellStyle name="Normal 14 5 2 5" xfId="8082" xr:uid="{00000000-0005-0000-0000-000060100000}"/>
    <cellStyle name="Normal 14 5 3" xfId="1288" xr:uid="{00000000-0005-0000-0000-000061100000}"/>
    <cellStyle name="Normal 14 5 3 2" xfId="3027" xr:uid="{00000000-0005-0000-0000-000062100000}"/>
    <cellStyle name="Normal 14 5 3 2 2" xfId="4737" xr:uid="{00000000-0005-0000-0000-000063100000}"/>
    <cellStyle name="Normal 14 5 3 2 2 2" xfId="11966" xr:uid="{00000000-0005-0000-0000-000064100000}"/>
    <cellStyle name="Normal 14 5 3 2 3" xfId="10256" xr:uid="{00000000-0005-0000-0000-000065100000}"/>
    <cellStyle name="Normal 14 5 3 3" xfId="4736" xr:uid="{00000000-0005-0000-0000-000066100000}"/>
    <cellStyle name="Normal 14 5 3 3 2" xfId="11965" xr:uid="{00000000-0005-0000-0000-000067100000}"/>
    <cellStyle name="Normal 14 5 3 4" xfId="8518" xr:uid="{00000000-0005-0000-0000-000068100000}"/>
    <cellStyle name="Normal 14 5 4" xfId="2160" xr:uid="{00000000-0005-0000-0000-000069100000}"/>
    <cellStyle name="Normal 14 5 4 2" xfId="4738" xr:uid="{00000000-0005-0000-0000-00006A100000}"/>
    <cellStyle name="Normal 14 5 4 2 2" xfId="11967" xr:uid="{00000000-0005-0000-0000-00006B100000}"/>
    <cellStyle name="Normal 14 5 4 3" xfId="9389" xr:uid="{00000000-0005-0000-0000-00006C100000}"/>
    <cellStyle name="Normal 14 5 5" xfId="4731" xr:uid="{00000000-0005-0000-0000-00006D100000}"/>
    <cellStyle name="Normal 14 5 5 2" xfId="11960" xr:uid="{00000000-0005-0000-0000-00006E100000}"/>
    <cellStyle name="Normal 14 5 6" xfId="7651" xr:uid="{00000000-0005-0000-0000-00006F100000}"/>
    <cellStyle name="Normal 14 6" xfId="625" xr:uid="{00000000-0005-0000-0000-000070100000}"/>
    <cellStyle name="Normal 14 6 2" xfId="1501" xr:uid="{00000000-0005-0000-0000-000071100000}"/>
    <cellStyle name="Normal 14 6 2 2" xfId="3240" xr:uid="{00000000-0005-0000-0000-000072100000}"/>
    <cellStyle name="Normal 14 6 2 2 2" xfId="4741" xr:uid="{00000000-0005-0000-0000-000073100000}"/>
    <cellStyle name="Normal 14 6 2 2 2 2" xfId="11970" xr:uid="{00000000-0005-0000-0000-000074100000}"/>
    <cellStyle name="Normal 14 6 2 2 3" xfId="10469" xr:uid="{00000000-0005-0000-0000-000075100000}"/>
    <cellStyle name="Normal 14 6 2 3" xfId="4740" xr:uid="{00000000-0005-0000-0000-000076100000}"/>
    <cellStyle name="Normal 14 6 2 3 2" xfId="11969" xr:uid="{00000000-0005-0000-0000-000077100000}"/>
    <cellStyle name="Normal 14 6 2 4" xfId="8731" xr:uid="{00000000-0005-0000-0000-000078100000}"/>
    <cellStyle name="Normal 14 6 3" xfId="2373" xr:uid="{00000000-0005-0000-0000-000079100000}"/>
    <cellStyle name="Normal 14 6 3 2" xfId="4742" xr:uid="{00000000-0005-0000-0000-00007A100000}"/>
    <cellStyle name="Normal 14 6 3 2 2" xfId="11971" xr:uid="{00000000-0005-0000-0000-00007B100000}"/>
    <cellStyle name="Normal 14 6 3 3" xfId="9602" xr:uid="{00000000-0005-0000-0000-00007C100000}"/>
    <cellStyle name="Normal 14 6 4" xfId="4739" xr:uid="{00000000-0005-0000-0000-00007D100000}"/>
    <cellStyle name="Normal 14 6 4 2" xfId="11968" xr:uid="{00000000-0005-0000-0000-00007E100000}"/>
    <cellStyle name="Normal 14 6 5" xfId="7864" xr:uid="{00000000-0005-0000-0000-00007F100000}"/>
    <cellStyle name="Normal 14 7" xfId="1070" xr:uid="{00000000-0005-0000-0000-000080100000}"/>
    <cellStyle name="Normal 14 7 2" xfId="2809" xr:uid="{00000000-0005-0000-0000-000081100000}"/>
    <cellStyle name="Normal 14 7 2 2" xfId="4744" xr:uid="{00000000-0005-0000-0000-000082100000}"/>
    <cellStyle name="Normal 14 7 2 2 2" xfId="11973" xr:uid="{00000000-0005-0000-0000-000083100000}"/>
    <cellStyle name="Normal 14 7 2 3" xfId="10038" xr:uid="{00000000-0005-0000-0000-000084100000}"/>
    <cellStyle name="Normal 14 7 3" xfId="4743" xr:uid="{00000000-0005-0000-0000-000085100000}"/>
    <cellStyle name="Normal 14 7 3 2" xfId="11972" xr:uid="{00000000-0005-0000-0000-000086100000}"/>
    <cellStyle name="Normal 14 7 4" xfId="8300" xr:uid="{00000000-0005-0000-0000-000087100000}"/>
    <cellStyle name="Normal 14 8" xfId="1942" xr:uid="{00000000-0005-0000-0000-000088100000}"/>
    <cellStyle name="Normal 14 8 2" xfId="4745" xr:uid="{00000000-0005-0000-0000-000089100000}"/>
    <cellStyle name="Normal 14 8 2 2" xfId="11974" xr:uid="{00000000-0005-0000-0000-00008A100000}"/>
    <cellStyle name="Normal 14 8 3" xfId="9171" xr:uid="{00000000-0005-0000-0000-00008B100000}"/>
    <cellStyle name="Normal 14 9" xfId="4650" xr:uid="{00000000-0005-0000-0000-00008C100000}"/>
    <cellStyle name="Normal 14 9 2" xfId="11879" xr:uid="{00000000-0005-0000-0000-00008D100000}"/>
    <cellStyle name="Normal 15" xfId="54" xr:uid="{00000000-0005-0000-0000-00008E100000}"/>
    <cellStyle name="Normal 15 10" xfId="4746" xr:uid="{00000000-0005-0000-0000-00008F100000}"/>
    <cellStyle name="Normal 15 10 2" xfId="11975" xr:uid="{00000000-0005-0000-0000-000090100000}"/>
    <cellStyle name="Normal 15 11" xfId="7432" xr:uid="{00000000-0005-0000-0000-000091100000}"/>
    <cellStyle name="Normal 15 2" xfId="109" xr:uid="{00000000-0005-0000-0000-000092100000}"/>
    <cellStyle name="Normal 15 2 2" xfId="316" xr:uid="{00000000-0005-0000-0000-000093100000}"/>
    <cellStyle name="Normal 15 2 2 2" xfId="542" xr:uid="{00000000-0005-0000-0000-000094100000}"/>
    <cellStyle name="Normal 15 2 2 2 2" xfId="988" xr:uid="{00000000-0005-0000-0000-000095100000}"/>
    <cellStyle name="Normal 15 2 2 2 2 2" xfId="1855" xr:uid="{00000000-0005-0000-0000-000096100000}"/>
    <cellStyle name="Normal 15 2 2 2 2 2 2" xfId="3594" xr:uid="{00000000-0005-0000-0000-000097100000}"/>
    <cellStyle name="Normal 15 2 2 2 2 2 2 2" xfId="4752" xr:uid="{00000000-0005-0000-0000-000098100000}"/>
    <cellStyle name="Normal 15 2 2 2 2 2 2 2 2" xfId="11981" xr:uid="{00000000-0005-0000-0000-000099100000}"/>
    <cellStyle name="Normal 15 2 2 2 2 2 2 3" xfId="10823" xr:uid="{00000000-0005-0000-0000-00009A100000}"/>
    <cellStyle name="Normal 15 2 2 2 2 2 3" xfId="4751" xr:uid="{00000000-0005-0000-0000-00009B100000}"/>
    <cellStyle name="Normal 15 2 2 2 2 2 3 2" xfId="11980" xr:uid="{00000000-0005-0000-0000-00009C100000}"/>
    <cellStyle name="Normal 15 2 2 2 2 2 4" xfId="9085" xr:uid="{00000000-0005-0000-0000-00009D100000}"/>
    <cellStyle name="Normal 15 2 2 2 2 3" xfId="2727" xr:uid="{00000000-0005-0000-0000-00009E100000}"/>
    <cellStyle name="Normal 15 2 2 2 2 3 2" xfId="4753" xr:uid="{00000000-0005-0000-0000-00009F100000}"/>
    <cellStyle name="Normal 15 2 2 2 2 3 2 2" xfId="11982" xr:uid="{00000000-0005-0000-0000-0000A0100000}"/>
    <cellStyle name="Normal 15 2 2 2 2 3 3" xfId="9956" xr:uid="{00000000-0005-0000-0000-0000A1100000}"/>
    <cellStyle name="Normal 15 2 2 2 2 4" xfId="4750" xr:uid="{00000000-0005-0000-0000-0000A2100000}"/>
    <cellStyle name="Normal 15 2 2 2 2 4 2" xfId="11979" xr:uid="{00000000-0005-0000-0000-0000A3100000}"/>
    <cellStyle name="Normal 15 2 2 2 2 5" xfId="8218" xr:uid="{00000000-0005-0000-0000-0000A4100000}"/>
    <cellStyle name="Normal 15 2 2 2 3" xfId="1424" xr:uid="{00000000-0005-0000-0000-0000A5100000}"/>
    <cellStyle name="Normal 15 2 2 2 3 2" xfId="3163" xr:uid="{00000000-0005-0000-0000-0000A6100000}"/>
    <cellStyle name="Normal 15 2 2 2 3 2 2" xfId="4755" xr:uid="{00000000-0005-0000-0000-0000A7100000}"/>
    <cellStyle name="Normal 15 2 2 2 3 2 2 2" xfId="11984" xr:uid="{00000000-0005-0000-0000-0000A8100000}"/>
    <cellStyle name="Normal 15 2 2 2 3 2 3" xfId="10392" xr:uid="{00000000-0005-0000-0000-0000A9100000}"/>
    <cellStyle name="Normal 15 2 2 2 3 3" xfId="4754" xr:uid="{00000000-0005-0000-0000-0000AA100000}"/>
    <cellStyle name="Normal 15 2 2 2 3 3 2" xfId="11983" xr:uid="{00000000-0005-0000-0000-0000AB100000}"/>
    <cellStyle name="Normal 15 2 2 2 3 4" xfId="8654" xr:uid="{00000000-0005-0000-0000-0000AC100000}"/>
    <cellStyle name="Normal 15 2 2 2 4" xfId="2296" xr:uid="{00000000-0005-0000-0000-0000AD100000}"/>
    <cellStyle name="Normal 15 2 2 2 4 2" xfId="4756" xr:uid="{00000000-0005-0000-0000-0000AE100000}"/>
    <cellStyle name="Normal 15 2 2 2 4 2 2" xfId="11985" xr:uid="{00000000-0005-0000-0000-0000AF100000}"/>
    <cellStyle name="Normal 15 2 2 2 4 3" xfId="9525" xr:uid="{00000000-0005-0000-0000-0000B0100000}"/>
    <cellStyle name="Normal 15 2 2 2 5" xfId="4749" xr:uid="{00000000-0005-0000-0000-0000B1100000}"/>
    <cellStyle name="Normal 15 2 2 2 5 2" xfId="11978" xr:uid="{00000000-0005-0000-0000-0000B2100000}"/>
    <cellStyle name="Normal 15 2 2 2 6" xfId="7787" xr:uid="{00000000-0005-0000-0000-0000B3100000}"/>
    <cellStyle name="Normal 15 2 2 3" xfId="764" xr:uid="{00000000-0005-0000-0000-0000B4100000}"/>
    <cellStyle name="Normal 15 2 2 3 2" xfId="1637" xr:uid="{00000000-0005-0000-0000-0000B5100000}"/>
    <cellStyle name="Normal 15 2 2 3 2 2" xfId="3376" xr:uid="{00000000-0005-0000-0000-0000B6100000}"/>
    <cellStyle name="Normal 15 2 2 3 2 2 2" xfId="4759" xr:uid="{00000000-0005-0000-0000-0000B7100000}"/>
    <cellStyle name="Normal 15 2 2 3 2 2 2 2" xfId="11988" xr:uid="{00000000-0005-0000-0000-0000B8100000}"/>
    <cellStyle name="Normal 15 2 2 3 2 2 3" xfId="10605" xr:uid="{00000000-0005-0000-0000-0000B9100000}"/>
    <cellStyle name="Normal 15 2 2 3 2 3" xfId="4758" xr:uid="{00000000-0005-0000-0000-0000BA100000}"/>
    <cellStyle name="Normal 15 2 2 3 2 3 2" xfId="11987" xr:uid="{00000000-0005-0000-0000-0000BB100000}"/>
    <cellStyle name="Normal 15 2 2 3 2 4" xfId="8867" xr:uid="{00000000-0005-0000-0000-0000BC100000}"/>
    <cellStyle name="Normal 15 2 2 3 3" xfId="2509" xr:uid="{00000000-0005-0000-0000-0000BD100000}"/>
    <cellStyle name="Normal 15 2 2 3 3 2" xfId="4760" xr:uid="{00000000-0005-0000-0000-0000BE100000}"/>
    <cellStyle name="Normal 15 2 2 3 3 2 2" xfId="11989" xr:uid="{00000000-0005-0000-0000-0000BF100000}"/>
    <cellStyle name="Normal 15 2 2 3 3 3" xfId="9738" xr:uid="{00000000-0005-0000-0000-0000C0100000}"/>
    <cellStyle name="Normal 15 2 2 3 4" xfId="4757" xr:uid="{00000000-0005-0000-0000-0000C1100000}"/>
    <cellStyle name="Normal 15 2 2 3 4 2" xfId="11986" xr:uid="{00000000-0005-0000-0000-0000C2100000}"/>
    <cellStyle name="Normal 15 2 2 3 5" xfId="8000" xr:uid="{00000000-0005-0000-0000-0000C3100000}"/>
    <cellStyle name="Normal 15 2 2 4" xfId="1206" xr:uid="{00000000-0005-0000-0000-0000C4100000}"/>
    <cellStyle name="Normal 15 2 2 4 2" xfId="2945" xr:uid="{00000000-0005-0000-0000-0000C5100000}"/>
    <cellStyle name="Normal 15 2 2 4 2 2" xfId="4762" xr:uid="{00000000-0005-0000-0000-0000C6100000}"/>
    <cellStyle name="Normal 15 2 2 4 2 2 2" xfId="11991" xr:uid="{00000000-0005-0000-0000-0000C7100000}"/>
    <cellStyle name="Normal 15 2 2 4 2 3" xfId="10174" xr:uid="{00000000-0005-0000-0000-0000C8100000}"/>
    <cellStyle name="Normal 15 2 2 4 3" xfId="4761" xr:uid="{00000000-0005-0000-0000-0000C9100000}"/>
    <cellStyle name="Normal 15 2 2 4 3 2" xfId="11990" xr:uid="{00000000-0005-0000-0000-0000CA100000}"/>
    <cellStyle name="Normal 15 2 2 4 4" xfId="8436" xr:uid="{00000000-0005-0000-0000-0000CB100000}"/>
    <cellStyle name="Normal 15 2 2 5" xfId="2078" xr:uid="{00000000-0005-0000-0000-0000CC100000}"/>
    <cellStyle name="Normal 15 2 2 5 2" xfId="4763" xr:uid="{00000000-0005-0000-0000-0000CD100000}"/>
    <cellStyle name="Normal 15 2 2 5 2 2" xfId="11992" xr:uid="{00000000-0005-0000-0000-0000CE100000}"/>
    <cellStyle name="Normal 15 2 2 5 3" xfId="9307" xr:uid="{00000000-0005-0000-0000-0000CF100000}"/>
    <cellStyle name="Normal 15 2 2 6" xfId="4748" xr:uid="{00000000-0005-0000-0000-0000D0100000}"/>
    <cellStyle name="Normal 15 2 2 6 2" xfId="11977" xr:uid="{00000000-0005-0000-0000-0000D1100000}"/>
    <cellStyle name="Normal 15 2 2 7" xfId="7569" xr:uid="{00000000-0005-0000-0000-0000D2100000}"/>
    <cellStyle name="Normal 15 2 3" xfId="440" xr:uid="{00000000-0005-0000-0000-0000D3100000}"/>
    <cellStyle name="Normal 15 2 3 2" xfId="886" xr:uid="{00000000-0005-0000-0000-0000D4100000}"/>
    <cellStyle name="Normal 15 2 3 2 2" xfId="1753" xr:uid="{00000000-0005-0000-0000-0000D5100000}"/>
    <cellStyle name="Normal 15 2 3 2 2 2" xfId="3492" xr:uid="{00000000-0005-0000-0000-0000D6100000}"/>
    <cellStyle name="Normal 15 2 3 2 2 2 2" xfId="4767" xr:uid="{00000000-0005-0000-0000-0000D7100000}"/>
    <cellStyle name="Normal 15 2 3 2 2 2 2 2" xfId="11996" xr:uid="{00000000-0005-0000-0000-0000D8100000}"/>
    <cellStyle name="Normal 15 2 3 2 2 2 3" xfId="10721" xr:uid="{00000000-0005-0000-0000-0000D9100000}"/>
    <cellStyle name="Normal 15 2 3 2 2 3" xfId="4766" xr:uid="{00000000-0005-0000-0000-0000DA100000}"/>
    <cellStyle name="Normal 15 2 3 2 2 3 2" xfId="11995" xr:uid="{00000000-0005-0000-0000-0000DB100000}"/>
    <cellStyle name="Normal 15 2 3 2 2 4" xfId="8983" xr:uid="{00000000-0005-0000-0000-0000DC100000}"/>
    <cellStyle name="Normal 15 2 3 2 3" xfId="2625" xr:uid="{00000000-0005-0000-0000-0000DD100000}"/>
    <cellStyle name="Normal 15 2 3 2 3 2" xfId="4768" xr:uid="{00000000-0005-0000-0000-0000DE100000}"/>
    <cellStyle name="Normal 15 2 3 2 3 2 2" xfId="11997" xr:uid="{00000000-0005-0000-0000-0000DF100000}"/>
    <cellStyle name="Normal 15 2 3 2 3 3" xfId="9854" xr:uid="{00000000-0005-0000-0000-0000E0100000}"/>
    <cellStyle name="Normal 15 2 3 2 4" xfId="4765" xr:uid="{00000000-0005-0000-0000-0000E1100000}"/>
    <cellStyle name="Normal 15 2 3 2 4 2" xfId="11994" xr:uid="{00000000-0005-0000-0000-0000E2100000}"/>
    <cellStyle name="Normal 15 2 3 2 5" xfId="8116" xr:uid="{00000000-0005-0000-0000-0000E3100000}"/>
    <cellStyle name="Normal 15 2 3 3" xfId="1322" xr:uid="{00000000-0005-0000-0000-0000E4100000}"/>
    <cellStyle name="Normal 15 2 3 3 2" xfId="3061" xr:uid="{00000000-0005-0000-0000-0000E5100000}"/>
    <cellStyle name="Normal 15 2 3 3 2 2" xfId="4770" xr:uid="{00000000-0005-0000-0000-0000E6100000}"/>
    <cellStyle name="Normal 15 2 3 3 2 2 2" xfId="11999" xr:uid="{00000000-0005-0000-0000-0000E7100000}"/>
    <cellStyle name="Normal 15 2 3 3 2 3" xfId="10290" xr:uid="{00000000-0005-0000-0000-0000E8100000}"/>
    <cellStyle name="Normal 15 2 3 3 3" xfId="4769" xr:uid="{00000000-0005-0000-0000-0000E9100000}"/>
    <cellStyle name="Normal 15 2 3 3 3 2" xfId="11998" xr:uid="{00000000-0005-0000-0000-0000EA100000}"/>
    <cellStyle name="Normal 15 2 3 3 4" xfId="8552" xr:uid="{00000000-0005-0000-0000-0000EB100000}"/>
    <cellStyle name="Normal 15 2 3 4" xfId="2194" xr:uid="{00000000-0005-0000-0000-0000EC100000}"/>
    <cellStyle name="Normal 15 2 3 4 2" xfId="4771" xr:uid="{00000000-0005-0000-0000-0000ED100000}"/>
    <cellStyle name="Normal 15 2 3 4 2 2" xfId="12000" xr:uid="{00000000-0005-0000-0000-0000EE100000}"/>
    <cellStyle name="Normal 15 2 3 4 3" xfId="9423" xr:uid="{00000000-0005-0000-0000-0000EF100000}"/>
    <cellStyle name="Normal 15 2 3 5" xfId="4764" xr:uid="{00000000-0005-0000-0000-0000F0100000}"/>
    <cellStyle name="Normal 15 2 3 5 2" xfId="11993" xr:uid="{00000000-0005-0000-0000-0000F1100000}"/>
    <cellStyle name="Normal 15 2 3 6" xfId="7685" xr:uid="{00000000-0005-0000-0000-0000F2100000}"/>
    <cellStyle name="Normal 15 2 4" xfId="659" xr:uid="{00000000-0005-0000-0000-0000F3100000}"/>
    <cellStyle name="Normal 15 2 4 2" xfId="1535" xr:uid="{00000000-0005-0000-0000-0000F4100000}"/>
    <cellStyle name="Normal 15 2 4 2 2" xfId="3274" xr:uid="{00000000-0005-0000-0000-0000F5100000}"/>
    <cellStyle name="Normal 15 2 4 2 2 2" xfId="4774" xr:uid="{00000000-0005-0000-0000-0000F6100000}"/>
    <cellStyle name="Normal 15 2 4 2 2 2 2" xfId="12003" xr:uid="{00000000-0005-0000-0000-0000F7100000}"/>
    <cellStyle name="Normal 15 2 4 2 2 3" xfId="10503" xr:uid="{00000000-0005-0000-0000-0000F8100000}"/>
    <cellStyle name="Normal 15 2 4 2 3" xfId="4773" xr:uid="{00000000-0005-0000-0000-0000F9100000}"/>
    <cellStyle name="Normal 15 2 4 2 3 2" xfId="12002" xr:uid="{00000000-0005-0000-0000-0000FA100000}"/>
    <cellStyle name="Normal 15 2 4 2 4" xfId="8765" xr:uid="{00000000-0005-0000-0000-0000FB100000}"/>
    <cellStyle name="Normal 15 2 4 3" xfId="2407" xr:uid="{00000000-0005-0000-0000-0000FC100000}"/>
    <cellStyle name="Normal 15 2 4 3 2" xfId="4775" xr:uid="{00000000-0005-0000-0000-0000FD100000}"/>
    <cellStyle name="Normal 15 2 4 3 2 2" xfId="12004" xr:uid="{00000000-0005-0000-0000-0000FE100000}"/>
    <cellStyle name="Normal 15 2 4 3 3" xfId="9636" xr:uid="{00000000-0005-0000-0000-0000FF100000}"/>
    <cellStyle name="Normal 15 2 4 4" xfId="4772" xr:uid="{00000000-0005-0000-0000-000000110000}"/>
    <cellStyle name="Normal 15 2 4 4 2" xfId="12001" xr:uid="{00000000-0005-0000-0000-000001110000}"/>
    <cellStyle name="Normal 15 2 4 5" xfId="7898" xr:uid="{00000000-0005-0000-0000-000002110000}"/>
    <cellStyle name="Normal 15 2 5" xfId="1104" xr:uid="{00000000-0005-0000-0000-000003110000}"/>
    <cellStyle name="Normal 15 2 5 2" xfId="2843" xr:uid="{00000000-0005-0000-0000-000004110000}"/>
    <cellStyle name="Normal 15 2 5 2 2" xfId="4777" xr:uid="{00000000-0005-0000-0000-000005110000}"/>
    <cellStyle name="Normal 15 2 5 2 2 2" xfId="12006" xr:uid="{00000000-0005-0000-0000-000006110000}"/>
    <cellStyle name="Normal 15 2 5 2 3" xfId="10072" xr:uid="{00000000-0005-0000-0000-000007110000}"/>
    <cellStyle name="Normal 15 2 5 3" xfId="4776" xr:uid="{00000000-0005-0000-0000-000008110000}"/>
    <cellStyle name="Normal 15 2 5 3 2" xfId="12005" xr:uid="{00000000-0005-0000-0000-000009110000}"/>
    <cellStyle name="Normal 15 2 5 4" xfId="8334" xr:uid="{00000000-0005-0000-0000-00000A110000}"/>
    <cellStyle name="Normal 15 2 6" xfId="1976" xr:uid="{00000000-0005-0000-0000-00000B110000}"/>
    <cellStyle name="Normal 15 2 6 2" xfId="4778" xr:uid="{00000000-0005-0000-0000-00000C110000}"/>
    <cellStyle name="Normal 15 2 6 2 2" xfId="12007" xr:uid="{00000000-0005-0000-0000-00000D110000}"/>
    <cellStyle name="Normal 15 2 6 3" xfId="9205" xr:uid="{00000000-0005-0000-0000-00000E110000}"/>
    <cellStyle name="Normal 15 2 7" xfId="4747" xr:uid="{00000000-0005-0000-0000-00000F110000}"/>
    <cellStyle name="Normal 15 2 7 2" xfId="11976" xr:uid="{00000000-0005-0000-0000-000010110000}"/>
    <cellStyle name="Normal 15 2 8" xfId="7465" xr:uid="{00000000-0005-0000-0000-000011110000}"/>
    <cellStyle name="Normal 15 3" xfId="207" xr:uid="{00000000-0005-0000-0000-000012110000}"/>
    <cellStyle name="Normal 15 3 2" xfId="334" xr:uid="{00000000-0005-0000-0000-000013110000}"/>
    <cellStyle name="Normal 15 3 2 2" xfId="560" xr:uid="{00000000-0005-0000-0000-000014110000}"/>
    <cellStyle name="Normal 15 3 2 2 2" xfId="1006" xr:uid="{00000000-0005-0000-0000-000015110000}"/>
    <cellStyle name="Normal 15 3 2 2 2 2" xfId="1873" xr:uid="{00000000-0005-0000-0000-000016110000}"/>
    <cellStyle name="Normal 15 3 2 2 2 2 2" xfId="3612" xr:uid="{00000000-0005-0000-0000-000017110000}"/>
    <cellStyle name="Normal 15 3 2 2 2 2 2 2" xfId="4784" xr:uid="{00000000-0005-0000-0000-000018110000}"/>
    <cellStyle name="Normal 15 3 2 2 2 2 2 2 2" xfId="12013" xr:uid="{00000000-0005-0000-0000-000019110000}"/>
    <cellStyle name="Normal 15 3 2 2 2 2 2 3" xfId="10841" xr:uid="{00000000-0005-0000-0000-00001A110000}"/>
    <cellStyle name="Normal 15 3 2 2 2 2 3" xfId="4783" xr:uid="{00000000-0005-0000-0000-00001B110000}"/>
    <cellStyle name="Normal 15 3 2 2 2 2 3 2" xfId="12012" xr:uid="{00000000-0005-0000-0000-00001C110000}"/>
    <cellStyle name="Normal 15 3 2 2 2 2 4" xfId="9103" xr:uid="{00000000-0005-0000-0000-00001D110000}"/>
    <cellStyle name="Normal 15 3 2 2 2 3" xfId="2745" xr:uid="{00000000-0005-0000-0000-00001E110000}"/>
    <cellStyle name="Normal 15 3 2 2 2 3 2" xfId="4785" xr:uid="{00000000-0005-0000-0000-00001F110000}"/>
    <cellStyle name="Normal 15 3 2 2 2 3 2 2" xfId="12014" xr:uid="{00000000-0005-0000-0000-000020110000}"/>
    <cellStyle name="Normal 15 3 2 2 2 3 3" xfId="9974" xr:uid="{00000000-0005-0000-0000-000021110000}"/>
    <cellStyle name="Normal 15 3 2 2 2 4" xfId="4782" xr:uid="{00000000-0005-0000-0000-000022110000}"/>
    <cellStyle name="Normal 15 3 2 2 2 4 2" xfId="12011" xr:uid="{00000000-0005-0000-0000-000023110000}"/>
    <cellStyle name="Normal 15 3 2 2 2 5" xfId="8236" xr:uid="{00000000-0005-0000-0000-000024110000}"/>
    <cellStyle name="Normal 15 3 2 2 3" xfId="1442" xr:uid="{00000000-0005-0000-0000-000025110000}"/>
    <cellStyle name="Normal 15 3 2 2 3 2" xfId="3181" xr:uid="{00000000-0005-0000-0000-000026110000}"/>
    <cellStyle name="Normal 15 3 2 2 3 2 2" xfId="4787" xr:uid="{00000000-0005-0000-0000-000027110000}"/>
    <cellStyle name="Normal 15 3 2 2 3 2 2 2" xfId="12016" xr:uid="{00000000-0005-0000-0000-000028110000}"/>
    <cellStyle name="Normal 15 3 2 2 3 2 3" xfId="10410" xr:uid="{00000000-0005-0000-0000-000029110000}"/>
    <cellStyle name="Normal 15 3 2 2 3 3" xfId="4786" xr:uid="{00000000-0005-0000-0000-00002A110000}"/>
    <cellStyle name="Normal 15 3 2 2 3 3 2" xfId="12015" xr:uid="{00000000-0005-0000-0000-00002B110000}"/>
    <cellStyle name="Normal 15 3 2 2 3 4" xfId="8672" xr:uid="{00000000-0005-0000-0000-00002C110000}"/>
    <cellStyle name="Normal 15 3 2 2 4" xfId="2314" xr:uid="{00000000-0005-0000-0000-00002D110000}"/>
    <cellStyle name="Normal 15 3 2 2 4 2" xfId="4788" xr:uid="{00000000-0005-0000-0000-00002E110000}"/>
    <cellStyle name="Normal 15 3 2 2 4 2 2" xfId="12017" xr:uid="{00000000-0005-0000-0000-00002F110000}"/>
    <cellStyle name="Normal 15 3 2 2 4 3" xfId="9543" xr:uid="{00000000-0005-0000-0000-000030110000}"/>
    <cellStyle name="Normal 15 3 2 2 5" xfId="4781" xr:uid="{00000000-0005-0000-0000-000031110000}"/>
    <cellStyle name="Normal 15 3 2 2 5 2" xfId="12010" xr:uid="{00000000-0005-0000-0000-000032110000}"/>
    <cellStyle name="Normal 15 3 2 2 6" xfId="7805" xr:uid="{00000000-0005-0000-0000-000033110000}"/>
    <cellStyle name="Normal 15 3 2 3" xfId="782" xr:uid="{00000000-0005-0000-0000-000034110000}"/>
    <cellStyle name="Normal 15 3 2 3 2" xfId="1655" xr:uid="{00000000-0005-0000-0000-000035110000}"/>
    <cellStyle name="Normal 15 3 2 3 2 2" xfId="3394" xr:uid="{00000000-0005-0000-0000-000036110000}"/>
    <cellStyle name="Normal 15 3 2 3 2 2 2" xfId="4791" xr:uid="{00000000-0005-0000-0000-000037110000}"/>
    <cellStyle name="Normal 15 3 2 3 2 2 2 2" xfId="12020" xr:uid="{00000000-0005-0000-0000-000038110000}"/>
    <cellStyle name="Normal 15 3 2 3 2 2 3" xfId="10623" xr:uid="{00000000-0005-0000-0000-000039110000}"/>
    <cellStyle name="Normal 15 3 2 3 2 3" xfId="4790" xr:uid="{00000000-0005-0000-0000-00003A110000}"/>
    <cellStyle name="Normal 15 3 2 3 2 3 2" xfId="12019" xr:uid="{00000000-0005-0000-0000-00003B110000}"/>
    <cellStyle name="Normal 15 3 2 3 2 4" xfId="8885" xr:uid="{00000000-0005-0000-0000-00003C110000}"/>
    <cellStyle name="Normal 15 3 2 3 3" xfId="2527" xr:uid="{00000000-0005-0000-0000-00003D110000}"/>
    <cellStyle name="Normal 15 3 2 3 3 2" xfId="4792" xr:uid="{00000000-0005-0000-0000-00003E110000}"/>
    <cellStyle name="Normal 15 3 2 3 3 2 2" xfId="12021" xr:uid="{00000000-0005-0000-0000-00003F110000}"/>
    <cellStyle name="Normal 15 3 2 3 3 3" xfId="9756" xr:uid="{00000000-0005-0000-0000-000040110000}"/>
    <cellStyle name="Normal 15 3 2 3 4" xfId="4789" xr:uid="{00000000-0005-0000-0000-000041110000}"/>
    <cellStyle name="Normal 15 3 2 3 4 2" xfId="12018" xr:uid="{00000000-0005-0000-0000-000042110000}"/>
    <cellStyle name="Normal 15 3 2 3 5" xfId="8018" xr:uid="{00000000-0005-0000-0000-000043110000}"/>
    <cellStyle name="Normal 15 3 2 4" xfId="1224" xr:uid="{00000000-0005-0000-0000-000044110000}"/>
    <cellStyle name="Normal 15 3 2 4 2" xfId="2963" xr:uid="{00000000-0005-0000-0000-000045110000}"/>
    <cellStyle name="Normal 15 3 2 4 2 2" xfId="4794" xr:uid="{00000000-0005-0000-0000-000046110000}"/>
    <cellStyle name="Normal 15 3 2 4 2 2 2" xfId="12023" xr:uid="{00000000-0005-0000-0000-000047110000}"/>
    <cellStyle name="Normal 15 3 2 4 2 3" xfId="10192" xr:uid="{00000000-0005-0000-0000-000048110000}"/>
    <cellStyle name="Normal 15 3 2 4 3" xfId="4793" xr:uid="{00000000-0005-0000-0000-000049110000}"/>
    <cellStyle name="Normal 15 3 2 4 3 2" xfId="12022" xr:uid="{00000000-0005-0000-0000-00004A110000}"/>
    <cellStyle name="Normal 15 3 2 4 4" xfId="8454" xr:uid="{00000000-0005-0000-0000-00004B110000}"/>
    <cellStyle name="Normal 15 3 2 5" xfId="2096" xr:uid="{00000000-0005-0000-0000-00004C110000}"/>
    <cellStyle name="Normal 15 3 2 5 2" xfId="4795" xr:uid="{00000000-0005-0000-0000-00004D110000}"/>
    <cellStyle name="Normal 15 3 2 5 2 2" xfId="12024" xr:uid="{00000000-0005-0000-0000-00004E110000}"/>
    <cellStyle name="Normal 15 3 2 5 3" xfId="9325" xr:uid="{00000000-0005-0000-0000-00004F110000}"/>
    <cellStyle name="Normal 15 3 2 6" xfId="4780" xr:uid="{00000000-0005-0000-0000-000050110000}"/>
    <cellStyle name="Normal 15 3 2 6 2" xfId="12009" xr:uid="{00000000-0005-0000-0000-000051110000}"/>
    <cellStyle name="Normal 15 3 2 7" xfId="7587" xr:uid="{00000000-0005-0000-0000-000052110000}"/>
    <cellStyle name="Normal 15 3 3" xfId="458" xr:uid="{00000000-0005-0000-0000-000053110000}"/>
    <cellStyle name="Normal 15 3 3 2" xfId="904" xr:uid="{00000000-0005-0000-0000-000054110000}"/>
    <cellStyle name="Normal 15 3 3 2 2" xfId="1771" xr:uid="{00000000-0005-0000-0000-000055110000}"/>
    <cellStyle name="Normal 15 3 3 2 2 2" xfId="3510" xr:uid="{00000000-0005-0000-0000-000056110000}"/>
    <cellStyle name="Normal 15 3 3 2 2 2 2" xfId="4799" xr:uid="{00000000-0005-0000-0000-000057110000}"/>
    <cellStyle name="Normal 15 3 3 2 2 2 2 2" xfId="12028" xr:uid="{00000000-0005-0000-0000-000058110000}"/>
    <cellStyle name="Normal 15 3 3 2 2 2 3" xfId="10739" xr:uid="{00000000-0005-0000-0000-000059110000}"/>
    <cellStyle name="Normal 15 3 3 2 2 3" xfId="4798" xr:uid="{00000000-0005-0000-0000-00005A110000}"/>
    <cellStyle name="Normal 15 3 3 2 2 3 2" xfId="12027" xr:uid="{00000000-0005-0000-0000-00005B110000}"/>
    <cellStyle name="Normal 15 3 3 2 2 4" xfId="9001" xr:uid="{00000000-0005-0000-0000-00005C110000}"/>
    <cellStyle name="Normal 15 3 3 2 3" xfId="2643" xr:uid="{00000000-0005-0000-0000-00005D110000}"/>
    <cellStyle name="Normal 15 3 3 2 3 2" xfId="4800" xr:uid="{00000000-0005-0000-0000-00005E110000}"/>
    <cellStyle name="Normal 15 3 3 2 3 2 2" xfId="12029" xr:uid="{00000000-0005-0000-0000-00005F110000}"/>
    <cellStyle name="Normal 15 3 3 2 3 3" xfId="9872" xr:uid="{00000000-0005-0000-0000-000060110000}"/>
    <cellStyle name="Normal 15 3 3 2 4" xfId="4797" xr:uid="{00000000-0005-0000-0000-000061110000}"/>
    <cellStyle name="Normal 15 3 3 2 4 2" xfId="12026" xr:uid="{00000000-0005-0000-0000-000062110000}"/>
    <cellStyle name="Normal 15 3 3 2 5" xfId="8134" xr:uid="{00000000-0005-0000-0000-000063110000}"/>
    <cellStyle name="Normal 15 3 3 3" xfId="1340" xr:uid="{00000000-0005-0000-0000-000064110000}"/>
    <cellStyle name="Normal 15 3 3 3 2" xfId="3079" xr:uid="{00000000-0005-0000-0000-000065110000}"/>
    <cellStyle name="Normal 15 3 3 3 2 2" xfId="4802" xr:uid="{00000000-0005-0000-0000-000066110000}"/>
    <cellStyle name="Normal 15 3 3 3 2 2 2" xfId="12031" xr:uid="{00000000-0005-0000-0000-000067110000}"/>
    <cellStyle name="Normal 15 3 3 3 2 3" xfId="10308" xr:uid="{00000000-0005-0000-0000-000068110000}"/>
    <cellStyle name="Normal 15 3 3 3 3" xfId="4801" xr:uid="{00000000-0005-0000-0000-000069110000}"/>
    <cellStyle name="Normal 15 3 3 3 3 2" xfId="12030" xr:uid="{00000000-0005-0000-0000-00006A110000}"/>
    <cellStyle name="Normal 15 3 3 3 4" xfId="8570" xr:uid="{00000000-0005-0000-0000-00006B110000}"/>
    <cellStyle name="Normal 15 3 3 4" xfId="2212" xr:uid="{00000000-0005-0000-0000-00006C110000}"/>
    <cellStyle name="Normal 15 3 3 4 2" xfId="4803" xr:uid="{00000000-0005-0000-0000-00006D110000}"/>
    <cellStyle name="Normal 15 3 3 4 2 2" xfId="12032" xr:uid="{00000000-0005-0000-0000-00006E110000}"/>
    <cellStyle name="Normal 15 3 3 4 3" xfId="9441" xr:uid="{00000000-0005-0000-0000-00006F110000}"/>
    <cellStyle name="Normal 15 3 3 5" xfId="4796" xr:uid="{00000000-0005-0000-0000-000070110000}"/>
    <cellStyle name="Normal 15 3 3 5 2" xfId="12025" xr:uid="{00000000-0005-0000-0000-000071110000}"/>
    <cellStyle name="Normal 15 3 3 6" xfId="7703" xr:uid="{00000000-0005-0000-0000-000072110000}"/>
    <cellStyle name="Normal 15 3 4" xfId="680" xr:uid="{00000000-0005-0000-0000-000073110000}"/>
    <cellStyle name="Normal 15 3 4 2" xfId="1553" xr:uid="{00000000-0005-0000-0000-000074110000}"/>
    <cellStyle name="Normal 15 3 4 2 2" xfId="3292" xr:uid="{00000000-0005-0000-0000-000075110000}"/>
    <cellStyle name="Normal 15 3 4 2 2 2" xfId="4806" xr:uid="{00000000-0005-0000-0000-000076110000}"/>
    <cellStyle name="Normal 15 3 4 2 2 2 2" xfId="12035" xr:uid="{00000000-0005-0000-0000-000077110000}"/>
    <cellStyle name="Normal 15 3 4 2 2 3" xfId="10521" xr:uid="{00000000-0005-0000-0000-000078110000}"/>
    <cellStyle name="Normal 15 3 4 2 3" xfId="4805" xr:uid="{00000000-0005-0000-0000-000079110000}"/>
    <cellStyle name="Normal 15 3 4 2 3 2" xfId="12034" xr:uid="{00000000-0005-0000-0000-00007A110000}"/>
    <cellStyle name="Normal 15 3 4 2 4" xfId="8783" xr:uid="{00000000-0005-0000-0000-00007B110000}"/>
    <cellStyle name="Normal 15 3 4 3" xfId="2425" xr:uid="{00000000-0005-0000-0000-00007C110000}"/>
    <cellStyle name="Normal 15 3 4 3 2" xfId="4807" xr:uid="{00000000-0005-0000-0000-00007D110000}"/>
    <cellStyle name="Normal 15 3 4 3 2 2" xfId="12036" xr:uid="{00000000-0005-0000-0000-00007E110000}"/>
    <cellStyle name="Normal 15 3 4 3 3" xfId="9654" xr:uid="{00000000-0005-0000-0000-00007F110000}"/>
    <cellStyle name="Normal 15 3 4 4" xfId="4804" xr:uid="{00000000-0005-0000-0000-000080110000}"/>
    <cellStyle name="Normal 15 3 4 4 2" xfId="12033" xr:uid="{00000000-0005-0000-0000-000081110000}"/>
    <cellStyle name="Normal 15 3 4 5" xfId="7916" xr:uid="{00000000-0005-0000-0000-000082110000}"/>
    <cellStyle name="Normal 15 3 5" xfId="1122" xr:uid="{00000000-0005-0000-0000-000083110000}"/>
    <cellStyle name="Normal 15 3 5 2" xfId="2861" xr:uid="{00000000-0005-0000-0000-000084110000}"/>
    <cellStyle name="Normal 15 3 5 2 2" xfId="4809" xr:uid="{00000000-0005-0000-0000-000085110000}"/>
    <cellStyle name="Normal 15 3 5 2 2 2" xfId="12038" xr:uid="{00000000-0005-0000-0000-000086110000}"/>
    <cellStyle name="Normal 15 3 5 2 3" xfId="10090" xr:uid="{00000000-0005-0000-0000-000087110000}"/>
    <cellStyle name="Normal 15 3 5 3" xfId="4808" xr:uid="{00000000-0005-0000-0000-000088110000}"/>
    <cellStyle name="Normal 15 3 5 3 2" xfId="12037" xr:uid="{00000000-0005-0000-0000-000089110000}"/>
    <cellStyle name="Normal 15 3 5 4" xfId="8352" xr:uid="{00000000-0005-0000-0000-00008A110000}"/>
    <cellStyle name="Normal 15 3 6" xfId="1994" xr:uid="{00000000-0005-0000-0000-00008B110000}"/>
    <cellStyle name="Normal 15 3 6 2" xfId="4810" xr:uid="{00000000-0005-0000-0000-00008C110000}"/>
    <cellStyle name="Normal 15 3 6 2 2" xfId="12039" xr:uid="{00000000-0005-0000-0000-00008D110000}"/>
    <cellStyle name="Normal 15 3 6 3" xfId="9223" xr:uid="{00000000-0005-0000-0000-00008E110000}"/>
    <cellStyle name="Normal 15 3 7" xfId="4779" xr:uid="{00000000-0005-0000-0000-00008F110000}"/>
    <cellStyle name="Normal 15 3 7 2" xfId="12008" xr:uid="{00000000-0005-0000-0000-000090110000}"/>
    <cellStyle name="Normal 15 3 8" xfId="7485" xr:uid="{00000000-0005-0000-0000-000091110000}"/>
    <cellStyle name="Normal 15 4" xfId="208" xr:uid="{00000000-0005-0000-0000-000092110000}"/>
    <cellStyle name="Normal 15 4 2" xfId="335" xr:uid="{00000000-0005-0000-0000-000093110000}"/>
    <cellStyle name="Normal 15 4 2 2" xfId="561" xr:uid="{00000000-0005-0000-0000-000094110000}"/>
    <cellStyle name="Normal 15 4 2 2 2" xfId="1007" xr:uid="{00000000-0005-0000-0000-000095110000}"/>
    <cellStyle name="Normal 15 4 2 2 2 2" xfId="1874" xr:uid="{00000000-0005-0000-0000-000096110000}"/>
    <cellStyle name="Normal 15 4 2 2 2 2 2" xfId="3613" xr:uid="{00000000-0005-0000-0000-000097110000}"/>
    <cellStyle name="Normal 15 4 2 2 2 2 2 2" xfId="4816" xr:uid="{00000000-0005-0000-0000-000098110000}"/>
    <cellStyle name="Normal 15 4 2 2 2 2 2 2 2" xfId="12045" xr:uid="{00000000-0005-0000-0000-000099110000}"/>
    <cellStyle name="Normal 15 4 2 2 2 2 2 3" xfId="10842" xr:uid="{00000000-0005-0000-0000-00009A110000}"/>
    <cellStyle name="Normal 15 4 2 2 2 2 3" xfId="4815" xr:uid="{00000000-0005-0000-0000-00009B110000}"/>
    <cellStyle name="Normal 15 4 2 2 2 2 3 2" xfId="12044" xr:uid="{00000000-0005-0000-0000-00009C110000}"/>
    <cellStyle name="Normal 15 4 2 2 2 2 4" xfId="9104" xr:uid="{00000000-0005-0000-0000-00009D110000}"/>
    <cellStyle name="Normal 15 4 2 2 2 3" xfId="2746" xr:uid="{00000000-0005-0000-0000-00009E110000}"/>
    <cellStyle name="Normal 15 4 2 2 2 3 2" xfId="4817" xr:uid="{00000000-0005-0000-0000-00009F110000}"/>
    <cellStyle name="Normal 15 4 2 2 2 3 2 2" xfId="12046" xr:uid="{00000000-0005-0000-0000-0000A0110000}"/>
    <cellStyle name="Normal 15 4 2 2 2 3 3" xfId="9975" xr:uid="{00000000-0005-0000-0000-0000A1110000}"/>
    <cellStyle name="Normal 15 4 2 2 2 4" xfId="4814" xr:uid="{00000000-0005-0000-0000-0000A2110000}"/>
    <cellStyle name="Normal 15 4 2 2 2 4 2" xfId="12043" xr:uid="{00000000-0005-0000-0000-0000A3110000}"/>
    <cellStyle name="Normal 15 4 2 2 2 5" xfId="8237" xr:uid="{00000000-0005-0000-0000-0000A4110000}"/>
    <cellStyle name="Normal 15 4 2 2 3" xfId="1443" xr:uid="{00000000-0005-0000-0000-0000A5110000}"/>
    <cellStyle name="Normal 15 4 2 2 3 2" xfId="3182" xr:uid="{00000000-0005-0000-0000-0000A6110000}"/>
    <cellStyle name="Normal 15 4 2 2 3 2 2" xfId="4819" xr:uid="{00000000-0005-0000-0000-0000A7110000}"/>
    <cellStyle name="Normal 15 4 2 2 3 2 2 2" xfId="12048" xr:uid="{00000000-0005-0000-0000-0000A8110000}"/>
    <cellStyle name="Normal 15 4 2 2 3 2 3" xfId="10411" xr:uid="{00000000-0005-0000-0000-0000A9110000}"/>
    <cellStyle name="Normal 15 4 2 2 3 3" xfId="4818" xr:uid="{00000000-0005-0000-0000-0000AA110000}"/>
    <cellStyle name="Normal 15 4 2 2 3 3 2" xfId="12047" xr:uid="{00000000-0005-0000-0000-0000AB110000}"/>
    <cellStyle name="Normal 15 4 2 2 3 4" xfId="8673" xr:uid="{00000000-0005-0000-0000-0000AC110000}"/>
    <cellStyle name="Normal 15 4 2 2 4" xfId="2315" xr:uid="{00000000-0005-0000-0000-0000AD110000}"/>
    <cellStyle name="Normal 15 4 2 2 4 2" xfId="4820" xr:uid="{00000000-0005-0000-0000-0000AE110000}"/>
    <cellStyle name="Normal 15 4 2 2 4 2 2" xfId="12049" xr:uid="{00000000-0005-0000-0000-0000AF110000}"/>
    <cellStyle name="Normal 15 4 2 2 4 3" xfId="9544" xr:uid="{00000000-0005-0000-0000-0000B0110000}"/>
    <cellStyle name="Normal 15 4 2 2 5" xfId="4813" xr:uid="{00000000-0005-0000-0000-0000B1110000}"/>
    <cellStyle name="Normal 15 4 2 2 5 2" xfId="12042" xr:uid="{00000000-0005-0000-0000-0000B2110000}"/>
    <cellStyle name="Normal 15 4 2 2 6" xfId="7806" xr:uid="{00000000-0005-0000-0000-0000B3110000}"/>
    <cellStyle name="Normal 15 4 2 3" xfId="783" xr:uid="{00000000-0005-0000-0000-0000B4110000}"/>
    <cellStyle name="Normal 15 4 2 3 2" xfId="1656" xr:uid="{00000000-0005-0000-0000-0000B5110000}"/>
    <cellStyle name="Normal 15 4 2 3 2 2" xfId="3395" xr:uid="{00000000-0005-0000-0000-0000B6110000}"/>
    <cellStyle name="Normal 15 4 2 3 2 2 2" xfId="4823" xr:uid="{00000000-0005-0000-0000-0000B7110000}"/>
    <cellStyle name="Normal 15 4 2 3 2 2 2 2" xfId="12052" xr:uid="{00000000-0005-0000-0000-0000B8110000}"/>
    <cellStyle name="Normal 15 4 2 3 2 2 3" xfId="10624" xr:uid="{00000000-0005-0000-0000-0000B9110000}"/>
    <cellStyle name="Normal 15 4 2 3 2 3" xfId="4822" xr:uid="{00000000-0005-0000-0000-0000BA110000}"/>
    <cellStyle name="Normal 15 4 2 3 2 3 2" xfId="12051" xr:uid="{00000000-0005-0000-0000-0000BB110000}"/>
    <cellStyle name="Normal 15 4 2 3 2 4" xfId="8886" xr:uid="{00000000-0005-0000-0000-0000BC110000}"/>
    <cellStyle name="Normal 15 4 2 3 3" xfId="2528" xr:uid="{00000000-0005-0000-0000-0000BD110000}"/>
    <cellStyle name="Normal 15 4 2 3 3 2" xfId="4824" xr:uid="{00000000-0005-0000-0000-0000BE110000}"/>
    <cellStyle name="Normal 15 4 2 3 3 2 2" xfId="12053" xr:uid="{00000000-0005-0000-0000-0000BF110000}"/>
    <cellStyle name="Normal 15 4 2 3 3 3" xfId="9757" xr:uid="{00000000-0005-0000-0000-0000C0110000}"/>
    <cellStyle name="Normal 15 4 2 3 4" xfId="4821" xr:uid="{00000000-0005-0000-0000-0000C1110000}"/>
    <cellStyle name="Normal 15 4 2 3 4 2" xfId="12050" xr:uid="{00000000-0005-0000-0000-0000C2110000}"/>
    <cellStyle name="Normal 15 4 2 3 5" xfId="8019" xr:uid="{00000000-0005-0000-0000-0000C3110000}"/>
    <cellStyle name="Normal 15 4 2 4" xfId="1225" xr:uid="{00000000-0005-0000-0000-0000C4110000}"/>
    <cellStyle name="Normal 15 4 2 4 2" xfId="2964" xr:uid="{00000000-0005-0000-0000-0000C5110000}"/>
    <cellStyle name="Normal 15 4 2 4 2 2" xfId="4826" xr:uid="{00000000-0005-0000-0000-0000C6110000}"/>
    <cellStyle name="Normal 15 4 2 4 2 2 2" xfId="12055" xr:uid="{00000000-0005-0000-0000-0000C7110000}"/>
    <cellStyle name="Normal 15 4 2 4 2 3" xfId="10193" xr:uid="{00000000-0005-0000-0000-0000C8110000}"/>
    <cellStyle name="Normal 15 4 2 4 3" xfId="4825" xr:uid="{00000000-0005-0000-0000-0000C9110000}"/>
    <cellStyle name="Normal 15 4 2 4 3 2" xfId="12054" xr:uid="{00000000-0005-0000-0000-0000CA110000}"/>
    <cellStyle name="Normal 15 4 2 4 4" xfId="8455" xr:uid="{00000000-0005-0000-0000-0000CB110000}"/>
    <cellStyle name="Normal 15 4 2 5" xfId="2097" xr:uid="{00000000-0005-0000-0000-0000CC110000}"/>
    <cellStyle name="Normal 15 4 2 5 2" xfId="4827" xr:uid="{00000000-0005-0000-0000-0000CD110000}"/>
    <cellStyle name="Normal 15 4 2 5 2 2" xfId="12056" xr:uid="{00000000-0005-0000-0000-0000CE110000}"/>
    <cellStyle name="Normal 15 4 2 5 3" xfId="9326" xr:uid="{00000000-0005-0000-0000-0000CF110000}"/>
    <cellStyle name="Normal 15 4 2 6" xfId="4812" xr:uid="{00000000-0005-0000-0000-0000D0110000}"/>
    <cellStyle name="Normal 15 4 2 6 2" xfId="12041" xr:uid="{00000000-0005-0000-0000-0000D1110000}"/>
    <cellStyle name="Normal 15 4 2 7" xfId="7588" xr:uid="{00000000-0005-0000-0000-0000D2110000}"/>
    <cellStyle name="Normal 15 4 3" xfId="459" xr:uid="{00000000-0005-0000-0000-0000D3110000}"/>
    <cellStyle name="Normal 15 4 3 2" xfId="905" xr:uid="{00000000-0005-0000-0000-0000D4110000}"/>
    <cellStyle name="Normal 15 4 3 2 2" xfId="1772" xr:uid="{00000000-0005-0000-0000-0000D5110000}"/>
    <cellStyle name="Normal 15 4 3 2 2 2" xfId="3511" xr:uid="{00000000-0005-0000-0000-0000D6110000}"/>
    <cellStyle name="Normal 15 4 3 2 2 2 2" xfId="4831" xr:uid="{00000000-0005-0000-0000-0000D7110000}"/>
    <cellStyle name="Normal 15 4 3 2 2 2 2 2" xfId="12060" xr:uid="{00000000-0005-0000-0000-0000D8110000}"/>
    <cellStyle name="Normal 15 4 3 2 2 2 3" xfId="10740" xr:uid="{00000000-0005-0000-0000-0000D9110000}"/>
    <cellStyle name="Normal 15 4 3 2 2 3" xfId="4830" xr:uid="{00000000-0005-0000-0000-0000DA110000}"/>
    <cellStyle name="Normal 15 4 3 2 2 3 2" xfId="12059" xr:uid="{00000000-0005-0000-0000-0000DB110000}"/>
    <cellStyle name="Normal 15 4 3 2 2 4" xfId="9002" xr:uid="{00000000-0005-0000-0000-0000DC110000}"/>
    <cellStyle name="Normal 15 4 3 2 3" xfId="2644" xr:uid="{00000000-0005-0000-0000-0000DD110000}"/>
    <cellStyle name="Normal 15 4 3 2 3 2" xfId="4832" xr:uid="{00000000-0005-0000-0000-0000DE110000}"/>
    <cellStyle name="Normal 15 4 3 2 3 2 2" xfId="12061" xr:uid="{00000000-0005-0000-0000-0000DF110000}"/>
    <cellStyle name="Normal 15 4 3 2 3 3" xfId="9873" xr:uid="{00000000-0005-0000-0000-0000E0110000}"/>
    <cellStyle name="Normal 15 4 3 2 4" xfId="4829" xr:uid="{00000000-0005-0000-0000-0000E1110000}"/>
    <cellStyle name="Normal 15 4 3 2 4 2" xfId="12058" xr:uid="{00000000-0005-0000-0000-0000E2110000}"/>
    <cellStyle name="Normal 15 4 3 2 5" xfId="8135" xr:uid="{00000000-0005-0000-0000-0000E3110000}"/>
    <cellStyle name="Normal 15 4 3 3" xfId="1341" xr:uid="{00000000-0005-0000-0000-0000E4110000}"/>
    <cellStyle name="Normal 15 4 3 3 2" xfId="3080" xr:uid="{00000000-0005-0000-0000-0000E5110000}"/>
    <cellStyle name="Normal 15 4 3 3 2 2" xfId="4834" xr:uid="{00000000-0005-0000-0000-0000E6110000}"/>
    <cellStyle name="Normal 15 4 3 3 2 2 2" xfId="12063" xr:uid="{00000000-0005-0000-0000-0000E7110000}"/>
    <cellStyle name="Normal 15 4 3 3 2 3" xfId="10309" xr:uid="{00000000-0005-0000-0000-0000E8110000}"/>
    <cellStyle name="Normal 15 4 3 3 3" xfId="4833" xr:uid="{00000000-0005-0000-0000-0000E9110000}"/>
    <cellStyle name="Normal 15 4 3 3 3 2" xfId="12062" xr:uid="{00000000-0005-0000-0000-0000EA110000}"/>
    <cellStyle name="Normal 15 4 3 3 4" xfId="8571" xr:uid="{00000000-0005-0000-0000-0000EB110000}"/>
    <cellStyle name="Normal 15 4 3 4" xfId="2213" xr:uid="{00000000-0005-0000-0000-0000EC110000}"/>
    <cellStyle name="Normal 15 4 3 4 2" xfId="4835" xr:uid="{00000000-0005-0000-0000-0000ED110000}"/>
    <cellStyle name="Normal 15 4 3 4 2 2" xfId="12064" xr:uid="{00000000-0005-0000-0000-0000EE110000}"/>
    <cellStyle name="Normal 15 4 3 4 3" xfId="9442" xr:uid="{00000000-0005-0000-0000-0000EF110000}"/>
    <cellStyle name="Normal 15 4 3 5" xfId="4828" xr:uid="{00000000-0005-0000-0000-0000F0110000}"/>
    <cellStyle name="Normal 15 4 3 5 2" xfId="12057" xr:uid="{00000000-0005-0000-0000-0000F1110000}"/>
    <cellStyle name="Normal 15 4 3 6" xfId="7704" xr:uid="{00000000-0005-0000-0000-0000F2110000}"/>
    <cellStyle name="Normal 15 4 4" xfId="681" xr:uid="{00000000-0005-0000-0000-0000F3110000}"/>
    <cellStyle name="Normal 15 4 4 2" xfId="1554" xr:uid="{00000000-0005-0000-0000-0000F4110000}"/>
    <cellStyle name="Normal 15 4 4 2 2" xfId="3293" xr:uid="{00000000-0005-0000-0000-0000F5110000}"/>
    <cellStyle name="Normal 15 4 4 2 2 2" xfId="4838" xr:uid="{00000000-0005-0000-0000-0000F6110000}"/>
    <cellStyle name="Normal 15 4 4 2 2 2 2" xfId="12067" xr:uid="{00000000-0005-0000-0000-0000F7110000}"/>
    <cellStyle name="Normal 15 4 4 2 2 3" xfId="10522" xr:uid="{00000000-0005-0000-0000-0000F8110000}"/>
    <cellStyle name="Normal 15 4 4 2 3" xfId="4837" xr:uid="{00000000-0005-0000-0000-0000F9110000}"/>
    <cellStyle name="Normal 15 4 4 2 3 2" xfId="12066" xr:uid="{00000000-0005-0000-0000-0000FA110000}"/>
    <cellStyle name="Normal 15 4 4 2 4" xfId="8784" xr:uid="{00000000-0005-0000-0000-0000FB110000}"/>
    <cellStyle name="Normal 15 4 4 3" xfId="2426" xr:uid="{00000000-0005-0000-0000-0000FC110000}"/>
    <cellStyle name="Normal 15 4 4 3 2" xfId="4839" xr:uid="{00000000-0005-0000-0000-0000FD110000}"/>
    <cellStyle name="Normal 15 4 4 3 2 2" xfId="12068" xr:uid="{00000000-0005-0000-0000-0000FE110000}"/>
    <cellStyle name="Normal 15 4 4 3 3" xfId="9655" xr:uid="{00000000-0005-0000-0000-0000FF110000}"/>
    <cellStyle name="Normal 15 4 4 4" xfId="4836" xr:uid="{00000000-0005-0000-0000-000000120000}"/>
    <cellStyle name="Normal 15 4 4 4 2" xfId="12065" xr:uid="{00000000-0005-0000-0000-000001120000}"/>
    <cellStyle name="Normal 15 4 4 5" xfId="7917" xr:uid="{00000000-0005-0000-0000-000002120000}"/>
    <cellStyle name="Normal 15 4 5" xfId="1123" xr:uid="{00000000-0005-0000-0000-000003120000}"/>
    <cellStyle name="Normal 15 4 5 2" xfId="2862" xr:uid="{00000000-0005-0000-0000-000004120000}"/>
    <cellStyle name="Normal 15 4 5 2 2" xfId="4841" xr:uid="{00000000-0005-0000-0000-000005120000}"/>
    <cellStyle name="Normal 15 4 5 2 2 2" xfId="12070" xr:uid="{00000000-0005-0000-0000-000006120000}"/>
    <cellStyle name="Normal 15 4 5 2 3" xfId="10091" xr:uid="{00000000-0005-0000-0000-000007120000}"/>
    <cellStyle name="Normal 15 4 5 3" xfId="4840" xr:uid="{00000000-0005-0000-0000-000008120000}"/>
    <cellStyle name="Normal 15 4 5 3 2" xfId="12069" xr:uid="{00000000-0005-0000-0000-000009120000}"/>
    <cellStyle name="Normal 15 4 5 4" xfId="8353" xr:uid="{00000000-0005-0000-0000-00000A120000}"/>
    <cellStyle name="Normal 15 4 6" xfId="1995" xr:uid="{00000000-0005-0000-0000-00000B120000}"/>
    <cellStyle name="Normal 15 4 6 2" xfId="4842" xr:uid="{00000000-0005-0000-0000-00000C120000}"/>
    <cellStyle name="Normal 15 4 6 2 2" xfId="12071" xr:uid="{00000000-0005-0000-0000-00000D120000}"/>
    <cellStyle name="Normal 15 4 6 3" xfId="9224" xr:uid="{00000000-0005-0000-0000-00000E120000}"/>
    <cellStyle name="Normal 15 4 7" xfId="4811" xr:uid="{00000000-0005-0000-0000-00000F120000}"/>
    <cellStyle name="Normal 15 4 7 2" xfId="12040" xr:uid="{00000000-0005-0000-0000-000010120000}"/>
    <cellStyle name="Normal 15 4 8" xfId="7486" xr:uid="{00000000-0005-0000-0000-000011120000}"/>
    <cellStyle name="Normal 15 5" xfId="283" xr:uid="{00000000-0005-0000-0000-000012120000}"/>
    <cellStyle name="Normal 15 5 2" xfId="509" xr:uid="{00000000-0005-0000-0000-000013120000}"/>
    <cellStyle name="Normal 15 5 2 2" xfId="955" xr:uid="{00000000-0005-0000-0000-000014120000}"/>
    <cellStyle name="Normal 15 5 2 2 2" xfId="1822" xr:uid="{00000000-0005-0000-0000-000015120000}"/>
    <cellStyle name="Normal 15 5 2 2 2 2" xfId="3561" xr:uid="{00000000-0005-0000-0000-000016120000}"/>
    <cellStyle name="Normal 15 5 2 2 2 2 2" xfId="4847" xr:uid="{00000000-0005-0000-0000-000017120000}"/>
    <cellStyle name="Normal 15 5 2 2 2 2 2 2" xfId="12076" xr:uid="{00000000-0005-0000-0000-000018120000}"/>
    <cellStyle name="Normal 15 5 2 2 2 2 3" xfId="10790" xr:uid="{00000000-0005-0000-0000-000019120000}"/>
    <cellStyle name="Normal 15 5 2 2 2 3" xfId="4846" xr:uid="{00000000-0005-0000-0000-00001A120000}"/>
    <cellStyle name="Normal 15 5 2 2 2 3 2" xfId="12075" xr:uid="{00000000-0005-0000-0000-00001B120000}"/>
    <cellStyle name="Normal 15 5 2 2 2 4" xfId="9052" xr:uid="{00000000-0005-0000-0000-00001C120000}"/>
    <cellStyle name="Normal 15 5 2 2 3" xfId="2694" xr:uid="{00000000-0005-0000-0000-00001D120000}"/>
    <cellStyle name="Normal 15 5 2 2 3 2" xfId="4848" xr:uid="{00000000-0005-0000-0000-00001E120000}"/>
    <cellStyle name="Normal 15 5 2 2 3 2 2" xfId="12077" xr:uid="{00000000-0005-0000-0000-00001F120000}"/>
    <cellStyle name="Normal 15 5 2 2 3 3" xfId="9923" xr:uid="{00000000-0005-0000-0000-000020120000}"/>
    <cellStyle name="Normal 15 5 2 2 4" xfId="4845" xr:uid="{00000000-0005-0000-0000-000021120000}"/>
    <cellStyle name="Normal 15 5 2 2 4 2" xfId="12074" xr:uid="{00000000-0005-0000-0000-000022120000}"/>
    <cellStyle name="Normal 15 5 2 2 5" xfId="8185" xr:uid="{00000000-0005-0000-0000-000023120000}"/>
    <cellStyle name="Normal 15 5 2 3" xfId="1391" xr:uid="{00000000-0005-0000-0000-000024120000}"/>
    <cellStyle name="Normal 15 5 2 3 2" xfId="3130" xr:uid="{00000000-0005-0000-0000-000025120000}"/>
    <cellStyle name="Normal 15 5 2 3 2 2" xfId="4850" xr:uid="{00000000-0005-0000-0000-000026120000}"/>
    <cellStyle name="Normal 15 5 2 3 2 2 2" xfId="12079" xr:uid="{00000000-0005-0000-0000-000027120000}"/>
    <cellStyle name="Normal 15 5 2 3 2 3" xfId="10359" xr:uid="{00000000-0005-0000-0000-000028120000}"/>
    <cellStyle name="Normal 15 5 2 3 3" xfId="4849" xr:uid="{00000000-0005-0000-0000-000029120000}"/>
    <cellStyle name="Normal 15 5 2 3 3 2" xfId="12078" xr:uid="{00000000-0005-0000-0000-00002A120000}"/>
    <cellStyle name="Normal 15 5 2 3 4" xfId="8621" xr:uid="{00000000-0005-0000-0000-00002B120000}"/>
    <cellStyle name="Normal 15 5 2 4" xfId="2263" xr:uid="{00000000-0005-0000-0000-00002C120000}"/>
    <cellStyle name="Normal 15 5 2 4 2" xfId="4851" xr:uid="{00000000-0005-0000-0000-00002D120000}"/>
    <cellStyle name="Normal 15 5 2 4 2 2" xfId="12080" xr:uid="{00000000-0005-0000-0000-00002E120000}"/>
    <cellStyle name="Normal 15 5 2 4 3" xfId="9492" xr:uid="{00000000-0005-0000-0000-00002F120000}"/>
    <cellStyle name="Normal 15 5 2 5" xfId="4844" xr:uid="{00000000-0005-0000-0000-000030120000}"/>
    <cellStyle name="Normal 15 5 2 5 2" xfId="12073" xr:uid="{00000000-0005-0000-0000-000031120000}"/>
    <cellStyle name="Normal 15 5 2 6" xfId="7754" xr:uid="{00000000-0005-0000-0000-000032120000}"/>
    <cellStyle name="Normal 15 5 3" xfId="731" xr:uid="{00000000-0005-0000-0000-000033120000}"/>
    <cellStyle name="Normal 15 5 3 2" xfId="1604" xr:uid="{00000000-0005-0000-0000-000034120000}"/>
    <cellStyle name="Normal 15 5 3 2 2" xfId="3343" xr:uid="{00000000-0005-0000-0000-000035120000}"/>
    <cellStyle name="Normal 15 5 3 2 2 2" xfId="4854" xr:uid="{00000000-0005-0000-0000-000036120000}"/>
    <cellStyle name="Normal 15 5 3 2 2 2 2" xfId="12083" xr:uid="{00000000-0005-0000-0000-000037120000}"/>
    <cellStyle name="Normal 15 5 3 2 2 3" xfId="10572" xr:uid="{00000000-0005-0000-0000-000038120000}"/>
    <cellStyle name="Normal 15 5 3 2 3" xfId="4853" xr:uid="{00000000-0005-0000-0000-000039120000}"/>
    <cellStyle name="Normal 15 5 3 2 3 2" xfId="12082" xr:uid="{00000000-0005-0000-0000-00003A120000}"/>
    <cellStyle name="Normal 15 5 3 2 4" xfId="8834" xr:uid="{00000000-0005-0000-0000-00003B120000}"/>
    <cellStyle name="Normal 15 5 3 3" xfId="2476" xr:uid="{00000000-0005-0000-0000-00003C120000}"/>
    <cellStyle name="Normal 15 5 3 3 2" xfId="4855" xr:uid="{00000000-0005-0000-0000-00003D120000}"/>
    <cellStyle name="Normal 15 5 3 3 2 2" xfId="12084" xr:uid="{00000000-0005-0000-0000-00003E120000}"/>
    <cellStyle name="Normal 15 5 3 3 3" xfId="9705" xr:uid="{00000000-0005-0000-0000-00003F120000}"/>
    <cellStyle name="Normal 15 5 3 4" xfId="4852" xr:uid="{00000000-0005-0000-0000-000040120000}"/>
    <cellStyle name="Normal 15 5 3 4 2" xfId="12081" xr:uid="{00000000-0005-0000-0000-000041120000}"/>
    <cellStyle name="Normal 15 5 3 5" xfId="7967" xr:uid="{00000000-0005-0000-0000-000042120000}"/>
    <cellStyle name="Normal 15 5 4" xfId="1173" xr:uid="{00000000-0005-0000-0000-000043120000}"/>
    <cellStyle name="Normal 15 5 4 2" xfId="2912" xr:uid="{00000000-0005-0000-0000-000044120000}"/>
    <cellStyle name="Normal 15 5 4 2 2" xfId="4857" xr:uid="{00000000-0005-0000-0000-000045120000}"/>
    <cellStyle name="Normal 15 5 4 2 2 2" xfId="12086" xr:uid="{00000000-0005-0000-0000-000046120000}"/>
    <cellStyle name="Normal 15 5 4 2 3" xfId="10141" xr:uid="{00000000-0005-0000-0000-000047120000}"/>
    <cellStyle name="Normal 15 5 4 3" xfId="4856" xr:uid="{00000000-0005-0000-0000-000048120000}"/>
    <cellStyle name="Normal 15 5 4 3 2" xfId="12085" xr:uid="{00000000-0005-0000-0000-000049120000}"/>
    <cellStyle name="Normal 15 5 4 4" xfId="8403" xr:uid="{00000000-0005-0000-0000-00004A120000}"/>
    <cellStyle name="Normal 15 5 5" xfId="2045" xr:uid="{00000000-0005-0000-0000-00004B120000}"/>
    <cellStyle name="Normal 15 5 5 2" xfId="4858" xr:uid="{00000000-0005-0000-0000-00004C120000}"/>
    <cellStyle name="Normal 15 5 5 2 2" xfId="12087" xr:uid="{00000000-0005-0000-0000-00004D120000}"/>
    <cellStyle name="Normal 15 5 5 3" xfId="9274" xr:uid="{00000000-0005-0000-0000-00004E120000}"/>
    <cellStyle name="Normal 15 5 6" xfId="4843" xr:uid="{00000000-0005-0000-0000-00004F120000}"/>
    <cellStyle name="Normal 15 5 6 2" xfId="12072" xr:uid="{00000000-0005-0000-0000-000050120000}"/>
    <cellStyle name="Normal 15 5 7" xfId="7536" xr:uid="{00000000-0005-0000-0000-000051120000}"/>
    <cellStyle name="Normal 15 6" xfId="407" xr:uid="{00000000-0005-0000-0000-000052120000}"/>
    <cellStyle name="Normal 15 6 2" xfId="853" xr:uid="{00000000-0005-0000-0000-000053120000}"/>
    <cellStyle name="Normal 15 6 2 2" xfId="1720" xr:uid="{00000000-0005-0000-0000-000054120000}"/>
    <cellStyle name="Normal 15 6 2 2 2" xfId="3459" xr:uid="{00000000-0005-0000-0000-000055120000}"/>
    <cellStyle name="Normal 15 6 2 2 2 2" xfId="4862" xr:uid="{00000000-0005-0000-0000-000056120000}"/>
    <cellStyle name="Normal 15 6 2 2 2 2 2" xfId="12091" xr:uid="{00000000-0005-0000-0000-000057120000}"/>
    <cellStyle name="Normal 15 6 2 2 2 3" xfId="10688" xr:uid="{00000000-0005-0000-0000-000058120000}"/>
    <cellStyle name="Normal 15 6 2 2 3" xfId="4861" xr:uid="{00000000-0005-0000-0000-000059120000}"/>
    <cellStyle name="Normal 15 6 2 2 3 2" xfId="12090" xr:uid="{00000000-0005-0000-0000-00005A120000}"/>
    <cellStyle name="Normal 15 6 2 2 4" xfId="8950" xr:uid="{00000000-0005-0000-0000-00005B120000}"/>
    <cellStyle name="Normal 15 6 2 3" xfId="2592" xr:uid="{00000000-0005-0000-0000-00005C120000}"/>
    <cellStyle name="Normal 15 6 2 3 2" xfId="4863" xr:uid="{00000000-0005-0000-0000-00005D120000}"/>
    <cellStyle name="Normal 15 6 2 3 2 2" xfId="12092" xr:uid="{00000000-0005-0000-0000-00005E120000}"/>
    <cellStyle name="Normal 15 6 2 3 3" xfId="9821" xr:uid="{00000000-0005-0000-0000-00005F120000}"/>
    <cellStyle name="Normal 15 6 2 4" xfId="4860" xr:uid="{00000000-0005-0000-0000-000060120000}"/>
    <cellStyle name="Normal 15 6 2 4 2" xfId="12089" xr:uid="{00000000-0005-0000-0000-000061120000}"/>
    <cellStyle name="Normal 15 6 2 5" xfId="8083" xr:uid="{00000000-0005-0000-0000-000062120000}"/>
    <cellStyle name="Normal 15 6 3" xfId="1289" xr:uid="{00000000-0005-0000-0000-000063120000}"/>
    <cellStyle name="Normal 15 6 3 2" xfId="3028" xr:uid="{00000000-0005-0000-0000-000064120000}"/>
    <cellStyle name="Normal 15 6 3 2 2" xfId="4865" xr:uid="{00000000-0005-0000-0000-000065120000}"/>
    <cellStyle name="Normal 15 6 3 2 2 2" xfId="12094" xr:uid="{00000000-0005-0000-0000-000066120000}"/>
    <cellStyle name="Normal 15 6 3 2 3" xfId="10257" xr:uid="{00000000-0005-0000-0000-000067120000}"/>
    <cellStyle name="Normal 15 6 3 3" xfId="4864" xr:uid="{00000000-0005-0000-0000-000068120000}"/>
    <cellStyle name="Normal 15 6 3 3 2" xfId="12093" xr:uid="{00000000-0005-0000-0000-000069120000}"/>
    <cellStyle name="Normal 15 6 3 4" xfId="8519" xr:uid="{00000000-0005-0000-0000-00006A120000}"/>
    <cellStyle name="Normal 15 6 4" xfId="2161" xr:uid="{00000000-0005-0000-0000-00006B120000}"/>
    <cellStyle name="Normal 15 6 4 2" xfId="4866" xr:uid="{00000000-0005-0000-0000-00006C120000}"/>
    <cellStyle name="Normal 15 6 4 2 2" xfId="12095" xr:uid="{00000000-0005-0000-0000-00006D120000}"/>
    <cellStyle name="Normal 15 6 4 3" xfId="9390" xr:uid="{00000000-0005-0000-0000-00006E120000}"/>
    <cellStyle name="Normal 15 6 5" xfId="4859" xr:uid="{00000000-0005-0000-0000-00006F120000}"/>
    <cellStyle name="Normal 15 6 5 2" xfId="12088" xr:uid="{00000000-0005-0000-0000-000070120000}"/>
    <cellStyle name="Normal 15 6 6" xfId="7652" xr:uid="{00000000-0005-0000-0000-000071120000}"/>
    <cellStyle name="Normal 15 7" xfId="626" xr:uid="{00000000-0005-0000-0000-000072120000}"/>
    <cellStyle name="Normal 15 7 2" xfId="1502" xr:uid="{00000000-0005-0000-0000-000073120000}"/>
    <cellStyle name="Normal 15 7 2 2" xfId="3241" xr:uid="{00000000-0005-0000-0000-000074120000}"/>
    <cellStyle name="Normal 15 7 2 2 2" xfId="4869" xr:uid="{00000000-0005-0000-0000-000075120000}"/>
    <cellStyle name="Normal 15 7 2 2 2 2" xfId="12098" xr:uid="{00000000-0005-0000-0000-000076120000}"/>
    <cellStyle name="Normal 15 7 2 2 3" xfId="10470" xr:uid="{00000000-0005-0000-0000-000077120000}"/>
    <cellStyle name="Normal 15 7 2 3" xfId="4868" xr:uid="{00000000-0005-0000-0000-000078120000}"/>
    <cellStyle name="Normal 15 7 2 3 2" xfId="12097" xr:uid="{00000000-0005-0000-0000-000079120000}"/>
    <cellStyle name="Normal 15 7 2 4" xfId="8732" xr:uid="{00000000-0005-0000-0000-00007A120000}"/>
    <cellStyle name="Normal 15 7 3" xfId="2374" xr:uid="{00000000-0005-0000-0000-00007B120000}"/>
    <cellStyle name="Normal 15 7 3 2" xfId="4870" xr:uid="{00000000-0005-0000-0000-00007C120000}"/>
    <cellStyle name="Normal 15 7 3 2 2" xfId="12099" xr:uid="{00000000-0005-0000-0000-00007D120000}"/>
    <cellStyle name="Normal 15 7 3 3" xfId="9603" xr:uid="{00000000-0005-0000-0000-00007E120000}"/>
    <cellStyle name="Normal 15 7 4" xfId="4867" xr:uid="{00000000-0005-0000-0000-00007F120000}"/>
    <cellStyle name="Normal 15 7 4 2" xfId="12096" xr:uid="{00000000-0005-0000-0000-000080120000}"/>
    <cellStyle name="Normal 15 7 5" xfId="7865" xr:uid="{00000000-0005-0000-0000-000081120000}"/>
    <cellStyle name="Normal 15 8" xfId="1071" xr:uid="{00000000-0005-0000-0000-000082120000}"/>
    <cellStyle name="Normal 15 8 2" xfId="2810" xr:uid="{00000000-0005-0000-0000-000083120000}"/>
    <cellStyle name="Normal 15 8 2 2" xfId="4872" xr:uid="{00000000-0005-0000-0000-000084120000}"/>
    <cellStyle name="Normal 15 8 2 2 2" xfId="12101" xr:uid="{00000000-0005-0000-0000-000085120000}"/>
    <cellStyle name="Normal 15 8 2 3" xfId="10039" xr:uid="{00000000-0005-0000-0000-000086120000}"/>
    <cellStyle name="Normal 15 8 3" xfId="4871" xr:uid="{00000000-0005-0000-0000-000087120000}"/>
    <cellStyle name="Normal 15 8 3 2" xfId="12100" xr:uid="{00000000-0005-0000-0000-000088120000}"/>
    <cellStyle name="Normal 15 8 4" xfId="8301" xr:uid="{00000000-0005-0000-0000-000089120000}"/>
    <cellStyle name="Normal 15 9" xfId="1943" xr:uid="{00000000-0005-0000-0000-00008A120000}"/>
    <cellStyle name="Normal 15 9 2" xfId="4873" xr:uid="{00000000-0005-0000-0000-00008B120000}"/>
    <cellStyle name="Normal 15 9 2 2" xfId="12102" xr:uid="{00000000-0005-0000-0000-00008C120000}"/>
    <cellStyle name="Normal 15 9 3" xfId="9172" xr:uid="{00000000-0005-0000-0000-00008D120000}"/>
    <cellStyle name="Normal 16" xfId="55" xr:uid="{00000000-0005-0000-0000-00008E120000}"/>
    <cellStyle name="Normal 16 10" xfId="7433" xr:uid="{00000000-0005-0000-0000-00008F120000}"/>
    <cellStyle name="Normal 16 2" xfId="110" xr:uid="{00000000-0005-0000-0000-000090120000}"/>
    <cellStyle name="Normal 16 2 2" xfId="317" xr:uid="{00000000-0005-0000-0000-000091120000}"/>
    <cellStyle name="Normal 16 2 2 2" xfId="543" xr:uid="{00000000-0005-0000-0000-000092120000}"/>
    <cellStyle name="Normal 16 2 2 2 2" xfId="989" xr:uid="{00000000-0005-0000-0000-000093120000}"/>
    <cellStyle name="Normal 16 2 2 2 2 2" xfId="1856" xr:uid="{00000000-0005-0000-0000-000094120000}"/>
    <cellStyle name="Normal 16 2 2 2 2 2 2" xfId="3595" xr:uid="{00000000-0005-0000-0000-000095120000}"/>
    <cellStyle name="Normal 16 2 2 2 2 2 2 2" xfId="4880" xr:uid="{00000000-0005-0000-0000-000096120000}"/>
    <cellStyle name="Normal 16 2 2 2 2 2 2 2 2" xfId="12109" xr:uid="{00000000-0005-0000-0000-000097120000}"/>
    <cellStyle name="Normal 16 2 2 2 2 2 2 3" xfId="10824" xr:uid="{00000000-0005-0000-0000-000098120000}"/>
    <cellStyle name="Normal 16 2 2 2 2 2 3" xfId="4879" xr:uid="{00000000-0005-0000-0000-000099120000}"/>
    <cellStyle name="Normal 16 2 2 2 2 2 3 2" xfId="12108" xr:uid="{00000000-0005-0000-0000-00009A120000}"/>
    <cellStyle name="Normal 16 2 2 2 2 2 4" xfId="9086" xr:uid="{00000000-0005-0000-0000-00009B120000}"/>
    <cellStyle name="Normal 16 2 2 2 2 3" xfId="2728" xr:uid="{00000000-0005-0000-0000-00009C120000}"/>
    <cellStyle name="Normal 16 2 2 2 2 3 2" xfId="4881" xr:uid="{00000000-0005-0000-0000-00009D120000}"/>
    <cellStyle name="Normal 16 2 2 2 2 3 2 2" xfId="12110" xr:uid="{00000000-0005-0000-0000-00009E120000}"/>
    <cellStyle name="Normal 16 2 2 2 2 3 3" xfId="9957" xr:uid="{00000000-0005-0000-0000-00009F120000}"/>
    <cellStyle name="Normal 16 2 2 2 2 4" xfId="4878" xr:uid="{00000000-0005-0000-0000-0000A0120000}"/>
    <cellStyle name="Normal 16 2 2 2 2 4 2" xfId="12107" xr:uid="{00000000-0005-0000-0000-0000A1120000}"/>
    <cellStyle name="Normal 16 2 2 2 2 5" xfId="8219" xr:uid="{00000000-0005-0000-0000-0000A2120000}"/>
    <cellStyle name="Normal 16 2 2 2 3" xfId="1425" xr:uid="{00000000-0005-0000-0000-0000A3120000}"/>
    <cellStyle name="Normal 16 2 2 2 3 2" xfId="3164" xr:uid="{00000000-0005-0000-0000-0000A4120000}"/>
    <cellStyle name="Normal 16 2 2 2 3 2 2" xfId="4883" xr:uid="{00000000-0005-0000-0000-0000A5120000}"/>
    <cellStyle name="Normal 16 2 2 2 3 2 2 2" xfId="12112" xr:uid="{00000000-0005-0000-0000-0000A6120000}"/>
    <cellStyle name="Normal 16 2 2 2 3 2 3" xfId="10393" xr:uid="{00000000-0005-0000-0000-0000A7120000}"/>
    <cellStyle name="Normal 16 2 2 2 3 3" xfId="4882" xr:uid="{00000000-0005-0000-0000-0000A8120000}"/>
    <cellStyle name="Normal 16 2 2 2 3 3 2" xfId="12111" xr:uid="{00000000-0005-0000-0000-0000A9120000}"/>
    <cellStyle name="Normal 16 2 2 2 3 4" xfId="8655" xr:uid="{00000000-0005-0000-0000-0000AA120000}"/>
    <cellStyle name="Normal 16 2 2 2 4" xfId="2297" xr:uid="{00000000-0005-0000-0000-0000AB120000}"/>
    <cellStyle name="Normal 16 2 2 2 4 2" xfId="4884" xr:uid="{00000000-0005-0000-0000-0000AC120000}"/>
    <cellStyle name="Normal 16 2 2 2 4 2 2" xfId="12113" xr:uid="{00000000-0005-0000-0000-0000AD120000}"/>
    <cellStyle name="Normal 16 2 2 2 4 3" xfId="9526" xr:uid="{00000000-0005-0000-0000-0000AE120000}"/>
    <cellStyle name="Normal 16 2 2 2 5" xfId="4877" xr:uid="{00000000-0005-0000-0000-0000AF120000}"/>
    <cellStyle name="Normal 16 2 2 2 5 2" xfId="12106" xr:uid="{00000000-0005-0000-0000-0000B0120000}"/>
    <cellStyle name="Normal 16 2 2 2 6" xfId="7788" xr:uid="{00000000-0005-0000-0000-0000B1120000}"/>
    <cellStyle name="Normal 16 2 2 3" xfId="765" xr:uid="{00000000-0005-0000-0000-0000B2120000}"/>
    <cellStyle name="Normal 16 2 2 3 2" xfId="1638" xr:uid="{00000000-0005-0000-0000-0000B3120000}"/>
    <cellStyle name="Normal 16 2 2 3 2 2" xfId="3377" xr:uid="{00000000-0005-0000-0000-0000B4120000}"/>
    <cellStyle name="Normal 16 2 2 3 2 2 2" xfId="4887" xr:uid="{00000000-0005-0000-0000-0000B5120000}"/>
    <cellStyle name="Normal 16 2 2 3 2 2 2 2" xfId="12116" xr:uid="{00000000-0005-0000-0000-0000B6120000}"/>
    <cellStyle name="Normal 16 2 2 3 2 2 3" xfId="10606" xr:uid="{00000000-0005-0000-0000-0000B7120000}"/>
    <cellStyle name="Normal 16 2 2 3 2 3" xfId="4886" xr:uid="{00000000-0005-0000-0000-0000B8120000}"/>
    <cellStyle name="Normal 16 2 2 3 2 3 2" xfId="12115" xr:uid="{00000000-0005-0000-0000-0000B9120000}"/>
    <cellStyle name="Normal 16 2 2 3 2 4" xfId="8868" xr:uid="{00000000-0005-0000-0000-0000BA120000}"/>
    <cellStyle name="Normal 16 2 2 3 3" xfId="2510" xr:uid="{00000000-0005-0000-0000-0000BB120000}"/>
    <cellStyle name="Normal 16 2 2 3 3 2" xfId="4888" xr:uid="{00000000-0005-0000-0000-0000BC120000}"/>
    <cellStyle name="Normal 16 2 2 3 3 2 2" xfId="12117" xr:uid="{00000000-0005-0000-0000-0000BD120000}"/>
    <cellStyle name="Normal 16 2 2 3 3 3" xfId="9739" xr:uid="{00000000-0005-0000-0000-0000BE120000}"/>
    <cellStyle name="Normal 16 2 2 3 4" xfId="4885" xr:uid="{00000000-0005-0000-0000-0000BF120000}"/>
    <cellStyle name="Normal 16 2 2 3 4 2" xfId="12114" xr:uid="{00000000-0005-0000-0000-0000C0120000}"/>
    <cellStyle name="Normal 16 2 2 3 5" xfId="8001" xr:uid="{00000000-0005-0000-0000-0000C1120000}"/>
    <cellStyle name="Normal 16 2 2 4" xfId="1207" xr:uid="{00000000-0005-0000-0000-0000C2120000}"/>
    <cellStyle name="Normal 16 2 2 4 2" xfId="2946" xr:uid="{00000000-0005-0000-0000-0000C3120000}"/>
    <cellStyle name="Normal 16 2 2 4 2 2" xfId="4890" xr:uid="{00000000-0005-0000-0000-0000C4120000}"/>
    <cellStyle name="Normal 16 2 2 4 2 2 2" xfId="12119" xr:uid="{00000000-0005-0000-0000-0000C5120000}"/>
    <cellStyle name="Normal 16 2 2 4 2 3" xfId="10175" xr:uid="{00000000-0005-0000-0000-0000C6120000}"/>
    <cellStyle name="Normal 16 2 2 4 3" xfId="4889" xr:uid="{00000000-0005-0000-0000-0000C7120000}"/>
    <cellStyle name="Normal 16 2 2 4 3 2" xfId="12118" xr:uid="{00000000-0005-0000-0000-0000C8120000}"/>
    <cellStyle name="Normal 16 2 2 4 4" xfId="8437" xr:uid="{00000000-0005-0000-0000-0000C9120000}"/>
    <cellStyle name="Normal 16 2 2 5" xfId="2079" xr:uid="{00000000-0005-0000-0000-0000CA120000}"/>
    <cellStyle name="Normal 16 2 2 5 2" xfId="4891" xr:uid="{00000000-0005-0000-0000-0000CB120000}"/>
    <cellStyle name="Normal 16 2 2 5 2 2" xfId="12120" xr:uid="{00000000-0005-0000-0000-0000CC120000}"/>
    <cellStyle name="Normal 16 2 2 5 3" xfId="9308" xr:uid="{00000000-0005-0000-0000-0000CD120000}"/>
    <cellStyle name="Normal 16 2 2 6" xfId="4876" xr:uid="{00000000-0005-0000-0000-0000CE120000}"/>
    <cellStyle name="Normal 16 2 2 6 2" xfId="12105" xr:uid="{00000000-0005-0000-0000-0000CF120000}"/>
    <cellStyle name="Normal 16 2 2 7" xfId="7570" xr:uid="{00000000-0005-0000-0000-0000D0120000}"/>
    <cellStyle name="Normal 16 2 3" xfId="441" xr:uid="{00000000-0005-0000-0000-0000D1120000}"/>
    <cellStyle name="Normal 16 2 3 2" xfId="887" xr:uid="{00000000-0005-0000-0000-0000D2120000}"/>
    <cellStyle name="Normal 16 2 3 2 2" xfId="1754" xr:uid="{00000000-0005-0000-0000-0000D3120000}"/>
    <cellStyle name="Normal 16 2 3 2 2 2" xfId="3493" xr:uid="{00000000-0005-0000-0000-0000D4120000}"/>
    <cellStyle name="Normal 16 2 3 2 2 2 2" xfId="4895" xr:uid="{00000000-0005-0000-0000-0000D5120000}"/>
    <cellStyle name="Normal 16 2 3 2 2 2 2 2" xfId="12124" xr:uid="{00000000-0005-0000-0000-0000D6120000}"/>
    <cellStyle name="Normal 16 2 3 2 2 2 3" xfId="10722" xr:uid="{00000000-0005-0000-0000-0000D7120000}"/>
    <cellStyle name="Normal 16 2 3 2 2 3" xfId="4894" xr:uid="{00000000-0005-0000-0000-0000D8120000}"/>
    <cellStyle name="Normal 16 2 3 2 2 3 2" xfId="12123" xr:uid="{00000000-0005-0000-0000-0000D9120000}"/>
    <cellStyle name="Normal 16 2 3 2 2 4" xfId="8984" xr:uid="{00000000-0005-0000-0000-0000DA120000}"/>
    <cellStyle name="Normal 16 2 3 2 3" xfId="2626" xr:uid="{00000000-0005-0000-0000-0000DB120000}"/>
    <cellStyle name="Normal 16 2 3 2 3 2" xfId="4896" xr:uid="{00000000-0005-0000-0000-0000DC120000}"/>
    <cellStyle name="Normal 16 2 3 2 3 2 2" xfId="12125" xr:uid="{00000000-0005-0000-0000-0000DD120000}"/>
    <cellStyle name="Normal 16 2 3 2 3 3" xfId="9855" xr:uid="{00000000-0005-0000-0000-0000DE120000}"/>
    <cellStyle name="Normal 16 2 3 2 4" xfId="4893" xr:uid="{00000000-0005-0000-0000-0000DF120000}"/>
    <cellStyle name="Normal 16 2 3 2 4 2" xfId="12122" xr:uid="{00000000-0005-0000-0000-0000E0120000}"/>
    <cellStyle name="Normal 16 2 3 2 5" xfId="8117" xr:uid="{00000000-0005-0000-0000-0000E1120000}"/>
    <cellStyle name="Normal 16 2 3 3" xfId="1323" xr:uid="{00000000-0005-0000-0000-0000E2120000}"/>
    <cellStyle name="Normal 16 2 3 3 2" xfId="3062" xr:uid="{00000000-0005-0000-0000-0000E3120000}"/>
    <cellStyle name="Normal 16 2 3 3 2 2" xfId="4898" xr:uid="{00000000-0005-0000-0000-0000E4120000}"/>
    <cellStyle name="Normal 16 2 3 3 2 2 2" xfId="12127" xr:uid="{00000000-0005-0000-0000-0000E5120000}"/>
    <cellStyle name="Normal 16 2 3 3 2 3" xfId="10291" xr:uid="{00000000-0005-0000-0000-0000E6120000}"/>
    <cellStyle name="Normal 16 2 3 3 3" xfId="4897" xr:uid="{00000000-0005-0000-0000-0000E7120000}"/>
    <cellStyle name="Normal 16 2 3 3 3 2" xfId="12126" xr:uid="{00000000-0005-0000-0000-0000E8120000}"/>
    <cellStyle name="Normal 16 2 3 3 4" xfId="8553" xr:uid="{00000000-0005-0000-0000-0000E9120000}"/>
    <cellStyle name="Normal 16 2 3 4" xfId="2195" xr:uid="{00000000-0005-0000-0000-0000EA120000}"/>
    <cellStyle name="Normal 16 2 3 4 2" xfId="4899" xr:uid="{00000000-0005-0000-0000-0000EB120000}"/>
    <cellStyle name="Normal 16 2 3 4 2 2" xfId="12128" xr:uid="{00000000-0005-0000-0000-0000EC120000}"/>
    <cellStyle name="Normal 16 2 3 4 3" xfId="9424" xr:uid="{00000000-0005-0000-0000-0000ED120000}"/>
    <cellStyle name="Normal 16 2 3 5" xfId="4892" xr:uid="{00000000-0005-0000-0000-0000EE120000}"/>
    <cellStyle name="Normal 16 2 3 5 2" xfId="12121" xr:uid="{00000000-0005-0000-0000-0000EF120000}"/>
    <cellStyle name="Normal 16 2 3 6" xfId="7686" xr:uid="{00000000-0005-0000-0000-0000F0120000}"/>
    <cellStyle name="Normal 16 2 4" xfId="660" xr:uid="{00000000-0005-0000-0000-0000F1120000}"/>
    <cellStyle name="Normal 16 2 4 2" xfId="1536" xr:uid="{00000000-0005-0000-0000-0000F2120000}"/>
    <cellStyle name="Normal 16 2 4 2 2" xfId="3275" xr:uid="{00000000-0005-0000-0000-0000F3120000}"/>
    <cellStyle name="Normal 16 2 4 2 2 2" xfId="4902" xr:uid="{00000000-0005-0000-0000-0000F4120000}"/>
    <cellStyle name="Normal 16 2 4 2 2 2 2" xfId="12131" xr:uid="{00000000-0005-0000-0000-0000F5120000}"/>
    <cellStyle name="Normal 16 2 4 2 2 3" xfId="10504" xr:uid="{00000000-0005-0000-0000-0000F6120000}"/>
    <cellStyle name="Normal 16 2 4 2 3" xfId="4901" xr:uid="{00000000-0005-0000-0000-0000F7120000}"/>
    <cellStyle name="Normal 16 2 4 2 3 2" xfId="12130" xr:uid="{00000000-0005-0000-0000-0000F8120000}"/>
    <cellStyle name="Normal 16 2 4 2 4" xfId="8766" xr:uid="{00000000-0005-0000-0000-0000F9120000}"/>
    <cellStyle name="Normal 16 2 4 3" xfId="2408" xr:uid="{00000000-0005-0000-0000-0000FA120000}"/>
    <cellStyle name="Normal 16 2 4 3 2" xfId="4903" xr:uid="{00000000-0005-0000-0000-0000FB120000}"/>
    <cellStyle name="Normal 16 2 4 3 2 2" xfId="12132" xr:uid="{00000000-0005-0000-0000-0000FC120000}"/>
    <cellStyle name="Normal 16 2 4 3 3" xfId="9637" xr:uid="{00000000-0005-0000-0000-0000FD120000}"/>
    <cellStyle name="Normal 16 2 4 4" xfId="4900" xr:uid="{00000000-0005-0000-0000-0000FE120000}"/>
    <cellStyle name="Normal 16 2 4 4 2" xfId="12129" xr:uid="{00000000-0005-0000-0000-0000FF120000}"/>
    <cellStyle name="Normal 16 2 4 5" xfId="7899" xr:uid="{00000000-0005-0000-0000-000000130000}"/>
    <cellStyle name="Normal 16 2 5" xfId="1105" xr:uid="{00000000-0005-0000-0000-000001130000}"/>
    <cellStyle name="Normal 16 2 5 2" xfId="2844" xr:uid="{00000000-0005-0000-0000-000002130000}"/>
    <cellStyle name="Normal 16 2 5 2 2" xfId="4905" xr:uid="{00000000-0005-0000-0000-000003130000}"/>
    <cellStyle name="Normal 16 2 5 2 2 2" xfId="12134" xr:uid="{00000000-0005-0000-0000-000004130000}"/>
    <cellStyle name="Normal 16 2 5 2 3" xfId="10073" xr:uid="{00000000-0005-0000-0000-000005130000}"/>
    <cellStyle name="Normal 16 2 5 3" xfId="4904" xr:uid="{00000000-0005-0000-0000-000006130000}"/>
    <cellStyle name="Normal 16 2 5 3 2" xfId="12133" xr:uid="{00000000-0005-0000-0000-000007130000}"/>
    <cellStyle name="Normal 16 2 5 4" xfId="8335" xr:uid="{00000000-0005-0000-0000-000008130000}"/>
    <cellStyle name="Normal 16 2 6" xfId="1977" xr:uid="{00000000-0005-0000-0000-000009130000}"/>
    <cellStyle name="Normal 16 2 6 2" xfId="4906" xr:uid="{00000000-0005-0000-0000-00000A130000}"/>
    <cellStyle name="Normal 16 2 6 2 2" xfId="12135" xr:uid="{00000000-0005-0000-0000-00000B130000}"/>
    <cellStyle name="Normal 16 2 6 3" xfId="9206" xr:uid="{00000000-0005-0000-0000-00000C130000}"/>
    <cellStyle name="Normal 16 2 7" xfId="4875" xr:uid="{00000000-0005-0000-0000-00000D130000}"/>
    <cellStyle name="Normal 16 2 7 2" xfId="12104" xr:uid="{00000000-0005-0000-0000-00000E130000}"/>
    <cellStyle name="Normal 16 2 8" xfId="7466" xr:uid="{00000000-0005-0000-0000-00000F130000}"/>
    <cellStyle name="Normal 16 3" xfId="209" xr:uid="{00000000-0005-0000-0000-000010130000}"/>
    <cellStyle name="Normal 16 3 2" xfId="336" xr:uid="{00000000-0005-0000-0000-000011130000}"/>
    <cellStyle name="Normal 16 3 2 2" xfId="562" xr:uid="{00000000-0005-0000-0000-000012130000}"/>
    <cellStyle name="Normal 16 3 2 2 2" xfId="1008" xr:uid="{00000000-0005-0000-0000-000013130000}"/>
    <cellStyle name="Normal 16 3 2 2 2 2" xfId="1875" xr:uid="{00000000-0005-0000-0000-000014130000}"/>
    <cellStyle name="Normal 16 3 2 2 2 2 2" xfId="3614" xr:uid="{00000000-0005-0000-0000-000015130000}"/>
    <cellStyle name="Normal 16 3 2 2 2 2 2 2" xfId="4912" xr:uid="{00000000-0005-0000-0000-000016130000}"/>
    <cellStyle name="Normal 16 3 2 2 2 2 2 2 2" xfId="12141" xr:uid="{00000000-0005-0000-0000-000017130000}"/>
    <cellStyle name="Normal 16 3 2 2 2 2 2 3" xfId="10843" xr:uid="{00000000-0005-0000-0000-000018130000}"/>
    <cellStyle name="Normal 16 3 2 2 2 2 3" xfId="4911" xr:uid="{00000000-0005-0000-0000-000019130000}"/>
    <cellStyle name="Normal 16 3 2 2 2 2 3 2" xfId="12140" xr:uid="{00000000-0005-0000-0000-00001A130000}"/>
    <cellStyle name="Normal 16 3 2 2 2 2 4" xfId="9105" xr:uid="{00000000-0005-0000-0000-00001B130000}"/>
    <cellStyle name="Normal 16 3 2 2 2 3" xfId="2747" xr:uid="{00000000-0005-0000-0000-00001C130000}"/>
    <cellStyle name="Normal 16 3 2 2 2 3 2" xfId="4913" xr:uid="{00000000-0005-0000-0000-00001D130000}"/>
    <cellStyle name="Normal 16 3 2 2 2 3 2 2" xfId="12142" xr:uid="{00000000-0005-0000-0000-00001E130000}"/>
    <cellStyle name="Normal 16 3 2 2 2 3 3" xfId="9976" xr:uid="{00000000-0005-0000-0000-00001F130000}"/>
    <cellStyle name="Normal 16 3 2 2 2 4" xfId="4910" xr:uid="{00000000-0005-0000-0000-000020130000}"/>
    <cellStyle name="Normal 16 3 2 2 2 4 2" xfId="12139" xr:uid="{00000000-0005-0000-0000-000021130000}"/>
    <cellStyle name="Normal 16 3 2 2 2 5" xfId="8238" xr:uid="{00000000-0005-0000-0000-000022130000}"/>
    <cellStyle name="Normal 16 3 2 2 3" xfId="1444" xr:uid="{00000000-0005-0000-0000-000023130000}"/>
    <cellStyle name="Normal 16 3 2 2 3 2" xfId="3183" xr:uid="{00000000-0005-0000-0000-000024130000}"/>
    <cellStyle name="Normal 16 3 2 2 3 2 2" xfId="4915" xr:uid="{00000000-0005-0000-0000-000025130000}"/>
    <cellStyle name="Normal 16 3 2 2 3 2 2 2" xfId="12144" xr:uid="{00000000-0005-0000-0000-000026130000}"/>
    <cellStyle name="Normal 16 3 2 2 3 2 3" xfId="10412" xr:uid="{00000000-0005-0000-0000-000027130000}"/>
    <cellStyle name="Normal 16 3 2 2 3 3" xfId="4914" xr:uid="{00000000-0005-0000-0000-000028130000}"/>
    <cellStyle name="Normal 16 3 2 2 3 3 2" xfId="12143" xr:uid="{00000000-0005-0000-0000-000029130000}"/>
    <cellStyle name="Normal 16 3 2 2 3 4" xfId="8674" xr:uid="{00000000-0005-0000-0000-00002A130000}"/>
    <cellStyle name="Normal 16 3 2 2 4" xfId="2316" xr:uid="{00000000-0005-0000-0000-00002B130000}"/>
    <cellStyle name="Normal 16 3 2 2 4 2" xfId="4916" xr:uid="{00000000-0005-0000-0000-00002C130000}"/>
    <cellStyle name="Normal 16 3 2 2 4 2 2" xfId="12145" xr:uid="{00000000-0005-0000-0000-00002D130000}"/>
    <cellStyle name="Normal 16 3 2 2 4 3" xfId="9545" xr:uid="{00000000-0005-0000-0000-00002E130000}"/>
    <cellStyle name="Normal 16 3 2 2 5" xfId="4909" xr:uid="{00000000-0005-0000-0000-00002F130000}"/>
    <cellStyle name="Normal 16 3 2 2 5 2" xfId="12138" xr:uid="{00000000-0005-0000-0000-000030130000}"/>
    <cellStyle name="Normal 16 3 2 2 6" xfId="7807" xr:uid="{00000000-0005-0000-0000-000031130000}"/>
    <cellStyle name="Normal 16 3 2 3" xfId="784" xr:uid="{00000000-0005-0000-0000-000032130000}"/>
    <cellStyle name="Normal 16 3 2 3 2" xfId="1657" xr:uid="{00000000-0005-0000-0000-000033130000}"/>
    <cellStyle name="Normal 16 3 2 3 2 2" xfId="3396" xr:uid="{00000000-0005-0000-0000-000034130000}"/>
    <cellStyle name="Normal 16 3 2 3 2 2 2" xfId="4919" xr:uid="{00000000-0005-0000-0000-000035130000}"/>
    <cellStyle name="Normal 16 3 2 3 2 2 2 2" xfId="12148" xr:uid="{00000000-0005-0000-0000-000036130000}"/>
    <cellStyle name="Normal 16 3 2 3 2 2 3" xfId="10625" xr:uid="{00000000-0005-0000-0000-000037130000}"/>
    <cellStyle name="Normal 16 3 2 3 2 3" xfId="4918" xr:uid="{00000000-0005-0000-0000-000038130000}"/>
    <cellStyle name="Normal 16 3 2 3 2 3 2" xfId="12147" xr:uid="{00000000-0005-0000-0000-000039130000}"/>
    <cellStyle name="Normal 16 3 2 3 2 4" xfId="8887" xr:uid="{00000000-0005-0000-0000-00003A130000}"/>
    <cellStyle name="Normal 16 3 2 3 3" xfId="2529" xr:uid="{00000000-0005-0000-0000-00003B130000}"/>
    <cellStyle name="Normal 16 3 2 3 3 2" xfId="4920" xr:uid="{00000000-0005-0000-0000-00003C130000}"/>
    <cellStyle name="Normal 16 3 2 3 3 2 2" xfId="12149" xr:uid="{00000000-0005-0000-0000-00003D130000}"/>
    <cellStyle name="Normal 16 3 2 3 3 3" xfId="9758" xr:uid="{00000000-0005-0000-0000-00003E130000}"/>
    <cellStyle name="Normal 16 3 2 3 4" xfId="4917" xr:uid="{00000000-0005-0000-0000-00003F130000}"/>
    <cellStyle name="Normal 16 3 2 3 4 2" xfId="12146" xr:uid="{00000000-0005-0000-0000-000040130000}"/>
    <cellStyle name="Normal 16 3 2 3 5" xfId="8020" xr:uid="{00000000-0005-0000-0000-000041130000}"/>
    <cellStyle name="Normal 16 3 2 4" xfId="1226" xr:uid="{00000000-0005-0000-0000-000042130000}"/>
    <cellStyle name="Normal 16 3 2 4 2" xfId="2965" xr:uid="{00000000-0005-0000-0000-000043130000}"/>
    <cellStyle name="Normal 16 3 2 4 2 2" xfId="4922" xr:uid="{00000000-0005-0000-0000-000044130000}"/>
    <cellStyle name="Normal 16 3 2 4 2 2 2" xfId="12151" xr:uid="{00000000-0005-0000-0000-000045130000}"/>
    <cellStyle name="Normal 16 3 2 4 2 3" xfId="10194" xr:uid="{00000000-0005-0000-0000-000046130000}"/>
    <cellStyle name="Normal 16 3 2 4 3" xfId="4921" xr:uid="{00000000-0005-0000-0000-000047130000}"/>
    <cellStyle name="Normal 16 3 2 4 3 2" xfId="12150" xr:uid="{00000000-0005-0000-0000-000048130000}"/>
    <cellStyle name="Normal 16 3 2 4 4" xfId="8456" xr:uid="{00000000-0005-0000-0000-000049130000}"/>
    <cellStyle name="Normal 16 3 2 5" xfId="2098" xr:uid="{00000000-0005-0000-0000-00004A130000}"/>
    <cellStyle name="Normal 16 3 2 5 2" xfId="4923" xr:uid="{00000000-0005-0000-0000-00004B130000}"/>
    <cellStyle name="Normal 16 3 2 5 2 2" xfId="12152" xr:uid="{00000000-0005-0000-0000-00004C130000}"/>
    <cellStyle name="Normal 16 3 2 5 3" xfId="9327" xr:uid="{00000000-0005-0000-0000-00004D130000}"/>
    <cellStyle name="Normal 16 3 2 6" xfId="4908" xr:uid="{00000000-0005-0000-0000-00004E130000}"/>
    <cellStyle name="Normal 16 3 2 6 2" xfId="12137" xr:uid="{00000000-0005-0000-0000-00004F130000}"/>
    <cellStyle name="Normal 16 3 2 7" xfId="7589" xr:uid="{00000000-0005-0000-0000-000050130000}"/>
    <cellStyle name="Normal 16 3 3" xfId="460" xr:uid="{00000000-0005-0000-0000-000051130000}"/>
    <cellStyle name="Normal 16 3 3 2" xfId="906" xr:uid="{00000000-0005-0000-0000-000052130000}"/>
    <cellStyle name="Normal 16 3 3 2 2" xfId="1773" xr:uid="{00000000-0005-0000-0000-000053130000}"/>
    <cellStyle name="Normal 16 3 3 2 2 2" xfId="3512" xr:uid="{00000000-0005-0000-0000-000054130000}"/>
    <cellStyle name="Normal 16 3 3 2 2 2 2" xfId="4927" xr:uid="{00000000-0005-0000-0000-000055130000}"/>
    <cellStyle name="Normal 16 3 3 2 2 2 2 2" xfId="12156" xr:uid="{00000000-0005-0000-0000-000056130000}"/>
    <cellStyle name="Normal 16 3 3 2 2 2 3" xfId="10741" xr:uid="{00000000-0005-0000-0000-000057130000}"/>
    <cellStyle name="Normal 16 3 3 2 2 3" xfId="4926" xr:uid="{00000000-0005-0000-0000-000058130000}"/>
    <cellStyle name="Normal 16 3 3 2 2 3 2" xfId="12155" xr:uid="{00000000-0005-0000-0000-000059130000}"/>
    <cellStyle name="Normal 16 3 3 2 2 4" xfId="9003" xr:uid="{00000000-0005-0000-0000-00005A130000}"/>
    <cellStyle name="Normal 16 3 3 2 3" xfId="2645" xr:uid="{00000000-0005-0000-0000-00005B130000}"/>
    <cellStyle name="Normal 16 3 3 2 3 2" xfId="4928" xr:uid="{00000000-0005-0000-0000-00005C130000}"/>
    <cellStyle name="Normal 16 3 3 2 3 2 2" xfId="12157" xr:uid="{00000000-0005-0000-0000-00005D130000}"/>
    <cellStyle name="Normal 16 3 3 2 3 3" xfId="9874" xr:uid="{00000000-0005-0000-0000-00005E130000}"/>
    <cellStyle name="Normal 16 3 3 2 4" xfId="4925" xr:uid="{00000000-0005-0000-0000-00005F130000}"/>
    <cellStyle name="Normal 16 3 3 2 4 2" xfId="12154" xr:uid="{00000000-0005-0000-0000-000060130000}"/>
    <cellStyle name="Normal 16 3 3 2 5" xfId="8136" xr:uid="{00000000-0005-0000-0000-000061130000}"/>
    <cellStyle name="Normal 16 3 3 3" xfId="1342" xr:uid="{00000000-0005-0000-0000-000062130000}"/>
    <cellStyle name="Normal 16 3 3 3 2" xfId="3081" xr:uid="{00000000-0005-0000-0000-000063130000}"/>
    <cellStyle name="Normal 16 3 3 3 2 2" xfId="4930" xr:uid="{00000000-0005-0000-0000-000064130000}"/>
    <cellStyle name="Normal 16 3 3 3 2 2 2" xfId="12159" xr:uid="{00000000-0005-0000-0000-000065130000}"/>
    <cellStyle name="Normal 16 3 3 3 2 3" xfId="10310" xr:uid="{00000000-0005-0000-0000-000066130000}"/>
    <cellStyle name="Normal 16 3 3 3 3" xfId="4929" xr:uid="{00000000-0005-0000-0000-000067130000}"/>
    <cellStyle name="Normal 16 3 3 3 3 2" xfId="12158" xr:uid="{00000000-0005-0000-0000-000068130000}"/>
    <cellStyle name="Normal 16 3 3 3 4" xfId="8572" xr:uid="{00000000-0005-0000-0000-000069130000}"/>
    <cellStyle name="Normal 16 3 3 4" xfId="2214" xr:uid="{00000000-0005-0000-0000-00006A130000}"/>
    <cellStyle name="Normal 16 3 3 4 2" xfId="4931" xr:uid="{00000000-0005-0000-0000-00006B130000}"/>
    <cellStyle name="Normal 16 3 3 4 2 2" xfId="12160" xr:uid="{00000000-0005-0000-0000-00006C130000}"/>
    <cellStyle name="Normal 16 3 3 4 3" xfId="9443" xr:uid="{00000000-0005-0000-0000-00006D130000}"/>
    <cellStyle name="Normal 16 3 3 5" xfId="4924" xr:uid="{00000000-0005-0000-0000-00006E130000}"/>
    <cellStyle name="Normal 16 3 3 5 2" xfId="12153" xr:uid="{00000000-0005-0000-0000-00006F130000}"/>
    <cellStyle name="Normal 16 3 3 6" xfId="7705" xr:uid="{00000000-0005-0000-0000-000070130000}"/>
    <cellStyle name="Normal 16 3 4" xfId="682" xr:uid="{00000000-0005-0000-0000-000071130000}"/>
    <cellStyle name="Normal 16 3 4 2" xfId="1555" xr:uid="{00000000-0005-0000-0000-000072130000}"/>
    <cellStyle name="Normal 16 3 4 2 2" xfId="3294" xr:uid="{00000000-0005-0000-0000-000073130000}"/>
    <cellStyle name="Normal 16 3 4 2 2 2" xfId="4934" xr:uid="{00000000-0005-0000-0000-000074130000}"/>
    <cellStyle name="Normal 16 3 4 2 2 2 2" xfId="12163" xr:uid="{00000000-0005-0000-0000-000075130000}"/>
    <cellStyle name="Normal 16 3 4 2 2 3" xfId="10523" xr:uid="{00000000-0005-0000-0000-000076130000}"/>
    <cellStyle name="Normal 16 3 4 2 3" xfId="4933" xr:uid="{00000000-0005-0000-0000-000077130000}"/>
    <cellStyle name="Normal 16 3 4 2 3 2" xfId="12162" xr:uid="{00000000-0005-0000-0000-000078130000}"/>
    <cellStyle name="Normal 16 3 4 2 4" xfId="8785" xr:uid="{00000000-0005-0000-0000-000079130000}"/>
    <cellStyle name="Normal 16 3 4 3" xfId="2427" xr:uid="{00000000-0005-0000-0000-00007A130000}"/>
    <cellStyle name="Normal 16 3 4 3 2" xfId="4935" xr:uid="{00000000-0005-0000-0000-00007B130000}"/>
    <cellStyle name="Normal 16 3 4 3 2 2" xfId="12164" xr:uid="{00000000-0005-0000-0000-00007C130000}"/>
    <cellStyle name="Normal 16 3 4 3 3" xfId="9656" xr:uid="{00000000-0005-0000-0000-00007D130000}"/>
    <cellStyle name="Normal 16 3 4 4" xfId="4932" xr:uid="{00000000-0005-0000-0000-00007E130000}"/>
    <cellStyle name="Normal 16 3 4 4 2" xfId="12161" xr:uid="{00000000-0005-0000-0000-00007F130000}"/>
    <cellStyle name="Normal 16 3 4 5" xfId="7918" xr:uid="{00000000-0005-0000-0000-000080130000}"/>
    <cellStyle name="Normal 16 3 5" xfId="1124" xr:uid="{00000000-0005-0000-0000-000081130000}"/>
    <cellStyle name="Normal 16 3 5 2" xfId="2863" xr:uid="{00000000-0005-0000-0000-000082130000}"/>
    <cellStyle name="Normal 16 3 5 2 2" xfId="4937" xr:uid="{00000000-0005-0000-0000-000083130000}"/>
    <cellStyle name="Normal 16 3 5 2 2 2" xfId="12166" xr:uid="{00000000-0005-0000-0000-000084130000}"/>
    <cellStyle name="Normal 16 3 5 2 3" xfId="10092" xr:uid="{00000000-0005-0000-0000-000085130000}"/>
    <cellStyle name="Normal 16 3 5 3" xfId="4936" xr:uid="{00000000-0005-0000-0000-000086130000}"/>
    <cellStyle name="Normal 16 3 5 3 2" xfId="12165" xr:uid="{00000000-0005-0000-0000-000087130000}"/>
    <cellStyle name="Normal 16 3 5 4" xfId="8354" xr:uid="{00000000-0005-0000-0000-000088130000}"/>
    <cellStyle name="Normal 16 3 6" xfId="1996" xr:uid="{00000000-0005-0000-0000-000089130000}"/>
    <cellStyle name="Normal 16 3 6 2" xfId="4938" xr:uid="{00000000-0005-0000-0000-00008A130000}"/>
    <cellStyle name="Normal 16 3 6 2 2" xfId="12167" xr:uid="{00000000-0005-0000-0000-00008B130000}"/>
    <cellStyle name="Normal 16 3 6 3" xfId="9225" xr:uid="{00000000-0005-0000-0000-00008C130000}"/>
    <cellStyle name="Normal 16 3 7" xfId="4907" xr:uid="{00000000-0005-0000-0000-00008D130000}"/>
    <cellStyle name="Normal 16 3 7 2" xfId="12136" xr:uid="{00000000-0005-0000-0000-00008E130000}"/>
    <cellStyle name="Normal 16 3 8" xfId="7487" xr:uid="{00000000-0005-0000-0000-00008F130000}"/>
    <cellStyle name="Normal 16 4" xfId="284" xr:uid="{00000000-0005-0000-0000-000090130000}"/>
    <cellStyle name="Normal 16 4 2" xfId="510" xr:uid="{00000000-0005-0000-0000-000091130000}"/>
    <cellStyle name="Normal 16 4 2 2" xfId="956" xr:uid="{00000000-0005-0000-0000-000092130000}"/>
    <cellStyle name="Normal 16 4 2 2 2" xfId="1823" xr:uid="{00000000-0005-0000-0000-000093130000}"/>
    <cellStyle name="Normal 16 4 2 2 2 2" xfId="3562" xr:uid="{00000000-0005-0000-0000-000094130000}"/>
    <cellStyle name="Normal 16 4 2 2 2 2 2" xfId="4943" xr:uid="{00000000-0005-0000-0000-000095130000}"/>
    <cellStyle name="Normal 16 4 2 2 2 2 2 2" xfId="12172" xr:uid="{00000000-0005-0000-0000-000096130000}"/>
    <cellStyle name="Normal 16 4 2 2 2 2 3" xfId="10791" xr:uid="{00000000-0005-0000-0000-000097130000}"/>
    <cellStyle name="Normal 16 4 2 2 2 3" xfId="4942" xr:uid="{00000000-0005-0000-0000-000098130000}"/>
    <cellStyle name="Normal 16 4 2 2 2 3 2" xfId="12171" xr:uid="{00000000-0005-0000-0000-000099130000}"/>
    <cellStyle name="Normal 16 4 2 2 2 4" xfId="9053" xr:uid="{00000000-0005-0000-0000-00009A130000}"/>
    <cellStyle name="Normal 16 4 2 2 3" xfId="2695" xr:uid="{00000000-0005-0000-0000-00009B130000}"/>
    <cellStyle name="Normal 16 4 2 2 3 2" xfId="4944" xr:uid="{00000000-0005-0000-0000-00009C130000}"/>
    <cellStyle name="Normal 16 4 2 2 3 2 2" xfId="12173" xr:uid="{00000000-0005-0000-0000-00009D130000}"/>
    <cellStyle name="Normal 16 4 2 2 3 3" xfId="9924" xr:uid="{00000000-0005-0000-0000-00009E130000}"/>
    <cellStyle name="Normal 16 4 2 2 4" xfId="4941" xr:uid="{00000000-0005-0000-0000-00009F130000}"/>
    <cellStyle name="Normal 16 4 2 2 4 2" xfId="12170" xr:uid="{00000000-0005-0000-0000-0000A0130000}"/>
    <cellStyle name="Normal 16 4 2 2 5" xfId="8186" xr:uid="{00000000-0005-0000-0000-0000A1130000}"/>
    <cellStyle name="Normal 16 4 2 3" xfId="1392" xr:uid="{00000000-0005-0000-0000-0000A2130000}"/>
    <cellStyle name="Normal 16 4 2 3 2" xfId="3131" xr:uid="{00000000-0005-0000-0000-0000A3130000}"/>
    <cellStyle name="Normal 16 4 2 3 2 2" xfId="4946" xr:uid="{00000000-0005-0000-0000-0000A4130000}"/>
    <cellStyle name="Normal 16 4 2 3 2 2 2" xfId="12175" xr:uid="{00000000-0005-0000-0000-0000A5130000}"/>
    <cellStyle name="Normal 16 4 2 3 2 3" xfId="10360" xr:uid="{00000000-0005-0000-0000-0000A6130000}"/>
    <cellStyle name="Normal 16 4 2 3 3" xfId="4945" xr:uid="{00000000-0005-0000-0000-0000A7130000}"/>
    <cellStyle name="Normal 16 4 2 3 3 2" xfId="12174" xr:uid="{00000000-0005-0000-0000-0000A8130000}"/>
    <cellStyle name="Normal 16 4 2 3 4" xfId="8622" xr:uid="{00000000-0005-0000-0000-0000A9130000}"/>
    <cellStyle name="Normal 16 4 2 4" xfId="2264" xr:uid="{00000000-0005-0000-0000-0000AA130000}"/>
    <cellStyle name="Normal 16 4 2 4 2" xfId="4947" xr:uid="{00000000-0005-0000-0000-0000AB130000}"/>
    <cellStyle name="Normal 16 4 2 4 2 2" xfId="12176" xr:uid="{00000000-0005-0000-0000-0000AC130000}"/>
    <cellStyle name="Normal 16 4 2 4 3" xfId="9493" xr:uid="{00000000-0005-0000-0000-0000AD130000}"/>
    <cellStyle name="Normal 16 4 2 5" xfId="4940" xr:uid="{00000000-0005-0000-0000-0000AE130000}"/>
    <cellStyle name="Normal 16 4 2 5 2" xfId="12169" xr:uid="{00000000-0005-0000-0000-0000AF130000}"/>
    <cellStyle name="Normal 16 4 2 6" xfId="7755" xr:uid="{00000000-0005-0000-0000-0000B0130000}"/>
    <cellStyle name="Normal 16 4 3" xfId="732" xr:uid="{00000000-0005-0000-0000-0000B1130000}"/>
    <cellStyle name="Normal 16 4 3 2" xfId="1605" xr:uid="{00000000-0005-0000-0000-0000B2130000}"/>
    <cellStyle name="Normal 16 4 3 2 2" xfId="3344" xr:uid="{00000000-0005-0000-0000-0000B3130000}"/>
    <cellStyle name="Normal 16 4 3 2 2 2" xfId="4950" xr:uid="{00000000-0005-0000-0000-0000B4130000}"/>
    <cellStyle name="Normal 16 4 3 2 2 2 2" xfId="12179" xr:uid="{00000000-0005-0000-0000-0000B5130000}"/>
    <cellStyle name="Normal 16 4 3 2 2 3" xfId="10573" xr:uid="{00000000-0005-0000-0000-0000B6130000}"/>
    <cellStyle name="Normal 16 4 3 2 3" xfId="4949" xr:uid="{00000000-0005-0000-0000-0000B7130000}"/>
    <cellStyle name="Normal 16 4 3 2 3 2" xfId="12178" xr:uid="{00000000-0005-0000-0000-0000B8130000}"/>
    <cellStyle name="Normal 16 4 3 2 4" xfId="8835" xr:uid="{00000000-0005-0000-0000-0000B9130000}"/>
    <cellStyle name="Normal 16 4 3 3" xfId="2477" xr:uid="{00000000-0005-0000-0000-0000BA130000}"/>
    <cellStyle name="Normal 16 4 3 3 2" xfId="4951" xr:uid="{00000000-0005-0000-0000-0000BB130000}"/>
    <cellStyle name="Normal 16 4 3 3 2 2" xfId="12180" xr:uid="{00000000-0005-0000-0000-0000BC130000}"/>
    <cellStyle name="Normal 16 4 3 3 3" xfId="9706" xr:uid="{00000000-0005-0000-0000-0000BD130000}"/>
    <cellStyle name="Normal 16 4 3 4" xfId="4948" xr:uid="{00000000-0005-0000-0000-0000BE130000}"/>
    <cellStyle name="Normal 16 4 3 4 2" xfId="12177" xr:uid="{00000000-0005-0000-0000-0000BF130000}"/>
    <cellStyle name="Normal 16 4 3 5" xfId="7968" xr:uid="{00000000-0005-0000-0000-0000C0130000}"/>
    <cellStyle name="Normal 16 4 4" xfId="1174" xr:uid="{00000000-0005-0000-0000-0000C1130000}"/>
    <cellStyle name="Normal 16 4 4 2" xfId="2913" xr:uid="{00000000-0005-0000-0000-0000C2130000}"/>
    <cellStyle name="Normal 16 4 4 2 2" xfId="4953" xr:uid="{00000000-0005-0000-0000-0000C3130000}"/>
    <cellStyle name="Normal 16 4 4 2 2 2" xfId="12182" xr:uid="{00000000-0005-0000-0000-0000C4130000}"/>
    <cellStyle name="Normal 16 4 4 2 3" xfId="10142" xr:uid="{00000000-0005-0000-0000-0000C5130000}"/>
    <cellStyle name="Normal 16 4 4 3" xfId="4952" xr:uid="{00000000-0005-0000-0000-0000C6130000}"/>
    <cellStyle name="Normal 16 4 4 3 2" xfId="12181" xr:uid="{00000000-0005-0000-0000-0000C7130000}"/>
    <cellStyle name="Normal 16 4 4 4" xfId="8404" xr:uid="{00000000-0005-0000-0000-0000C8130000}"/>
    <cellStyle name="Normal 16 4 5" xfId="2046" xr:uid="{00000000-0005-0000-0000-0000C9130000}"/>
    <cellStyle name="Normal 16 4 5 2" xfId="4954" xr:uid="{00000000-0005-0000-0000-0000CA130000}"/>
    <cellStyle name="Normal 16 4 5 2 2" xfId="12183" xr:uid="{00000000-0005-0000-0000-0000CB130000}"/>
    <cellStyle name="Normal 16 4 5 3" xfId="9275" xr:uid="{00000000-0005-0000-0000-0000CC130000}"/>
    <cellStyle name="Normal 16 4 6" xfId="4939" xr:uid="{00000000-0005-0000-0000-0000CD130000}"/>
    <cellStyle name="Normal 16 4 6 2" xfId="12168" xr:uid="{00000000-0005-0000-0000-0000CE130000}"/>
    <cellStyle name="Normal 16 4 7" xfId="7537" xr:uid="{00000000-0005-0000-0000-0000CF130000}"/>
    <cellStyle name="Normal 16 5" xfId="408" xr:uid="{00000000-0005-0000-0000-0000D0130000}"/>
    <cellStyle name="Normal 16 5 2" xfId="854" xr:uid="{00000000-0005-0000-0000-0000D1130000}"/>
    <cellStyle name="Normal 16 5 2 2" xfId="1721" xr:uid="{00000000-0005-0000-0000-0000D2130000}"/>
    <cellStyle name="Normal 16 5 2 2 2" xfId="3460" xr:uid="{00000000-0005-0000-0000-0000D3130000}"/>
    <cellStyle name="Normal 16 5 2 2 2 2" xfId="4958" xr:uid="{00000000-0005-0000-0000-0000D4130000}"/>
    <cellStyle name="Normal 16 5 2 2 2 2 2" xfId="12187" xr:uid="{00000000-0005-0000-0000-0000D5130000}"/>
    <cellStyle name="Normal 16 5 2 2 2 3" xfId="10689" xr:uid="{00000000-0005-0000-0000-0000D6130000}"/>
    <cellStyle name="Normal 16 5 2 2 3" xfId="4957" xr:uid="{00000000-0005-0000-0000-0000D7130000}"/>
    <cellStyle name="Normal 16 5 2 2 3 2" xfId="12186" xr:uid="{00000000-0005-0000-0000-0000D8130000}"/>
    <cellStyle name="Normal 16 5 2 2 4" xfId="8951" xr:uid="{00000000-0005-0000-0000-0000D9130000}"/>
    <cellStyle name="Normal 16 5 2 3" xfId="2593" xr:uid="{00000000-0005-0000-0000-0000DA130000}"/>
    <cellStyle name="Normal 16 5 2 3 2" xfId="4959" xr:uid="{00000000-0005-0000-0000-0000DB130000}"/>
    <cellStyle name="Normal 16 5 2 3 2 2" xfId="12188" xr:uid="{00000000-0005-0000-0000-0000DC130000}"/>
    <cellStyle name="Normal 16 5 2 3 3" xfId="9822" xr:uid="{00000000-0005-0000-0000-0000DD130000}"/>
    <cellStyle name="Normal 16 5 2 4" xfId="4956" xr:uid="{00000000-0005-0000-0000-0000DE130000}"/>
    <cellStyle name="Normal 16 5 2 4 2" xfId="12185" xr:uid="{00000000-0005-0000-0000-0000DF130000}"/>
    <cellStyle name="Normal 16 5 2 5" xfId="8084" xr:uid="{00000000-0005-0000-0000-0000E0130000}"/>
    <cellStyle name="Normal 16 5 3" xfId="1290" xr:uid="{00000000-0005-0000-0000-0000E1130000}"/>
    <cellStyle name="Normal 16 5 3 2" xfId="3029" xr:uid="{00000000-0005-0000-0000-0000E2130000}"/>
    <cellStyle name="Normal 16 5 3 2 2" xfId="4961" xr:uid="{00000000-0005-0000-0000-0000E3130000}"/>
    <cellStyle name="Normal 16 5 3 2 2 2" xfId="12190" xr:uid="{00000000-0005-0000-0000-0000E4130000}"/>
    <cellStyle name="Normal 16 5 3 2 3" xfId="10258" xr:uid="{00000000-0005-0000-0000-0000E5130000}"/>
    <cellStyle name="Normal 16 5 3 3" xfId="4960" xr:uid="{00000000-0005-0000-0000-0000E6130000}"/>
    <cellStyle name="Normal 16 5 3 3 2" xfId="12189" xr:uid="{00000000-0005-0000-0000-0000E7130000}"/>
    <cellStyle name="Normal 16 5 3 4" xfId="8520" xr:uid="{00000000-0005-0000-0000-0000E8130000}"/>
    <cellStyle name="Normal 16 5 4" xfId="2162" xr:uid="{00000000-0005-0000-0000-0000E9130000}"/>
    <cellStyle name="Normal 16 5 4 2" xfId="4962" xr:uid="{00000000-0005-0000-0000-0000EA130000}"/>
    <cellStyle name="Normal 16 5 4 2 2" xfId="12191" xr:uid="{00000000-0005-0000-0000-0000EB130000}"/>
    <cellStyle name="Normal 16 5 4 3" xfId="9391" xr:uid="{00000000-0005-0000-0000-0000EC130000}"/>
    <cellStyle name="Normal 16 5 5" xfId="4955" xr:uid="{00000000-0005-0000-0000-0000ED130000}"/>
    <cellStyle name="Normal 16 5 5 2" xfId="12184" xr:uid="{00000000-0005-0000-0000-0000EE130000}"/>
    <cellStyle name="Normal 16 5 6" xfId="7653" xr:uid="{00000000-0005-0000-0000-0000EF130000}"/>
    <cellStyle name="Normal 16 6" xfId="627" xr:uid="{00000000-0005-0000-0000-0000F0130000}"/>
    <cellStyle name="Normal 16 6 2" xfId="1503" xr:uid="{00000000-0005-0000-0000-0000F1130000}"/>
    <cellStyle name="Normal 16 6 2 2" xfId="3242" xr:uid="{00000000-0005-0000-0000-0000F2130000}"/>
    <cellStyle name="Normal 16 6 2 2 2" xfId="4965" xr:uid="{00000000-0005-0000-0000-0000F3130000}"/>
    <cellStyle name="Normal 16 6 2 2 2 2" xfId="12194" xr:uid="{00000000-0005-0000-0000-0000F4130000}"/>
    <cellStyle name="Normal 16 6 2 2 3" xfId="10471" xr:uid="{00000000-0005-0000-0000-0000F5130000}"/>
    <cellStyle name="Normal 16 6 2 3" xfId="4964" xr:uid="{00000000-0005-0000-0000-0000F6130000}"/>
    <cellStyle name="Normal 16 6 2 3 2" xfId="12193" xr:uid="{00000000-0005-0000-0000-0000F7130000}"/>
    <cellStyle name="Normal 16 6 2 4" xfId="8733" xr:uid="{00000000-0005-0000-0000-0000F8130000}"/>
    <cellStyle name="Normal 16 6 3" xfId="2375" xr:uid="{00000000-0005-0000-0000-0000F9130000}"/>
    <cellStyle name="Normal 16 6 3 2" xfId="4966" xr:uid="{00000000-0005-0000-0000-0000FA130000}"/>
    <cellStyle name="Normal 16 6 3 2 2" xfId="12195" xr:uid="{00000000-0005-0000-0000-0000FB130000}"/>
    <cellStyle name="Normal 16 6 3 3" xfId="9604" xr:uid="{00000000-0005-0000-0000-0000FC130000}"/>
    <cellStyle name="Normal 16 6 4" xfId="4963" xr:uid="{00000000-0005-0000-0000-0000FD130000}"/>
    <cellStyle name="Normal 16 6 4 2" xfId="12192" xr:uid="{00000000-0005-0000-0000-0000FE130000}"/>
    <cellStyle name="Normal 16 6 5" xfId="7866" xr:uid="{00000000-0005-0000-0000-0000FF130000}"/>
    <cellStyle name="Normal 16 7" xfId="1072" xr:uid="{00000000-0005-0000-0000-000000140000}"/>
    <cellStyle name="Normal 16 7 2" xfId="2811" xr:uid="{00000000-0005-0000-0000-000001140000}"/>
    <cellStyle name="Normal 16 7 2 2" xfId="4968" xr:uid="{00000000-0005-0000-0000-000002140000}"/>
    <cellStyle name="Normal 16 7 2 2 2" xfId="12197" xr:uid="{00000000-0005-0000-0000-000003140000}"/>
    <cellStyle name="Normal 16 7 2 3" xfId="10040" xr:uid="{00000000-0005-0000-0000-000004140000}"/>
    <cellStyle name="Normal 16 7 3" xfId="4967" xr:uid="{00000000-0005-0000-0000-000005140000}"/>
    <cellStyle name="Normal 16 7 3 2" xfId="12196" xr:uid="{00000000-0005-0000-0000-000006140000}"/>
    <cellStyle name="Normal 16 7 4" xfId="8302" xr:uid="{00000000-0005-0000-0000-000007140000}"/>
    <cellStyle name="Normal 16 8" xfId="1944" xr:uid="{00000000-0005-0000-0000-000008140000}"/>
    <cellStyle name="Normal 16 8 2" xfId="4969" xr:uid="{00000000-0005-0000-0000-000009140000}"/>
    <cellStyle name="Normal 16 8 2 2" xfId="12198" xr:uid="{00000000-0005-0000-0000-00000A140000}"/>
    <cellStyle name="Normal 16 8 3" xfId="9173" xr:uid="{00000000-0005-0000-0000-00000B140000}"/>
    <cellStyle name="Normal 16 9" xfId="4874" xr:uid="{00000000-0005-0000-0000-00000C140000}"/>
    <cellStyle name="Normal 16 9 2" xfId="12103" xr:uid="{00000000-0005-0000-0000-00000D140000}"/>
    <cellStyle name="Normal 17" xfId="57" xr:uid="{00000000-0005-0000-0000-00000E140000}"/>
    <cellStyle name="Normal 17 10" xfId="7435" xr:uid="{00000000-0005-0000-0000-00000F140000}"/>
    <cellStyle name="Normal 17 2" xfId="112" xr:uid="{00000000-0005-0000-0000-000010140000}"/>
    <cellStyle name="Normal 17 2 2" xfId="319" xr:uid="{00000000-0005-0000-0000-000011140000}"/>
    <cellStyle name="Normal 17 2 2 2" xfId="545" xr:uid="{00000000-0005-0000-0000-000012140000}"/>
    <cellStyle name="Normal 17 2 2 2 2" xfId="991" xr:uid="{00000000-0005-0000-0000-000013140000}"/>
    <cellStyle name="Normal 17 2 2 2 2 2" xfId="1858" xr:uid="{00000000-0005-0000-0000-000014140000}"/>
    <cellStyle name="Normal 17 2 2 2 2 2 2" xfId="3597" xr:uid="{00000000-0005-0000-0000-000015140000}"/>
    <cellStyle name="Normal 17 2 2 2 2 2 2 2" xfId="4976" xr:uid="{00000000-0005-0000-0000-000016140000}"/>
    <cellStyle name="Normal 17 2 2 2 2 2 2 2 2" xfId="12205" xr:uid="{00000000-0005-0000-0000-000017140000}"/>
    <cellStyle name="Normal 17 2 2 2 2 2 2 3" xfId="10826" xr:uid="{00000000-0005-0000-0000-000018140000}"/>
    <cellStyle name="Normal 17 2 2 2 2 2 3" xfId="4975" xr:uid="{00000000-0005-0000-0000-000019140000}"/>
    <cellStyle name="Normal 17 2 2 2 2 2 3 2" xfId="12204" xr:uid="{00000000-0005-0000-0000-00001A140000}"/>
    <cellStyle name="Normal 17 2 2 2 2 2 4" xfId="9088" xr:uid="{00000000-0005-0000-0000-00001B140000}"/>
    <cellStyle name="Normal 17 2 2 2 2 3" xfId="2730" xr:uid="{00000000-0005-0000-0000-00001C140000}"/>
    <cellStyle name="Normal 17 2 2 2 2 3 2" xfId="4977" xr:uid="{00000000-0005-0000-0000-00001D140000}"/>
    <cellStyle name="Normal 17 2 2 2 2 3 2 2" xfId="12206" xr:uid="{00000000-0005-0000-0000-00001E140000}"/>
    <cellStyle name="Normal 17 2 2 2 2 3 3" xfId="9959" xr:uid="{00000000-0005-0000-0000-00001F140000}"/>
    <cellStyle name="Normal 17 2 2 2 2 4" xfId="4974" xr:uid="{00000000-0005-0000-0000-000020140000}"/>
    <cellStyle name="Normal 17 2 2 2 2 4 2" xfId="12203" xr:uid="{00000000-0005-0000-0000-000021140000}"/>
    <cellStyle name="Normal 17 2 2 2 2 5" xfId="8221" xr:uid="{00000000-0005-0000-0000-000022140000}"/>
    <cellStyle name="Normal 17 2 2 2 3" xfId="1427" xr:uid="{00000000-0005-0000-0000-000023140000}"/>
    <cellStyle name="Normal 17 2 2 2 3 2" xfId="3166" xr:uid="{00000000-0005-0000-0000-000024140000}"/>
    <cellStyle name="Normal 17 2 2 2 3 2 2" xfId="4979" xr:uid="{00000000-0005-0000-0000-000025140000}"/>
    <cellStyle name="Normal 17 2 2 2 3 2 2 2" xfId="12208" xr:uid="{00000000-0005-0000-0000-000026140000}"/>
    <cellStyle name="Normal 17 2 2 2 3 2 3" xfId="10395" xr:uid="{00000000-0005-0000-0000-000027140000}"/>
    <cellStyle name="Normal 17 2 2 2 3 3" xfId="4978" xr:uid="{00000000-0005-0000-0000-000028140000}"/>
    <cellStyle name="Normal 17 2 2 2 3 3 2" xfId="12207" xr:uid="{00000000-0005-0000-0000-000029140000}"/>
    <cellStyle name="Normal 17 2 2 2 3 4" xfId="8657" xr:uid="{00000000-0005-0000-0000-00002A140000}"/>
    <cellStyle name="Normal 17 2 2 2 4" xfId="2299" xr:uid="{00000000-0005-0000-0000-00002B140000}"/>
    <cellStyle name="Normal 17 2 2 2 4 2" xfId="4980" xr:uid="{00000000-0005-0000-0000-00002C140000}"/>
    <cellStyle name="Normal 17 2 2 2 4 2 2" xfId="12209" xr:uid="{00000000-0005-0000-0000-00002D140000}"/>
    <cellStyle name="Normal 17 2 2 2 4 3" xfId="9528" xr:uid="{00000000-0005-0000-0000-00002E140000}"/>
    <cellStyle name="Normal 17 2 2 2 5" xfId="4973" xr:uid="{00000000-0005-0000-0000-00002F140000}"/>
    <cellStyle name="Normal 17 2 2 2 5 2" xfId="12202" xr:uid="{00000000-0005-0000-0000-000030140000}"/>
    <cellStyle name="Normal 17 2 2 2 6" xfId="7790" xr:uid="{00000000-0005-0000-0000-000031140000}"/>
    <cellStyle name="Normal 17 2 2 3" xfId="767" xr:uid="{00000000-0005-0000-0000-000032140000}"/>
    <cellStyle name="Normal 17 2 2 3 2" xfId="1640" xr:uid="{00000000-0005-0000-0000-000033140000}"/>
    <cellStyle name="Normal 17 2 2 3 2 2" xfId="3379" xr:uid="{00000000-0005-0000-0000-000034140000}"/>
    <cellStyle name="Normal 17 2 2 3 2 2 2" xfId="4983" xr:uid="{00000000-0005-0000-0000-000035140000}"/>
    <cellStyle name="Normal 17 2 2 3 2 2 2 2" xfId="12212" xr:uid="{00000000-0005-0000-0000-000036140000}"/>
    <cellStyle name="Normal 17 2 2 3 2 2 3" xfId="10608" xr:uid="{00000000-0005-0000-0000-000037140000}"/>
    <cellStyle name="Normal 17 2 2 3 2 3" xfId="4982" xr:uid="{00000000-0005-0000-0000-000038140000}"/>
    <cellStyle name="Normal 17 2 2 3 2 3 2" xfId="12211" xr:uid="{00000000-0005-0000-0000-000039140000}"/>
    <cellStyle name="Normal 17 2 2 3 2 4" xfId="8870" xr:uid="{00000000-0005-0000-0000-00003A140000}"/>
    <cellStyle name="Normal 17 2 2 3 3" xfId="2512" xr:uid="{00000000-0005-0000-0000-00003B140000}"/>
    <cellStyle name="Normal 17 2 2 3 3 2" xfId="4984" xr:uid="{00000000-0005-0000-0000-00003C140000}"/>
    <cellStyle name="Normal 17 2 2 3 3 2 2" xfId="12213" xr:uid="{00000000-0005-0000-0000-00003D140000}"/>
    <cellStyle name="Normal 17 2 2 3 3 3" xfId="9741" xr:uid="{00000000-0005-0000-0000-00003E140000}"/>
    <cellStyle name="Normal 17 2 2 3 4" xfId="4981" xr:uid="{00000000-0005-0000-0000-00003F140000}"/>
    <cellStyle name="Normal 17 2 2 3 4 2" xfId="12210" xr:uid="{00000000-0005-0000-0000-000040140000}"/>
    <cellStyle name="Normal 17 2 2 3 5" xfId="8003" xr:uid="{00000000-0005-0000-0000-000041140000}"/>
    <cellStyle name="Normal 17 2 2 4" xfId="1209" xr:uid="{00000000-0005-0000-0000-000042140000}"/>
    <cellStyle name="Normal 17 2 2 4 2" xfId="2948" xr:uid="{00000000-0005-0000-0000-000043140000}"/>
    <cellStyle name="Normal 17 2 2 4 2 2" xfId="4986" xr:uid="{00000000-0005-0000-0000-000044140000}"/>
    <cellStyle name="Normal 17 2 2 4 2 2 2" xfId="12215" xr:uid="{00000000-0005-0000-0000-000045140000}"/>
    <cellStyle name="Normal 17 2 2 4 2 3" xfId="10177" xr:uid="{00000000-0005-0000-0000-000046140000}"/>
    <cellStyle name="Normal 17 2 2 4 3" xfId="4985" xr:uid="{00000000-0005-0000-0000-000047140000}"/>
    <cellStyle name="Normal 17 2 2 4 3 2" xfId="12214" xr:uid="{00000000-0005-0000-0000-000048140000}"/>
    <cellStyle name="Normal 17 2 2 4 4" xfId="8439" xr:uid="{00000000-0005-0000-0000-000049140000}"/>
    <cellStyle name="Normal 17 2 2 5" xfId="2081" xr:uid="{00000000-0005-0000-0000-00004A140000}"/>
    <cellStyle name="Normal 17 2 2 5 2" xfId="4987" xr:uid="{00000000-0005-0000-0000-00004B140000}"/>
    <cellStyle name="Normal 17 2 2 5 2 2" xfId="12216" xr:uid="{00000000-0005-0000-0000-00004C140000}"/>
    <cellStyle name="Normal 17 2 2 5 3" xfId="9310" xr:uid="{00000000-0005-0000-0000-00004D140000}"/>
    <cellStyle name="Normal 17 2 2 6" xfId="4972" xr:uid="{00000000-0005-0000-0000-00004E140000}"/>
    <cellStyle name="Normal 17 2 2 6 2" xfId="12201" xr:uid="{00000000-0005-0000-0000-00004F140000}"/>
    <cellStyle name="Normal 17 2 2 7" xfId="7572" xr:uid="{00000000-0005-0000-0000-000050140000}"/>
    <cellStyle name="Normal 17 2 3" xfId="443" xr:uid="{00000000-0005-0000-0000-000051140000}"/>
    <cellStyle name="Normal 17 2 3 2" xfId="889" xr:uid="{00000000-0005-0000-0000-000052140000}"/>
    <cellStyle name="Normal 17 2 3 2 2" xfId="1756" xr:uid="{00000000-0005-0000-0000-000053140000}"/>
    <cellStyle name="Normal 17 2 3 2 2 2" xfId="3495" xr:uid="{00000000-0005-0000-0000-000054140000}"/>
    <cellStyle name="Normal 17 2 3 2 2 2 2" xfId="4991" xr:uid="{00000000-0005-0000-0000-000055140000}"/>
    <cellStyle name="Normal 17 2 3 2 2 2 2 2" xfId="12220" xr:uid="{00000000-0005-0000-0000-000056140000}"/>
    <cellStyle name="Normal 17 2 3 2 2 2 3" xfId="10724" xr:uid="{00000000-0005-0000-0000-000057140000}"/>
    <cellStyle name="Normal 17 2 3 2 2 3" xfId="4990" xr:uid="{00000000-0005-0000-0000-000058140000}"/>
    <cellStyle name="Normal 17 2 3 2 2 3 2" xfId="12219" xr:uid="{00000000-0005-0000-0000-000059140000}"/>
    <cellStyle name="Normal 17 2 3 2 2 4" xfId="8986" xr:uid="{00000000-0005-0000-0000-00005A140000}"/>
    <cellStyle name="Normal 17 2 3 2 3" xfId="2628" xr:uid="{00000000-0005-0000-0000-00005B140000}"/>
    <cellStyle name="Normal 17 2 3 2 3 2" xfId="4992" xr:uid="{00000000-0005-0000-0000-00005C140000}"/>
    <cellStyle name="Normal 17 2 3 2 3 2 2" xfId="12221" xr:uid="{00000000-0005-0000-0000-00005D140000}"/>
    <cellStyle name="Normal 17 2 3 2 3 3" xfId="9857" xr:uid="{00000000-0005-0000-0000-00005E140000}"/>
    <cellStyle name="Normal 17 2 3 2 4" xfId="4989" xr:uid="{00000000-0005-0000-0000-00005F140000}"/>
    <cellStyle name="Normal 17 2 3 2 4 2" xfId="12218" xr:uid="{00000000-0005-0000-0000-000060140000}"/>
    <cellStyle name="Normal 17 2 3 2 5" xfId="8119" xr:uid="{00000000-0005-0000-0000-000061140000}"/>
    <cellStyle name="Normal 17 2 3 3" xfId="1325" xr:uid="{00000000-0005-0000-0000-000062140000}"/>
    <cellStyle name="Normal 17 2 3 3 2" xfId="3064" xr:uid="{00000000-0005-0000-0000-000063140000}"/>
    <cellStyle name="Normal 17 2 3 3 2 2" xfId="4994" xr:uid="{00000000-0005-0000-0000-000064140000}"/>
    <cellStyle name="Normal 17 2 3 3 2 2 2" xfId="12223" xr:uid="{00000000-0005-0000-0000-000065140000}"/>
    <cellStyle name="Normal 17 2 3 3 2 3" xfId="10293" xr:uid="{00000000-0005-0000-0000-000066140000}"/>
    <cellStyle name="Normal 17 2 3 3 3" xfId="4993" xr:uid="{00000000-0005-0000-0000-000067140000}"/>
    <cellStyle name="Normal 17 2 3 3 3 2" xfId="12222" xr:uid="{00000000-0005-0000-0000-000068140000}"/>
    <cellStyle name="Normal 17 2 3 3 4" xfId="8555" xr:uid="{00000000-0005-0000-0000-000069140000}"/>
    <cellStyle name="Normal 17 2 3 4" xfId="2197" xr:uid="{00000000-0005-0000-0000-00006A140000}"/>
    <cellStyle name="Normal 17 2 3 4 2" xfId="4995" xr:uid="{00000000-0005-0000-0000-00006B140000}"/>
    <cellStyle name="Normal 17 2 3 4 2 2" xfId="12224" xr:uid="{00000000-0005-0000-0000-00006C140000}"/>
    <cellStyle name="Normal 17 2 3 4 3" xfId="9426" xr:uid="{00000000-0005-0000-0000-00006D140000}"/>
    <cellStyle name="Normal 17 2 3 5" xfId="4988" xr:uid="{00000000-0005-0000-0000-00006E140000}"/>
    <cellStyle name="Normal 17 2 3 5 2" xfId="12217" xr:uid="{00000000-0005-0000-0000-00006F140000}"/>
    <cellStyle name="Normal 17 2 3 6" xfId="7688" xr:uid="{00000000-0005-0000-0000-000070140000}"/>
    <cellStyle name="Normal 17 2 4" xfId="662" xr:uid="{00000000-0005-0000-0000-000071140000}"/>
    <cellStyle name="Normal 17 2 4 2" xfId="1538" xr:uid="{00000000-0005-0000-0000-000072140000}"/>
    <cellStyle name="Normal 17 2 4 2 2" xfId="3277" xr:uid="{00000000-0005-0000-0000-000073140000}"/>
    <cellStyle name="Normal 17 2 4 2 2 2" xfId="4998" xr:uid="{00000000-0005-0000-0000-000074140000}"/>
    <cellStyle name="Normal 17 2 4 2 2 2 2" xfId="12227" xr:uid="{00000000-0005-0000-0000-000075140000}"/>
    <cellStyle name="Normal 17 2 4 2 2 3" xfId="10506" xr:uid="{00000000-0005-0000-0000-000076140000}"/>
    <cellStyle name="Normal 17 2 4 2 3" xfId="4997" xr:uid="{00000000-0005-0000-0000-000077140000}"/>
    <cellStyle name="Normal 17 2 4 2 3 2" xfId="12226" xr:uid="{00000000-0005-0000-0000-000078140000}"/>
    <cellStyle name="Normal 17 2 4 2 4" xfId="8768" xr:uid="{00000000-0005-0000-0000-000079140000}"/>
    <cellStyle name="Normal 17 2 4 3" xfId="2410" xr:uid="{00000000-0005-0000-0000-00007A140000}"/>
    <cellStyle name="Normal 17 2 4 3 2" xfId="4999" xr:uid="{00000000-0005-0000-0000-00007B140000}"/>
    <cellStyle name="Normal 17 2 4 3 2 2" xfId="12228" xr:uid="{00000000-0005-0000-0000-00007C140000}"/>
    <cellStyle name="Normal 17 2 4 3 3" xfId="9639" xr:uid="{00000000-0005-0000-0000-00007D140000}"/>
    <cellStyle name="Normal 17 2 4 4" xfId="4996" xr:uid="{00000000-0005-0000-0000-00007E140000}"/>
    <cellStyle name="Normal 17 2 4 4 2" xfId="12225" xr:uid="{00000000-0005-0000-0000-00007F140000}"/>
    <cellStyle name="Normal 17 2 4 5" xfId="7901" xr:uid="{00000000-0005-0000-0000-000080140000}"/>
    <cellStyle name="Normal 17 2 5" xfId="1107" xr:uid="{00000000-0005-0000-0000-000081140000}"/>
    <cellStyle name="Normal 17 2 5 2" xfId="2846" xr:uid="{00000000-0005-0000-0000-000082140000}"/>
    <cellStyle name="Normal 17 2 5 2 2" xfId="5001" xr:uid="{00000000-0005-0000-0000-000083140000}"/>
    <cellStyle name="Normal 17 2 5 2 2 2" xfId="12230" xr:uid="{00000000-0005-0000-0000-000084140000}"/>
    <cellStyle name="Normal 17 2 5 2 3" xfId="10075" xr:uid="{00000000-0005-0000-0000-000085140000}"/>
    <cellStyle name="Normal 17 2 5 3" xfId="5000" xr:uid="{00000000-0005-0000-0000-000086140000}"/>
    <cellStyle name="Normal 17 2 5 3 2" xfId="12229" xr:uid="{00000000-0005-0000-0000-000087140000}"/>
    <cellStyle name="Normal 17 2 5 4" xfId="8337" xr:uid="{00000000-0005-0000-0000-000088140000}"/>
    <cellStyle name="Normal 17 2 6" xfId="1979" xr:uid="{00000000-0005-0000-0000-000089140000}"/>
    <cellStyle name="Normal 17 2 6 2" xfId="5002" xr:uid="{00000000-0005-0000-0000-00008A140000}"/>
    <cellStyle name="Normal 17 2 6 2 2" xfId="12231" xr:uid="{00000000-0005-0000-0000-00008B140000}"/>
    <cellStyle name="Normal 17 2 6 3" xfId="9208" xr:uid="{00000000-0005-0000-0000-00008C140000}"/>
    <cellStyle name="Normal 17 2 7" xfId="4971" xr:uid="{00000000-0005-0000-0000-00008D140000}"/>
    <cellStyle name="Normal 17 2 7 2" xfId="12200" xr:uid="{00000000-0005-0000-0000-00008E140000}"/>
    <cellStyle name="Normal 17 2 8" xfId="7468" xr:uid="{00000000-0005-0000-0000-00008F140000}"/>
    <cellStyle name="Normal 17 3" xfId="210" xr:uid="{00000000-0005-0000-0000-000090140000}"/>
    <cellStyle name="Normal 17 3 2" xfId="337" xr:uid="{00000000-0005-0000-0000-000091140000}"/>
    <cellStyle name="Normal 17 3 2 2" xfId="563" xr:uid="{00000000-0005-0000-0000-000092140000}"/>
    <cellStyle name="Normal 17 3 2 2 2" xfId="1009" xr:uid="{00000000-0005-0000-0000-000093140000}"/>
    <cellStyle name="Normal 17 3 2 2 2 2" xfId="1876" xr:uid="{00000000-0005-0000-0000-000094140000}"/>
    <cellStyle name="Normal 17 3 2 2 2 2 2" xfId="3615" xr:uid="{00000000-0005-0000-0000-000095140000}"/>
    <cellStyle name="Normal 17 3 2 2 2 2 2 2" xfId="5008" xr:uid="{00000000-0005-0000-0000-000096140000}"/>
    <cellStyle name="Normal 17 3 2 2 2 2 2 2 2" xfId="12237" xr:uid="{00000000-0005-0000-0000-000097140000}"/>
    <cellStyle name="Normal 17 3 2 2 2 2 2 3" xfId="10844" xr:uid="{00000000-0005-0000-0000-000098140000}"/>
    <cellStyle name="Normal 17 3 2 2 2 2 3" xfId="5007" xr:uid="{00000000-0005-0000-0000-000099140000}"/>
    <cellStyle name="Normal 17 3 2 2 2 2 3 2" xfId="12236" xr:uid="{00000000-0005-0000-0000-00009A140000}"/>
    <cellStyle name="Normal 17 3 2 2 2 2 4" xfId="9106" xr:uid="{00000000-0005-0000-0000-00009B140000}"/>
    <cellStyle name="Normal 17 3 2 2 2 3" xfId="2748" xr:uid="{00000000-0005-0000-0000-00009C140000}"/>
    <cellStyle name="Normal 17 3 2 2 2 3 2" xfId="5009" xr:uid="{00000000-0005-0000-0000-00009D140000}"/>
    <cellStyle name="Normal 17 3 2 2 2 3 2 2" xfId="12238" xr:uid="{00000000-0005-0000-0000-00009E140000}"/>
    <cellStyle name="Normal 17 3 2 2 2 3 3" xfId="9977" xr:uid="{00000000-0005-0000-0000-00009F140000}"/>
    <cellStyle name="Normal 17 3 2 2 2 4" xfId="5006" xr:uid="{00000000-0005-0000-0000-0000A0140000}"/>
    <cellStyle name="Normal 17 3 2 2 2 4 2" xfId="12235" xr:uid="{00000000-0005-0000-0000-0000A1140000}"/>
    <cellStyle name="Normal 17 3 2 2 2 5" xfId="8239" xr:uid="{00000000-0005-0000-0000-0000A2140000}"/>
    <cellStyle name="Normal 17 3 2 2 3" xfId="1445" xr:uid="{00000000-0005-0000-0000-0000A3140000}"/>
    <cellStyle name="Normal 17 3 2 2 3 2" xfId="3184" xr:uid="{00000000-0005-0000-0000-0000A4140000}"/>
    <cellStyle name="Normal 17 3 2 2 3 2 2" xfId="5011" xr:uid="{00000000-0005-0000-0000-0000A5140000}"/>
    <cellStyle name="Normal 17 3 2 2 3 2 2 2" xfId="12240" xr:uid="{00000000-0005-0000-0000-0000A6140000}"/>
    <cellStyle name="Normal 17 3 2 2 3 2 3" xfId="10413" xr:uid="{00000000-0005-0000-0000-0000A7140000}"/>
    <cellStyle name="Normal 17 3 2 2 3 3" xfId="5010" xr:uid="{00000000-0005-0000-0000-0000A8140000}"/>
    <cellStyle name="Normal 17 3 2 2 3 3 2" xfId="12239" xr:uid="{00000000-0005-0000-0000-0000A9140000}"/>
    <cellStyle name="Normal 17 3 2 2 3 4" xfId="8675" xr:uid="{00000000-0005-0000-0000-0000AA140000}"/>
    <cellStyle name="Normal 17 3 2 2 4" xfId="2317" xr:uid="{00000000-0005-0000-0000-0000AB140000}"/>
    <cellStyle name="Normal 17 3 2 2 4 2" xfId="5012" xr:uid="{00000000-0005-0000-0000-0000AC140000}"/>
    <cellStyle name="Normal 17 3 2 2 4 2 2" xfId="12241" xr:uid="{00000000-0005-0000-0000-0000AD140000}"/>
    <cellStyle name="Normal 17 3 2 2 4 3" xfId="9546" xr:uid="{00000000-0005-0000-0000-0000AE140000}"/>
    <cellStyle name="Normal 17 3 2 2 5" xfId="5005" xr:uid="{00000000-0005-0000-0000-0000AF140000}"/>
    <cellStyle name="Normal 17 3 2 2 5 2" xfId="12234" xr:uid="{00000000-0005-0000-0000-0000B0140000}"/>
    <cellStyle name="Normal 17 3 2 2 6" xfId="7808" xr:uid="{00000000-0005-0000-0000-0000B1140000}"/>
    <cellStyle name="Normal 17 3 2 3" xfId="785" xr:uid="{00000000-0005-0000-0000-0000B2140000}"/>
    <cellStyle name="Normal 17 3 2 3 2" xfId="1658" xr:uid="{00000000-0005-0000-0000-0000B3140000}"/>
    <cellStyle name="Normal 17 3 2 3 2 2" xfId="3397" xr:uid="{00000000-0005-0000-0000-0000B4140000}"/>
    <cellStyle name="Normal 17 3 2 3 2 2 2" xfId="5015" xr:uid="{00000000-0005-0000-0000-0000B5140000}"/>
    <cellStyle name="Normal 17 3 2 3 2 2 2 2" xfId="12244" xr:uid="{00000000-0005-0000-0000-0000B6140000}"/>
    <cellStyle name="Normal 17 3 2 3 2 2 3" xfId="10626" xr:uid="{00000000-0005-0000-0000-0000B7140000}"/>
    <cellStyle name="Normal 17 3 2 3 2 3" xfId="5014" xr:uid="{00000000-0005-0000-0000-0000B8140000}"/>
    <cellStyle name="Normal 17 3 2 3 2 3 2" xfId="12243" xr:uid="{00000000-0005-0000-0000-0000B9140000}"/>
    <cellStyle name="Normal 17 3 2 3 2 4" xfId="8888" xr:uid="{00000000-0005-0000-0000-0000BA140000}"/>
    <cellStyle name="Normal 17 3 2 3 3" xfId="2530" xr:uid="{00000000-0005-0000-0000-0000BB140000}"/>
    <cellStyle name="Normal 17 3 2 3 3 2" xfId="5016" xr:uid="{00000000-0005-0000-0000-0000BC140000}"/>
    <cellStyle name="Normal 17 3 2 3 3 2 2" xfId="12245" xr:uid="{00000000-0005-0000-0000-0000BD140000}"/>
    <cellStyle name="Normal 17 3 2 3 3 3" xfId="9759" xr:uid="{00000000-0005-0000-0000-0000BE140000}"/>
    <cellStyle name="Normal 17 3 2 3 4" xfId="5013" xr:uid="{00000000-0005-0000-0000-0000BF140000}"/>
    <cellStyle name="Normal 17 3 2 3 4 2" xfId="12242" xr:uid="{00000000-0005-0000-0000-0000C0140000}"/>
    <cellStyle name="Normal 17 3 2 3 5" xfId="8021" xr:uid="{00000000-0005-0000-0000-0000C1140000}"/>
    <cellStyle name="Normal 17 3 2 4" xfId="1227" xr:uid="{00000000-0005-0000-0000-0000C2140000}"/>
    <cellStyle name="Normal 17 3 2 4 2" xfId="2966" xr:uid="{00000000-0005-0000-0000-0000C3140000}"/>
    <cellStyle name="Normal 17 3 2 4 2 2" xfId="5018" xr:uid="{00000000-0005-0000-0000-0000C4140000}"/>
    <cellStyle name="Normal 17 3 2 4 2 2 2" xfId="12247" xr:uid="{00000000-0005-0000-0000-0000C5140000}"/>
    <cellStyle name="Normal 17 3 2 4 2 3" xfId="10195" xr:uid="{00000000-0005-0000-0000-0000C6140000}"/>
    <cellStyle name="Normal 17 3 2 4 3" xfId="5017" xr:uid="{00000000-0005-0000-0000-0000C7140000}"/>
    <cellStyle name="Normal 17 3 2 4 3 2" xfId="12246" xr:uid="{00000000-0005-0000-0000-0000C8140000}"/>
    <cellStyle name="Normal 17 3 2 4 4" xfId="8457" xr:uid="{00000000-0005-0000-0000-0000C9140000}"/>
    <cellStyle name="Normal 17 3 2 5" xfId="2099" xr:uid="{00000000-0005-0000-0000-0000CA140000}"/>
    <cellStyle name="Normal 17 3 2 5 2" xfId="5019" xr:uid="{00000000-0005-0000-0000-0000CB140000}"/>
    <cellStyle name="Normal 17 3 2 5 2 2" xfId="12248" xr:uid="{00000000-0005-0000-0000-0000CC140000}"/>
    <cellStyle name="Normal 17 3 2 5 3" xfId="9328" xr:uid="{00000000-0005-0000-0000-0000CD140000}"/>
    <cellStyle name="Normal 17 3 2 6" xfId="5004" xr:uid="{00000000-0005-0000-0000-0000CE140000}"/>
    <cellStyle name="Normal 17 3 2 6 2" xfId="12233" xr:uid="{00000000-0005-0000-0000-0000CF140000}"/>
    <cellStyle name="Normal 17 3 2 7" xfId="7590" xr:uid="{00000000-0005-0000-0000-0000D0140000}"/>
    <cellStyle name="Normal 17 3 3" xfId="461" xr:uid="{00000000-0005-0000-0000-0000D1140000}"/>
    <cellStyle name="Normal 17 3 3 2" xfId="907" xr:uid="{00000000-0005-0000-0000-0000D2140000}"/>
    <cellStyle name="Normal 17 3 3 2 2" xfId="1774" xr:uid="{00000000-0005-0000-0000-0000D3140000}"/>
    <cellStyle name="Normal 17 3 3 2 2 2" xfId="3513" xr:uid="{00000000-0005-0000-0000-0000D4140000}"/>
    <cellStyle name="Normal 17 3 3 2 2 2 2" xfId="5023" xr:uid="{00000000-0005-0000-0000-0000D5140000}"/>
    <cellStyle name="Normal 17 3 3 2 2 2 2 2" xfId="12252" xr:uid="{00000000-0005-0000-0000-0000D6140000}"/>
    <cellStyle name="Normal 17 3 3 2 2 2 3" xfId="10742" xr:uid="{00000000-0005-0000-0000-0000D7140000}"/>
    <cellStyle name="Normal 17 3 3 2 2 3" xfId="5022" xr:uid="{00000000-0005-0000-0000-0000D8140000}"/>
    <cellStyle name="Normal 17 3 3 2 2 3 2" xfId="12251" xr:uid="{00000000-0005-0000-0000-0000D9140000}"/>
    <cellStyle name="Normal 17 3 3 2 2 4" xfId="9004" xr:uid="{00000000-0005-0000-0000-0000DA140000}"/>
    <cellStyle name="Normal 17 3 3 2 3" xfId="2646" xr:uid="{00000000-0005-0000-0000-0000DB140000}"/>
    <cellStyle name="Normal 17 3 3 2 3 2" xfId="5024" xr:uid="{00000000-0005-0000-0000-0000DC140000}"/>
    <cellStyle name="Normal 17 3 3 2 3 2 2" xfId="12253" xr:uid="{00000000-0005-0000-0000-0000DD140000}"/>
    <cellStyle name="Normal 17 3 3 2 3 3" xfId="9875" xr:uid="{00000000-0005-0000-0000-0000DE140000}"/>
    <cellStyle name="Normal 17 3 3 2 4" xfId="5021" xr:uid="{00000000-0005-0000-0000-0000DF140000}"/>
    <cellStyle name="Normal 17 3 3 2 4 2" xfId="12250" xr:uid="{00000000-0005-0000-0000-0000E0140000}"/>
    <cellStyle name="Normal 17 3 3 2 5" xfId="8137" xr:uid="{00000000-0005-0000-0000-0000E1140000}"/>
    <cellStyle name="Normal 17 3 3 3" xfId="1343" xr:uid="{00000000-0005-0000-0000-0000E2140000}"/>
    <cellStyle name="Normal 17 3 3 3 2" xfId="3082" xr:uid="{00000000-0005-0000-0000-0000E3140000}"/>
    <cellStyle name="Normal 17 3 3 3 2 2" xfId="5026" xr:uid="{00000000-0005-0000-0000-0000E4140000}"/>
    <cellStyle name="Normal 17 3 3 3 2 2 2" xfId="12255" xr:uid="{00000000-0005-0000-0000-0000E5140000}"/>
    <cellStyle name="Normal 17 3 3 3 2 3" xfId="10311" xr:uid="{00000000-0005-0000-0000-0000E6140000}"/>
    <cellStyle name="Normal 17 3 3 3 3" xfId="5025" xr:uid="{00000000-0005-0000-0000-0000E7140000}"/>
    <cellStyle name="Normal 17 3 3 3 3 2" xfId="12254" xr:uid="{00000000-0005-0000-0000-0000E8140000}"/>
    <cellStyle name="Normal 17 3 3 3 4" xfId="8573" xr:uid="{00000000-0005-0000-0000-0000E9140000}"/>
    <cellStyle name="Normal 17 3 3 4" xfId="2215" xr:uid="{00000000-0005-0000-0000-0000EA140000}"/>
    <cellStyle name="Normal 17 3 3 4 2" xfId="5027" xr:uid="{00000000-0005-0000-0000-0000EB140000}"/>
    <cellStyle name="Normal 17 3 3 4 2 2" xfId="12256" xr:uid="{00000000-0005-0000-0000-0000EC140000}"/>
    <cellStyle name="Normal 17 3 3 4 3" xfId="9444" xr:uid="{00000000-0005-0000-0000-0000ED140000}"/>
    <cellStyle name="Normal 17 3 3 5" xfId="5020" xr:uid="{00000000-0005-0000-0000-0000EE140000}"/>
    <cellStyle name="Normal 17 3 3 5 2" xfId="12249" xr:uid="{00000000-0005-0000-0000-0000EF140000}"/>
    <cellStyle name="Normal 17 3 3 6" xfId="7706" xr:uid="{00000000-0005-0000-0000-0000F0140000}"/>
    <cellStyle name="Normal 17 3 4" xfId="683" xr:uid="{00000000-0005-0000-0000-0000F1140000}"/>
    <cellStyle name="Normal 17 3 4 2" xfId="1556" xr:uid="{00000000-0005-0000-0000-0000F2140000}"/>
    <cellStyle name="Normal 17 3 4 2 2" xfId="3295" xr:uid="{00000000-0005-0000-0000-0000F3140000}"/>
    <cellStyle name="Normal 17 3 4 2 2 2" xfId="5030" xr:uid="{00000000-0005-0000-0000-0000F4140000}"/>
    <cellStyle name="Normal 17 3 4 2 2 2 2" xfId="12259" xr:uid="{00000000-0005-0000-0000-0000F5140000}"/>
    <cellStyle name="Normal 17 3 4 2 2 3" xfId="10524" xr:uid="{00000000-0005-0000-0000-0000F6140000}"/>
    <cellStyle name="Normal 17 3 4 2 3" xfId="5029" xr:uid="{00000000-0005-0000-0000-0000F7140000}"/>
    <cellStyle name="Normal 17 3 4 2 3 2" xfId="12258" xr:uid="{00000000-0005-0000-0000-0000F8140000}"/>
    <cellStyle name="Normal 17 3 4 2 4" xfId="8786" xr:uid="{00000000-0005-0000-0000-0000F9140000}"/>
    <cellStyle name="Normal 17 3 4 3" xfId="2428" xr:uid="{00000000-0005-0000-0000-0000FA140000}"/>
    <cellStyle name="Normal 17 3 4 3 2" xfId="5031" xr:uid="{00000000-0005-0000-0000-0000FB140000}"/>
    <cellStyle name="Normal 17 3 4 3 2 2" xfId="12260" xr:uid="{00000000-0005-0000-0000-0000FC140000}"/>
    <cellStyle name="Normal 17 3 4 3 3" xfId="9657" xr:uid="{00000000-0005-0000-0000-0000FD140000}"/>
    <cellStyle name="Normal 17 3 4 4" xfId="5028" xr:uid="{00000000-0005-0000-0000-0000FE140000}"/>
    <cellStyle name="Normal 17 3 4 4 2" xfId="12257" xr:uid="{00000000-0005-0000-0000-0000FF140000}"/>
    <cellStyle name="Normal 17 3 4 5" xfId="7919" xr:uid="{00000000-0005-0000-0000-000000150000}"/>
    <cellStyle name="Normal 17 3 5" xfId="1125" xr:uid="{00000000-0005-0000-0000-000001150000}"/>
    <cellStyle name="Normal 17 3 5 2" xfId="2864" xr:uid="{00000000-0005-0000-0000-000002150000}"/>
    <cellStyle name="Normal 17 3 5 2 2" xfId="5033" xr:uid="{00000000-0005-0000-0000-000003150000}"/>
    <cellStyle name="Normal 17 3 5 2 2 2" xfId="12262" xr:uid="{00000000-0005-0000-0000-000004150000}"/>
    <cellStyle name="Normal 17 3 5 2 3" xfId="10093" xr:uid="{00000000-0005-0000-0000-000005150000}"/>
    <cellStyle name="Normal 17 3 5 3" xfId="5032" xr:uid="{00000000-0005-0000-0000-000006150000}"/>
    <cellStyle name="Normal 17 3 5 3 2" xfId="12261" xr:uid="{00000000-0005-0000-0000-000007150000}"/>
    <cellStyle name="Normal 17 3 5 4" xfId="8355" xr:uid="{00000000-0005-0000-0000-000008150000}"/>
    <cellStyle name="Normal 17 3 6" xfId="1997" xr:uid="{00000000-0005-0000-0000-000009150000}"/>
    <cellStyle name="Normal 17 3 6 2" xfId="5034" xr:uid="{00000000-0005-0000-0000-00000A150000}"/>
    <cellStyle name="Normal 17 3 6 2 2" xfId="12263" xr:uid="{00000000-0005-0000-0000-00000B150000}"/>
    <cellStyle name="Normal 17 3 6 3" xfId="9226" xr:uid="{00000000-0005-0000-0000-00000C150000}"/>
    <cellStyle name="Normal 17 3 7" xfId="5003" xr:uid="{00000000-0005-0000-0000-00000D150000}"/>
    <cellStyle name="Normal 17 3 7 2" xfId="12232" xr:uid="{00000000-0005-0000-0000-00000E150000}"/>
    <cellStyle name="Normal 17 3 8" xfId="7488" xr:uid="{00000000-0005-0000-0000-00000F150000}"/>
    <cellStyle name="Normal 17 4" xfId="286" xr:uid="{00000000-0005-0000-0000-000010150000}"/>
    <cellStyle name="Normal 17 4 2" xfId="512" xr:uid="{00000000-0005-0000-0000-000011150000}"/>
    <cellStyle name="Normal 17 4 2 2" xfId="958" xr:uid="{00000000-0005-0000-0000-000012150000}"/>
    <cellStyle name="Normal 17 4 2 2 2" xfId="1825" xr:uid="{00000000-0005-0000-0000-000013150000}"/>
    <cellStyle name="Normal 17 4 2 2 2 2" xfId="3564" xr:uid="{00000000-0005-0000-0000-000014150000}"/>
    <cellStyle name="Normal 17 4 2 2 2 2 2" xfId="5039" xr:uid="{00000000-0005-0000-0000-000015150000}"/>
    <cellStyle name="Normal 17 4 2 2 2 2 2 2" xfId="12268" xr:uid="{00000000-0005-0000-0000-000016150000}"/>
    <cellStyle name="Normal 17 4 2 2 2 2 3" xfId="10793" xr:uid="{00000000-0005-0000-0000-000017150000}"/>
    <cellStyle name="Normal 17 4 2 2 2 3" xfId="5038" xr:uid="{00000000-0005-0000-0000-000018150000}"/>
    <cellStyle name="Normal 17 4 2 2 2 3 2" xfId="12267" xr:uid="{00000000-0005-0000-0000-000019150000}"/>
    <cellStyle name="Normal 17 4 2 2 2 4" xfId="9055" xr:uid="{00000000-0005-0000-0000-00001A150000}"/>
    <cellStyle name="Normal 17 4 2 2 3" xfId="2697" xr:uid="{00000000-0005-0000-0000-00001B150000}"/>
    <cellStyle name="Normal 17 4 2 2 3 2" xfId="5040" xr:uid="{00000000-0005-0000-0000-00001C150000}"/>
    <cellStyle name="Normal 17 4 2 2 3 2 2" xfId="12269" xr:uid="{00000000-0005-0000-0000-00001D150000}"/>
    <cellStyle name="Normal 17 4 2 2 3 3" xfId="9926" xr:uid="{00000000-0005-0000-0000-00001E150000}"/>
    <cellStyle name="Normal 17 4 2 2 4" xfId="5037" xr:uid="{00000000-0005-0000-0000-00001F150000}"/>
    <cellStyle name="Normal 17 4 2 2 4 2" xfId="12266" xr:uid="{00000000-0005-0000-0000-000020150000}"/>
    <cellStyle name="Normal 17 4 2 2 5" xfId="8188" xr:uid="{00000000-0005-0000-0000-000021150000}"/>
    <cellStyle name="Normal 17 4 2 3" xfId="1394" xr:uid="{00000000-0005-0000-0000-000022150000}"/>
    <cellStyle name="Normal 17 4 2 3 2" xfId="3133" xr:uid="{00000000-0005-0000-0000-000023150000}"/>
    <cellStyle name="Normal 17 4 2 3 2 2" xfId="5042" xr:uid="{00000000-0005-0000-0000-000024150000}"/>
    <cellStyle name="Normal 17 4 2 3 2 2 2" xfId="12271" xr:uid="{00000000-0005-0000-0000-000025150000}"/>
    <cellStyle name="Normal 17 4 2 3 2 3" xfId="10362" xr:uid="{00000000-0005-0000-0000-000026150000}"/>
    <cellStyle name="Normal 17 4 2 3 3" xfId="5041" xr:uid="{00000000-0005-0000-0000-000027150000}"/>
    <cellStyle name="Normal 17 4 2 3 3 2" xfId="12270" xr:uid="{00000000-0005-0000-0000-000028150000}"/>
    <cellStyle name="Normal 17 4 2 3 4" xfId="8624" xr:uid="{00000000-0005-0000-0000-000029150000}"/>
    <cellStyle name="Normal 17 4 2 4" xfId="2266" xr:uid="{00000000-0005-0000-0000-00002A150000}"/>
    <cellStyle name="Normal 17 4 2 4 2" xfId="5043" xr:uid="{00000000-0005-0000-0000-00002B150000}"/>
    <cellStyle name="Normal 17 4 2 4 2 2" xfId="12272" xr:uid="{00000000-0005-0000-0000-00002C150000}"/>
    <cellStyle name="Normal 17 4 2 4 3" xfId="9495" xr:uid="{00000000-0005-0000-0000-00002D150000}"/>
    <cellStyle name="Normal 17 4 2 5" xfId="5036" xr:uid="{00000000-0005-0000-0000-00002E150000}"/>
    <cellStyle name="Normal 17 4 2 5 2" xfId="12265" xr:uid="{00000000-0005-0000-0000-00002F150000}"/>
    <cellStyle name="Normal 17 4 2 6" xfId="7757" xr:uid="{00000000-0005-0000-0000-000030150000}"/>
    <cellStyle name="Normal 17 4 3" xfId="734" xr:uid="{00000000-0005-0000-0000-000031150000}"/>
    <cellStyle name="Normal 17 4 3 2" xfId="1607" xr:uid="{00000000-0005-0000-0000-000032150000}"/>
    <cellStyle name="Normal 17 4 3 2 2" xfId="3346" xr:uid="{00000000-0005-0000-0000-000033150000}"/>
    <cellStyle name="Normal 17 4 3 2 2 2" xfId="5046" xr:uid="{00000000-0005-0000-0000-000034150000}"/>
    <cellStyle name="Normal 17 4 3 2 2 2 2" xfId="12275" xr:uid="{00000000-0005-0000-0000-000035150000}"/>
    <cellStyle name="Normal 17 4 3 2 2 3" xfId="10575" xr:uid="{00000000-0005-0000-0000-000036150000}"/>
    <cellStyle name="Normal 17 4 3 2 3" xfId="5045" xr:uid="{00000000-0005-0000-0000-000037150000}"/>
    <cellStyle name="Normal 17 4 3 2 3 2" xfId="12274" xr:uid="{00000000-0005-0000-0000-000038150000}"/>
    <cellStyle name="Normal 17 4 3 2 4" xfId="8837" xr:uid="{00000000-0005-0000-0000-000039150000}"/>
    <cellStyle name="Normal 17 4 3 3" xfId="2479" xr:uid="{00000000-0005-0000-0000-00003A150000}"/>
    <cellStyle name="Normal 17 4 3 3 2" xfId="5047" xr:uid="{00000000-0005-0000-0000-00003B150000}"/>
    <cellStyle name="Normal 17 4 3 3 2 2" xfId="12276" xr:uid="{00000000-0005-0000-0000-00003C150000}"/>
    <cellStyle name="Normal 17 4 3 3 3" xfId="9708" xr:uid="{00000000-0005-0000-0000-00003D150000}"/>
    <cellStyle name="Normal 17 4 3 4" xfId="5044" xr:uid="{00000000-0005-0000-0000-00003E150000}"/>
    <cellStyle name="Normal 17 4 3 4 2" xfId="12273" xr:uid="{00000000-0005-0000-0000-00003F150000}"/>
    <cellStyle name="Normal 17 4 3 5" xfId="7970" xr:uid="{00000000-0005-0000-0000-000040150000}"/>
    <cellStyle name="Normal 17 4 4" xfId="1176" xr:uid="{00000000-0005-0000-0000-000041150000}"/>
    <cellStyle name="Normal 17 4 4 2" xfId="2915" xr:uid="{00000000-0005-0000-0000-000042150000}"/>
    <cellStyle name="Normal 17 4 4 2 2" xfId="5049" xr:uid="{00000000-0005-0000-0000-000043150000}"/>
    <cellStyle name="Normal 17 4 4 2 2 2" xfId="12278" xr:uid="{00000000-0005-0000-0000-000044150000}"/>
    <cellStyle name="Normal 17 4 4 2 3" xfId="10144" xr:uid="{00000000-0005-0000-0000-000045150000}"/>
    <cellStyle name="Normal 17 4 4 3" xfId="5048" xr:uid="{00000000-0005-0000-0000-000046150000}"/>
    <cellStyle name="Normal 17 4 4 3 2" xfId="12277" xr:uid="{00000000-0005-0000-0000-000047150000}"/>
    <cellStyle name="Normal 17 4 4 4" xfId="8406" xr:uid="{00000000-0005-0000-0000-000048150000}"/>
    <cellStyle name="Normal 17 4 5" xfId="2048" xr:uid="{00000000-0005-0000-0000-000049150000}"/>
    <cellStyle name="Normal 17 4 5 2" xfId="5050" xr:uid="{00000000-0005-0000-0000-00004A150000}"/>
    <cellStyle name="Normal 17 4 5 2 2" xfId="12279" xr:uid="{00000000-0005-0000-0000-00004B150000}"/>
    <cellStyle name="Normal 17 4 5 3" xfId="9277" xr:uid="{00000000-0005-0000-0000-00004C150000}"/>
    <cellStyle name="Normal 17 4 6" xfId="5035" xr:uid="{00000000-0005-0000-0000-00004D150000}"/>
    <cellStyle name="Normal 17 4 6 2" xfId="12264" xr:uid="{00000000-0005-0000-0000-00004E150000}"/>
    <cellStyle name="Normal 17 4 7" xfId="7539" xr:uid="{00000000-0005-0000-0000-00004F150000}"/>
    <cellStyle name="Normal 17 5" xfId="410" xr:uid="{00000000-0005-0000-0000-000050150000}"/>
    <cellStyle name="Normal 17 5 2" xfId="856" xr:uid="{00000000-0005-0000-0000-000051150000}"/>
    <cellStyle name="Normal 17 5 2 2" xfId="1723" xr:uid="{00000000-0005-0000-0000-000052150000}"/>
    <cellStyle name="Normal 17 5 2 2 2" xfId="3462" xr:uid="{00000000-0005-0000-0000-000053150000}"/>
    <cellStyle name="Normal 17 5 2 2 2 2" xfId="5054" xr:uid="{00000000-0005-0000-0000-000054150000}"/>
    <cellStyle name="Normal 17 5 2 2 2 2 2" xfId="12283" xr:uid="{00000000-0005-0000-0000-000055150000}"/>
    <cellStyle name="Normal 17 5 2 2 2 3" xfId="10691" xr:uid="{00000000-0005-0000-0000-000056150000}"/>
    <cellStyle name="Normal 17 5 2 2 3" xfId="5053" xr:uid="{00000000-0005-0000-0000-000057150000}"/>
    <cellStyle name="Normal 17 5 2 2 3 2" xfId="12282" xr:uid="{00000000-0005-0000-0000-000058150000}"/>
    <cellStyle name="Normal 17 5 2 2 4" xfId="8953" xr:uid="{00000000-0005-0000-0000-000059150000}"/>
    <cellStyle name="Normal 17 5 2 3" xfId="2595" xr:uid="{00000000-0005-0000-0000-00005A150000}"/>
    <cellStyle name="Normal 17 5 2 3 2" xfId="5055" xr:uid="{00000000-0005-0000-0000-00005B150000}"/>
    <cellStyle name="Normal 17 5 2 3 2 2" xfId="12284" xr:uid="{00000000-0005-0000-0000-00005C150000}"/>
    <cellStyle name="Normal 17 5 2 3 3" xfId="9824" xr:uid="{00000000-0005-0000-0000-00005D150000}"/>
    <cellStyle name="Normal 17 5 2 4" xfId="5052" xr:uid="{00000000-0005-0000-0000-00005E150000}"/>
    <cellStyle name="Normal 17 5 2 4 2" xfId="12281" xr:uid="{00000000-0005-0000-0000-00005F150000}"/>
    <cellStyle name="Normal 17 5 2 5" xfId="8086" xr:uid="{00000000-0005-0000-0000-000060150000}"/>
    <cellStyle name="Normal 17 5 3" xfId="1292" xr:uid="{00000000-0005-0000-0000-000061150000}"/>
    <cellStyle name="Normal 17 5 3 2" xfId="3031" xr:uid="{00000000-0005-0000-0000-000062150000}"/>
    <cellStyle name="Normal 17 5 3 2 2" xfId="5057" xr:uid="{00000000-0005-0000-0000-000063150000}"/>
    <cellStyle name="Normal 17 5 3 2 2 2" xfId="12286" xr:uid="{00000000-0005-0000-0000-000064150000}"/>
    <cellStyle name="Normal 17 5 3 2 3" xfId="10260" xr:uid="{00000000-0005-0000-0000-000065150000}"/>
    <cellStyle name="Normal 17 5 3 3" xfId="5056" xr:uid="{00000000-0005-0000-0000-000066150000}"/>
    <cellStyle name="Normal 17 5 3 3 2" xfId="12285" xr:uid="{00000000-0005-0000-0000-000067150000}"/>
    <cellStyle name="Normal 17 5 3 4" xfId="8522" xr:uid="{00000000-0005-0000-0000-000068150000}"/>
    <cellStyle name="Normal 17 5 4" xfId="2164" xr:uid="{00000000-0005-0000-0000-000069150000}"/>
    <cellStyle name="Normal 17 5 4 2" xfId="5058" xr:uid="{00000000-0005-0000-0000-00006A150000}"/>
    <cellStyle name="Normal 17 5 4 2 2" xfId="12287" xr:uid="{00000000-0005-0000-0000-00006B150000}"/>
    <cellStyle name="Normal 17 5 4 3" xfId="9393" xr:uid="{00000000-0005-0000-0000-00006C150000}"/>
    <cellStyle name="Normal 17 5 5" xfId="5051" xr:uid="{00000000-0005-0000-0000-00006D150000}"/>
    <cellStyle name="Normal 17 5 5 2" xfId="12280" xr:uid="{00000000-0005-0000-0000-00006E150000}"/>
    <cellStyle name="Normal 17 5 6" xfId="7655" xr:uid="{00000000-0005-0000-0000-00006F150000}"/>
    <cellStyle name="Normal 17 6" xfId="629" xr:uid="{00000000-0005-0000-0000-000070150000}"/>
    <cellStyle name="Normal 17 6 2" xfId="1505" xr:uid="{00000000-0005-0000-0000-000071150000}"/>
    <cellStyle name="Normal 17 6 2 2" xfId="3244" xr:uid="{00000000-0005-0000-0000-000072150000}"/>
    <cellStyle name="Normal 17 6 2 2 2" xfId="5061" xr:uid="{00000000-0005-0000-0000-000073150000}"/>
    <cellStyle name="Normal 17 6 2 2 2 2" xfId="12290" xr:uid="{00000000-0005-0000-0000-000074150000}"/>
    <cellStyle name="Normal 17 6 2 2 3" xfId="10473" xr:uid="{00000000-0005-0000-0000-000075150000}"/>
    <cellStyle name="Normal 17 6 2 3" xfId="5060" xr:uid="{00000000-0005-0000-0000-000076150000}"/>
    <cellStyle name="Normal 17 6 2 3 2" xfId="12289" xr:uid="{00000000-0005-0000-0000-000077150000}"/>
    <cellStyle name="Normal 17 6 2 4" xfId="8735" xr:uid="{00000000-0005-0000-0000-000078150000}"/>
    <cellStyle name="Normal 17 6 3" xfId="2377" xr:uid="{00000000-0005-0000-0000-000079150000}"/>
    <cellStyle name="Normal 17 6 3 2" xfId="5062" xr:uid="{00000000-0005-0000-0000-00007A150000}"/>
    <cellStyle name="Normal 17 6 3 2 2" xfId="12291" xr:uid="{00000000-0005-0000-0000-00007B150000}"/>
    <cellStyle name="Normal 17 6 3 3" xfId="9606" xr:uid="{00000000-0005-0000-0000-00007C150000}"/>
    <cellStyle name="Normal 17 6 4" xfId="5059" xr:uid="{00000000-0005-0000-0000-00007D150000}"/>
    <cellStyle name="Normal 17 6 4 2" xfId="12288" xr:uid="{00000000-0005-0000-0000-00007E150000}"/>
    <cellStyle name="Normal 17 6 5" xfId="7868" xr:uid="{00000000-0005-0000-0000-00007F150000}"/>
    <cellStyle name="Normal 17 7" xfId="1074" xr:uid="{00000000-0005-0000-0000-000080150000}"/>
    <cellStyle name="Normal 17 7 2" xfId="2813" xr:uid="{00000000-0005-0000-0000-000081150000}"/>
    <cellStyle name="Normal 17 7 2 2" xfId="5064" xr:uid="{00000000-0005-0000-0000-000082150000}"/>
    <cellStyle name="Normal 17 7 2 2 2" xfId="12293" xr:uid="{00000000-0005-0000-0000-000083150000}"/>
    <cellStyle name="Normal 17 7 2 3" xfId="10042" xr:uid="{00000000-0005-0000-0000-000084150000}"/>
    <cellStyle name="Normal 17 7 3" xfId="5063" xr:uid="{00000000-0005-0000-0000-000085150000}"/>
    <cellStyle name="Normal 17 7 3 2" xfId="12292" xr:uid="{00000000-0005-0000-0000-000086150000}"/>
    <cellStyle name="Normal 17 7 4" xfId="8304" xr:uid="{00000000-0005-0000-0000-000087150000}"/>
    <cellStyle name="Normal 17 8" xfId="1946" xr:uid="{00000000-0005-0000-0000-000088150000}"/>
    <cellStyle name="Normal 17 8 2" xfId="5065" xr:uid="{00000000-0005-0000-0000-000089150000}"/>
    <cellStyle name="Normal 17 8 2 2" xfId="12294" xr:uid="{00000000-0005-0000-0000-00008A150000}"/>
    <cellStyle name="Normal 17 8 3" xfId="9175" xr:uid="{00000000-0005-0000-0000-00008B150000}"/>
    <cellStyle name="Normal 17 9" xfId="4970" xr:uid="{00000000-0005-0000-0000-00008C150000}"/>
    <cellStyle name="Normal 17 9 2" xfId="12199" xr:uid="{00000000-0005-0000-0000-00008D150000}"/>
    <cellStyle name="Normal 18" xfId="56" xr:uid="{00000000-0005-0000-0000-00008E150000}"/>
    <cellStyle name="Normal 18 10" xfId="7434" xr:uid="{00000000-0005-0000-0000-00008F150000}"/>
    <cellStyle name="Normal 18 2" xfId="111" xr:uid="{00000000-0005-0000-0000-000090150000}"/>
    <cellStyle name="Normal 18 2 2" xfId="318" xr:uid="{00000000-0005-0000-0000-000091150000}"/>
    <cellStyle name="Normal 18 2 2 2" xfId="544" xr:uid="{00000000-0005-0000-0000-000092150000}"/>
    <cellStyle name="Normal 18 2 2 2 2" xfId="990" xr:uid="{00000000-0005-0000-0000-000093150000}"/>
    <cellStyle name="Normal 18 2 2 2 2 2" xfId="1857" xr:uid="{00000000-0005-0000-0000-000094150000}"/>
    <cellStyle name="Normal 18 2 2 2 2 2 2" xfId="3596" xr:uid="{00000000-0005-0000-0000-000095150000}"/>
    <cellStyle name="Normal 18 2 2 2 2 2 2 2" xfId="5072" xr:uid="{00000000-0005-0000-0000-000096150000}"/>
    <cellStyle name="Normal 18 2 2 2 2 2 2 2 2" xfId="12301" xr:uid="{00000000-0005-0000-0000-000097150000}"/>
    <cellStyle name="Normal 18 2 2 2 2 2 2 3" xfId="10825" xr:uid="{00000000-0005-0000-0000-000098150000}"/>
    <cellStyle name="Normal 18 2 2 2 2 2 3" xfId="5071" xr:uid="{00000000-0005-0000-0000-000099150000}"/>
    <cellStyle name="Normal 18 2 2 2 2 2 3 2" xfId="12300" xr:uid="{00000000-0005-0000-0000-00009A150000}"/>
    <cellStyle name="Normal 18 2 2 2 2 2 4" xfId="9087" xr:uid="{00000000-0005-0000-0000-00009B150000}"/>
    <cellStyle name="Normal 18 2 2 2 2 3" xfId="2729" xr:uid="{00000000-0005-0000-0000-00009C150000}"/>
    <cellStyle name="Normal 18 2 2 2 2 3 2" xfId="5073" xr:uid="{00000000-0005-0000-0000-00009D150000}"/>
    <cellStyle name="Normal 18 2 2 2 2 3 2 2" xfId="12302" xr:uid="{00000000-0005-0000-0000-00009E150000}"/>
    <cellStyle name="Normal 18 2 2 2 2 3 3" xfId="9958" xr:uid="{00000000-0005-0000-0000-00009F150000}"/>
    <cellStyle name="Normal 18 2 2 2 2 4" xfId="5070" xr:uid="{00000000-0005-0000-0000-0000A0150000}"/>
    <cellStyle name="Normal 18 2 2 2 2 4 2" xfId="12299" xr:uid="{00000000-0005-0000-0000-0000A1150000}"/>
    <cellStyle name="Normal 18 2 2 2 2 5" xfId="8220" xr:uid="{00000000-0005-0000-0000-0000A2150000}"/>
    <cellStyle name="Normal 18 2 2 2 3" xfId="1426" xr:uid="{00000000-0005-0000-0000-0000A3150000}"/>
    <cellStyle name="Normal 18 2 2 2 3 2" xfId="3165" xr:uid="{00000000-0005-0000-0000-0000A4150000}"/>
    <cellStyle name="Normal 18 2 2 2 3 2 2" xfId="5075" xr:uid="{00000000-0005-0000-0000-0000A5150000}"/>
    <cellStyle name="Normal 18 2 2 2 3 2 2 2" xfId="12304" xr:uid="{00000000-0005-0000-0000-0000A6150000}"/>
    <cellStyle name="Normal 18 2 2 2 3 2 3" xfId="10394" xr:uid="{00000000-0005-0000-0000-0000A7150000}"/>
    <cellStyle name="Normal 18 2 2 2 3 3" xfId="5074" xr:uid="{00000000-0005-0000-0000-0000A8150000}"/>
    <cellStyle name="Normal 18 2 2 2 3 3 2" xfId="12303" xr:uid="{00000000-0005-0000-0000-0000A9150000}"/>
    <cellStyle name="Normal 18 2 2 2 3 4" xfId="8656" xr:uid="{00000000-0005-0000-0000-0000AA150000}"/>
    <cellStyle name="Normal 18 2 2 2 4" xfId="2298" xr:uid="{00000000-0005-0000-0000-0000AB150000}"/>
    <cellStyle name="Normal 18 2 2 2 4 2" xfId="5076" xr:uid="{00000000-0005-0000-0000-0000AC150000}"/>
    <cellStyle name="Normal 18 2 2 2 4 2 2" xfId="12305" xr:uid="{00000000-0005-0000-0000-0000AD150000}"/>
    <cellStyle name="Normal 18 2 2 2 4 3" xfId="9527" xr:uid="{00000000-0005-0000-0000-0000AE150000}"/>
    <cellStyle name="Normal 18 2 2 2 5" xfId="5069" xr:uid="{00000000-0005-0000-0000-0000AF150000}"/>
    <cellStyle name="Normal 18 2 2 2 5 2" xfId="12298" xr:uid="{00000000-0005-0000-0000-0000B0150000}"/>
    <cellStyle name="Normal 18 2 2 2 6" xfId="7789" xr:uid="{00000000-0005-0000-0000-0000B1150000}"/>
    <cellStyle name="Normal 18 2 2 3" xfId="766" xr:uid="{00000000-0005-0000-0000-0000B2150000}"/>
    <cellStyle name="Normal 18 2 2 3 2" xfId="1639" xr:uid="{00000000-0005-0000-0000-0000B3150000}"/>
    <cellStyle name="Normal 18 2 2 3 2 2" xfId="3378" xr:uid="{00000000-0005-0000-0000-0000B4150000}"/>
    <cellStyle name="Normal 18 2 2 3 2 2 2" xfId="5079" xr:uid="{00000000-0005-0000-0000-0000B5150000}"/>
    <cellStyle name="Normal 18 2 2 3 2 2 2 2" xfId="12308" xr:uid="{00000000-0005-0000-0000-0000B6150000}"/>
    <cellStyle name="Normal 18 2 2 3 2 2 3" xfId="10607" xr:uid="{00000000-0005-0000-0000-0000B7150000}"/>
    <cellStyle name="Normal 18 2 2 3 2 3" xfId="5078" xr:uid="{00000000-0005-0000-0000-0000B8150000}"/>
    <cellStyle name="Normal 18 2 2 3 2 3 2" xfId="12307" xr:uid="{00000000-0005-0000-0000-0000B9150000}"/>
    <cellStyle name="Normal 18 2 2 3 2 4" xfId="8869" xr:uid="{00000000-0005-0000-0000-0000BA150000}"/>
    <cellStyle name="Normal 18 2 2 3 3" xfId="2511" xr:uid="{00000000-0005-0000-0000-0000BB150000}"/>
    <cellStyle name="Normal 18 2 2 3 3 2" xfId="5080" xr:uid="{00000000-0005-0000-0000-0000BC150000}"/>
    <cellStyle name="Normal 18 2 2 3 3 2 2" xfId="12309" xr:uid="{00000000-0005-0000-0000-0000BD150000}"/>
    <cellStyle name="Normal 18 2 2 3 3 3" xfId="9740" xr:uid="{00000000-0005-0000-0000-0000BE150000}"/>
    <cellStyle name="Normal 18 2 2 3 4" xfId="5077" xr:uid="{00000000-0005-0000-0000-0000BF150000}"/>
    <cellStyle name="Normal 18 2 2 3 4 2" xfId="12306" xr:uid="{00000000-0005-0000-0000-0000C0150000}"/>
    <cellStyle name="Normal 18 2 2 3 5" xfId="8002" xr:uid="{00000000-0005-0000-0000-0000C1150000}"/>
    <cellStyle name="Normal 18 2 2 4" xfId="1208" xr:uid="{00000000-0005-0000-0000-0000C2150000}"/>
    <cellStyle name="Normal 18 2 2 4 2" xfId="2947" xr:uid="{00000000-0005-0000-0000-0000C3150000}"/>
    <cellStyle name="Normal 18 2 2 4 2 2" xfId="5082" xr:uid="{00000000-0005-0000-0000-0000C4150000}"/>
    <cellStyle name="Normal 18 2 2 4 2 2 2" xfId="12311" xr:uid="{00000000-0005-0000-0000-0000C5150000}"/>
    <cellStyle name="Normal 18 2 2 4 2 3" xfId="10176" xr:uid="{00000000-0005-0000-0000-0000C6150000}"/>
    <cellStyle name="Normal 18 2 2 4 3" xfId="5081" xr:uid="{00000000-0005-0000-0000-0000C7150000}"/>
    <cellStyle name="Normal 18 2 2 4 3 2" xfId="12310" xr:uid="{00000000-0005-0000-0000-0000C8150000}"/>
    <cellStyle name="Normal 18 2 2 4 4" xfId="8438" xr:uid="{00000000-0005-0000-0000-0000C9150000}"/>
    <cellStyle name="Normal 18 2 2 5" xfId="2080" xr:uid="{00000000-0005-0000-0000-0000CA150000}"/>
    <cellStyle name="Normal 18 2 2 5 2" xfId="5083" xr:uid="{00000000-0005-0000-0000-0000CB150000}"/>
    <cellStyle name="Normal 18 2 2 5 2 2" xfId="12312" xr:uid="{00000000-0005-0000-0000-0000CC150000}"/>
    <cellStyle name="Normal 18 2 2 5 3" xfId="9309" xr:uid="{00000000-0005-0000-0000-0000CD150000}"/>
    <cellStyle name="Normal 18 2 2 6" xfId="5068" xr:uid="{00000000-0005-0000-0000-0000CE150000}"/>
    <cellStyle name="Normal 18 2 2 6 2" xfId="12297" xr:uid="{00000000-0005-0000-0000-0000CF150000}"/>
    <cellStyle name="Normal 18 2 2 7" xfId="7571" xr:uid="{00000000-0005-0000-0000-0000D0150000}"/>
    <cellStyle name="Normal 18 2 3" xfId="442" xr:uid="{00000000-0005-0000-0000-0000D1150000}"/>
    <cellStyle name="Normal 18 2 3 2" xfId="888" xr:uid="{00000000-0005-0000-0000-0000D2150000}"/>
    <cellStyle name="Normal 18 2 3 2 2" xfId="1755" xr:uid="{00000000-0005-0000-0000-0000D3150000}"/>
    <cellStyle name="Normal 18 2 3 2 2 2" xfId="3494" xr:uid="{00000000-0005-0000-0000-0000D4150000}"/>
    <cellStyle name="Normal 18 2 3 2 2 2 2" xfId="5087" xr:uid="{00000000-0005-0000-0000-0000D5150000}"/>
    <cellStyle name="Normal 18 2 3 2 2 2 2 2" xfId="12316" xr:uid="{00000000-0005-0000-0000-0000D6150000}"/>
    <cellStyle name="Normal 18 2 3 2 2 2 3" xfId="10723" xr:uid="{00000000-0005-0000-0000-0000D7150000}"/>
    <cellStyle name="Normal 18 2 3 2 2 3" xfId="5086" xr:uid="{00000000-0005-0000-0000-0000D8150000}"/>
    <cellStyle name="Normal 18 2 3 2 2 3 2" xfId="12315" xr:uid="{00000000-0005-0000-0000-0000D9150000}"/>
    <cellStyle name="Normal 18 2 3 2 2 4" xfId="8985" xr:uid="{00000000-0005-0000-0000-0000DA150000}"/>
    <cellStyle name="Normal 18 2 3 2 3" xfId="2627" xr:uid="{00000000-0005-0000-0000-0000DB150000}"/>
    <cellStyle name="Normal 18 2 3 2 3 2" xfId="5088" xr:uid="{00000000-0005-0000-0000-0000DC150000}"/>
    <cellStyle name="Normal 18 2 3 2 3 2 2" xfId="12317" xr:uid="{00000000-0005-0000-0000-0000DD150000}"/>
    <cellStyle name="Normal 18 2 3 2 3 3" xfId="9856" xr:uid="{00000000-0005-0000-0000-0000DE150000}"/>
    <cellStyle name="Normal 18 2 3 2 4" xfId="5085" xr:uid="{00000000-0005-0000-0000-0000DF150000}"/>
    <cellStyle name="Normal 18 2 3 2 4 2" xfId="12314" xr:uid="{00000000-0005-0000-0000-0000E0150000}"/>
    <cellStyle name="Normal 18 2 3 2 5" xfId="8118" xr:uid="{00000000-0005-0000-0000-0000E1150000}"/>
    <cellStyle name="Normal 18 2 3 3" xfId="1324" xr:uid="{00000000-0005-0000-0000-0000E2150000}"/>
    <cellStyle name="Normal 18 2 3 3 2" xfId="3063" xr:uid="{00000000-0005-0000-0000-0000E3150000}"/>
    <cellStyle name="Normal 18 2 3 3 2 2" xfId="5090" xr:uid="{00000000-0005-0000-0000-0000E4150000}"/>
    <cellStyle name="Normal 18 2 3 3 2 2 2" xfId="12319" xr:uid="{00000000-0005-0000-0000-0000E5150000}"/>
    <cellStyle name="Normal 18 2 3 3 2 3" xfId="10292" xr:uid="{00000000-0005-0000-0000-0000E6150000}"/>
    <cellStyle name="Normal 18 2 3 3 3" xfId="5089" xr:uid="{00000000-0005-0000-0000-0000E7150000}"/>
    <cellStyle name="Normal 18 2 3 3 3 2" xfId="12318" xr:uid="{00000000-0005-0000-0000-0000E8150000}"/>
    <cellStyle name="Normal 18 2 3 3 4" xfId="8554" xr:uid="{00000000-0005-0000-0000-0000E9150000}"/>
    <cellStyle name="Normal 18 2 3 4" xfId="2196" xr:uid="{00000000-0005-0000-0000-0000EA150000}"/>
    <cellStyle name="Normal 18 2 3 4 2" xfId="5091" xr:uid="{00000000-0005-0000-0000-0000EB150000}"/>
    <cellStyle name="Normal 18 2 3 4 2 2" xfId="12320" xr:uid="{00000000-0005-0000-0000-0000EC150000}"/>
    <cellStyle name="Normal 18 2 3 4 3" xfId="9425" xr:uid="{00000000-0005-0000-0000-0000ED150000}"/>
    <cellStyle name="Normal 18 2 3 5" xfId="5084" xr:uid="{00000000-0005-0000-0000-0000EE150000}"/>
    <cellStyle name="Normal 18 2 3 5 2" xfId="12313" xr:uid="{00000000-0005-0000-0000-0000EF150000}"/>
    <cellStyle name="Normal 18 2 3 6" xfId="7687" xr:uid="{00000000-0005-0000-0000-0000F0150000}"/>
    <cellStyle name="Normal 18 2 4" xfId="661" xr:uid="{00000000-0005-0000-0000-0000F1150000}"/>
    <cellStyle name="Normal 18 2 4 2" xfId="1537" xr:uid="{00000000-0005-0000-0000-0000F2150000}"/>
    <cellStyle name="Normal 18 2 4 2 2" xfId="3276" xr:uid="{00000000-0005-0000-0000-0000F3150000}"/>
    <cellStyle name="Normal 18 2 4 2 2 2" xfId="5094" xr:uid="{00000000-0005-0000-0000-0000F4150000}"/>
    <cellStyle name="Normal 18 2 4 2 2 2 2" xfId="12323" xr:uid="{00000000-0005-0000-0000-0000F5150000}"/>
    <cellStyle name="Normal 18 2 4 2 2 3" xfId="10505" xr:uid="{00000000-0005-0000-0000-0000F6150000}"/>
    <cellStyle name="Normal 18 2 4 2 3" xfId="5093" xr:uid="{00000000-0005-0000-0000-0000F7150000}"/>
    <cellStyle name="Normal 18 2 4 2 3 2" xfId="12322" xr:uid="{00000000-0005-0000-0000-0000F8150000}"/>
    <cellStyle name="Normal 18 2 4 2 4" xfId="8767" xr:uid="{00000000-0005-0000-0000-0000F9150000}"/>
    <cellStyle name="Normal 18 2 4 3" xfId="2409" xr:uid="{00000000-0005-0000-0000-0000FA150000}"/>
    <cellStyle name="Normal 18 2 4 3 2" xfId="5095" xr:uid="{00000000-0005-0000-0000-0000FB150000}"/>
    <cellStyle name="Normal 18 2 4 3 2 2" xfId="12324" xr:uid="{00000000-0005-0000-0000-0000FC150000}"/>
    <cellStyle name="Normal 18 2 4 3 3" xfId="9638" xr:uid="{00000000-0005-0000-0000-0000FD150000}"/>
    <cellStyle name="Normal 18 2 4 4" xfId="5092" xr:uid="{00000000-0005-0000-0000-0000FE150000}"/>
    <cellStyle name="Normal 18 2 4 4 2" xfId="12321" xr:uid="{00000000-0005-0000-0000-0000FF150000}"/>
    <cellStyle name="Normal 18 2 4 5" xfId="7900" xr:uid="{00000000-0005-0000-0000-000000160000}"/>
    <cellStyle name="Normal 18 2 5" xfId="1106" xr:uid="{00000000-0005-0000-0000-000001160000}"/>
    <cellStyle name="Normal 18 2 5 2" xfId="2845" xr:uid="{00000000-0005-0000-0000-000002160000}"/>
    <cellStyle name="Normal 18 2 5 2 2" xfId="5097" xr:uid="{00000000-0005-0000-0000-000003160000}"/>
    <cellStyle name="Normal 18 2 5 2 2 2" xfId="12326" xr:uid="{00000000-0005-0000-0000-000004160000}"/>
    <cellStyle name="Normal 18 2 5 2 3" xfId="10074" xr:uid="{00000000-0005-0000-0000-000005160000}"/>
    <cellStyle name="Normal 18 2 5 3" xfId="5096" xr:uid="{00000000-0005-0000-0000-000006160000}"/>
    <cellStyle name="Normal 18 2 5 3 2" xfId="12325" xr:uid="{00000000-0005-0000-0000-000007160000}"/>
    <cellStyle name="Normal 18 2 5 4" xfId="8336" xr:uid="{00000000-0005-0000-0000-000008160000}"/>
    <cellStyle name="Normal 18 2 6" xfId="1978" xr:uid="{00000000-0005-0000-0000-000009160000}"/>
    <cellStyle name="Normal 18 2 6 2" xfId="5098" xr:uid="{00000000-0005-0000-0000-00000A160000}"/>
    <cellStyle name="Normal 18 2 6 2 2" xfId="12327" xr:uid="{00000000-0005-0000-0000-00000B160000}"/>
    <cellStyle name="Normal 18 2 6 3" xfId="9207" xr:uid="{00000000-0005-0000-0000-00000C160000}"/>
    <cellStyle name="Normal 18 2 7" xfId="5067" xr:uid="{00000000-0005-0000-0000-00000D160000}"/>
    <cellStyle name="Normal 18 2 7 2" xfId="12296" xr:uid="{00000000-0005-0000-0000-00000E160000}"/>
    <cellStyle name="Normal 18 2 8" xfId="7467" xr:uid="{00000000-0005-0000-0000-00000F160000}"/>
    <cellStyle name="Normal 18 3" xfId="211" xr:uid="{00000000-0005-0000-0000-000010160000}"/>
    <cellStyle name="Normal 18 3 2" xfId="338" xr:uid="{00000000-0005-0000-0000-000011160000}"/>
    <cellStyle name="Normal 18 3 2 2" xfId="564" xr:uid="{00000000-0005-0000-0000-000012160000}"/>
    <cellStyle name="Normal 18 3 2 2 2" xfId="1010" xr:uid="{00000000-0005-0000-0000-000013160000}"/>
    <cellStyle name="Normal 18 3 2 2 2 2" xfId="1877" xr:uid="{00000000-0005-0000-0000-000014160000}"/>
    <cellStyle name="Normal 18 3 2 2 2 2 2" xfId="3616" xr:uid="{00000000-0005-0000-0000-000015160000}"/>
    <cellStyle name="Normal 18 3 2 2 2 2 2 2" xfId="5104" xr:uid="{00000000-0005-0000-0000-000016160000}"/>
    <cellStyle name="Normal 18 3 2 2 2 2 2 2 2" xfId="12333" xr:uid="{00000000-0005-0000-0000-000017160000}"/>
    <cellStyle name="Normal 18 3 2 2 2 2 2 3" xfId="10845" xr:uid="{00000000-0005-0000-0000-000018160000}"/>
    <cellStyle name="Normal 18 3 2 2 2 2 3" xfId="5103" xr:uid="{00000000-0005-0000-0000-000019160000}"/>
    <cellStyle name="Normal 18 3 2 2 2 2 3 2" xfId="12332" xr:uid="{00000000-0005-0000-0000-00001A160000}"/>
    <cellStyle name="Normal 18 3 2 2 2 2 4" xfId="9107" xr:uid="{00000000-0005-0000-0000-00001B160000}"/>
    <cellStyle name="Normal 18 3 2 2 2 3" xfId="2749" xr:uid="{00000000-0005-0000-0000-00001C160000}"/>
    <cellStyle name="Normal 18 3 2 2 2 3 2" xfId="5105" xr:uid="{00000000-0005-0000-0000-00001D160000}"/>
    <cellStyle name="Normal 18 3 2 2 2 3 2 2" xfId="12334" xr:uid="{00000000-0005-0000-0000-00001E160000}"/>
    <cellStyle name="Normal 18 3 2 2 2 3 3" xfId="9978" xr:uid="{00000000-0005-0000-0000-00001F160000}"/>
    <cellStyle name="Normal 18 3 2 2 2 4" xfId="5102" xr:uid="{00000000-0005-0000-0000-000020160000}"/>
    <cellStyle name="Normal 18 3 2 2 2 4 2" xfId="12331" xr:uid="{00000000-0005-0000-0000-000021160000}"/>
    <cellStyle name="Normal 18 3 2 2 2 5" xfId="8240" xr:uid="{00000000-0005-0000-0000-000022160000}"/>
    <cellStyle name="Normal 18 3 2 2 3" xfId="1446" xr:uid="{00000000-0005-0000-0000-000023160000}"/>
    <cellStyle name="Normal 18 3 2 2 3 2" xfId="3185" xr:uid="{00000000-0005-0000-0000-000024160000}"/>
    <cellStyle name="Normal 18 3 2 2 3 2 2" xfId="5107" xr:uid="{00000000-0005-0000-0000-000025160000}"/>
    <cellStyle name="Normal 18 3 2 2 3 2 2 2" xfId="12336" xr:uid="{00000000-0005-0000-0000-000026160000}"/>
    <cellStyle name="Normal 18 3 2 2 3 2 3" xfId="10414" xr:uid="{00000000-0005-0000-0000-000027160000}"/>
    <cellStyle name="Normal 18 3 2 2 3 3" xfId="5106" xr:uid="{00000000-0005-0000-0000-000028160000}"/>
    <cellStyle name="Normal 18 3 2 2 3 3 2" xfId="12335" xr:uid="{00000000-0005-0000-0000-000029160000}"/>
    <cellStyle name="Normal 18 3 2 2 3 4" xfId="8676" xr:uid="{00000000-0005-0000-0000-00002A160000}"/>
    <cellStyle name="Normal 18 3 2 2 4" xfId="2318" xr:uid="{00000000-0005-0000-0000-00002B160000}"/>
    <cellStyle name="Normal 18 3 2 2 4 2" xfId="5108" xr:uid="{00000000-0005-0000-0000-00002C160000}"/>
    <cellStyle name="Normal 18 3 2 2 4 2 2" xfId="12337" xr:uid="{00000000-0005-0000-0000-00002D160000}"/>
    <cellStyle name="Normal 18 3 2 2 4 3" xfId="9547" xr:uid="{00000000-0005-0000-0000-00002E160000}"/>
    <cellStyle name="Normal 18 3 2 2 5" xfId="5101" xr:uid="{00000000-0005-0000-0000-00002F160000}"/>
    <cellStyle name="Normal 18 3 2 2 5 2" xfId="12330" xr:uid="{00000000-0005-0000-0000-000030160000}"/>
    <cellStyle name="Normal 18 3 2 2 6" xfId="7809" xr:uid="{00000000-0005-0000-0000-000031160000}"/>
    <cellStyle name="Normal 18 3 2 3" xfId="786" xr:uid="{00000000-0005-0000-0000-000032160000}"/>
    <cellStyle name="Normal 18 3 2 3 2" xfId="1659" xr:uid="{00000000-0005-0000-0000-000033160000}"/>
    <cellStyle name="Normal 18 3 2 3 2 2" xfId="3398" xr:uid="{00000000-0005-0000-0000-000034160000}"/>
    <cellStyle name="Normal 18 3 2 3 2 2 2" xfId="5111" xr:uid="{00000000-0005-0000-0000-000035160000}"/>
    <cellStyle name="Normal 18 3 2 3 2 2 2 2" xfId="12340" xr:uid="{00000000-0005-0000-0000-000036160000}"/>
    <cellStyle name="Normal 18 3 2 3 2 2 3" xfId="10627" xr:uid="{00000000-0005-0000-0000-000037160000}"/>
    <cellStyle name="Normal 18 3 2 3 2 3" xfId="5110" xr:uid="{00000000-0005-0000-0000-000038160000}"/>
    <cellStyle name="Normal 18 3 2 3 2 3 2" xfId="12339" xr:uid="{00000000-0005-0000-0000-000039160000}"/>
    <cellStyle name="Normal 18 3 2 3 2 4" xfId="8889" xr:uid="{00000000-0005-0000-0000-00003A160000}"/>
    <cellStyle name="Normal 18 3 2 3 3" xfId="2531" xr:uid="{00000000-0005-0000-0000-00003B160000}"/>
    <cellStyle name="Normal 18 3 2 3 3 2" xfId="5112" xr:uid="{00000000-0005-0000-0000-00003C160000}"/>
    <cellStyle name="Normal 18 3 2 3 3 2 2" xfId="12341" xr:uid="{00000000-0005-0000-0000-00003D160000}"/>
    <cellStyle name="Normal 18 3 2 3 3 3" xfId="9760" xr:uid="{00000000-0005-0000-0000-00003E160000}"/>
    <cellStyle name="Normal 18 3 2 3 4" xfId="5109" xr:uid="{00000000-0005-0000-0000-00003F160000}"/>
    <cellStyle name="Normal 18 3 2 3 4 2" xfId="12338" xr:uid="{00000000-0005-0000-0000-000040160000}"/>
    <cellStyle name="Normal 18 3 2 3 5" xfId="8022" xr:uid="{00000000-0005-0000-0000-000041160000}"/>
    <cellStyle name="Normal 18 3 2 4" xfId="1228" xr:uid="{00000000-0005-0000-0000-000042160000}"/>
    <cellStyle name="Normal 18 3 2 4 2" xfId="2967" xr:uid="{00000000-0005-0000-0000-000043160000}"/>
    <cellStyle name="Normal 18 3 2 4 2 2" xfId="5114" xr:uid="{00000000-0005-0000-0000-000044160000}"/>
    <cellStyle name="Normal 18 3 2 4 2 2 2" xfId="12343" xr:uid="{00000000-0005-0000-0000-000045160000}"/>
    <cellStyle name="Normal 18 3 2 4 2 3" xfId="10196" xr:uid="{00000000-0005-0000-0000-000046160000}"/>
    <cellStyle name="Normal 18 3 2 4 3" xfId="5113" xr:uid="{00000000-0005-0000-0000-000047160000}"/>
    <cellStyle name="Normal 18 3 2 4 3 2" xfId="12342" xr:uid="{00000000-0005-0000-0000-000048160000}"/>
    <cellStyle name="Normal 18 3 2 4 4" xfId="8458" xr:uid="{00000000-0005-0000-0000-000049160000}"/>
    <cellStyle name="Normal 18 3 2 5" xfId="2100" xr:uid="{00000000-0005-0000-0000-00004A160000}"/>
    <cellStyle name="Normal 18 3 2 5 2" xfId="5115" xr:uid="{00000000-0005-0000-0000-00004B160000}"/>
    <cellStyle name="Normal 18 3 2 5 2 2" xfId="12344" xr:uid="{00000000-0005-0000-0000-00004C160000}"/>
    <cellStyle name="Normal 18 3 2 5 3" xfId="9329" xr:uid="{00000000-0005-0000-0000-00004D160000}"/>
    <cellStyle name="Normal 18 3 2 6" xfId="5100" xr:uid="{00000000-0005-0000-0000-00004E160000}"/>
    <cellStyle name="Normal 18 3 2 6 2" xfId="12329" xr:uid="{00000000-0005-0000-0000-00004F160000}"/>
    <cellStyle name="Normal 18 3 2 7" xfId="7591" xr:uid="{00000000-0005-0000-0000-000050160000}"/>
    <cellStyle name="Normal 18 3 3" xfId="462" xr:uid="{00000000-0005-0000-0000-000051160000}"/>
    <cellStyle name="Normal 18 3 3 2" xfId="908" xr:uid="{00000000-0005-0000-0000-000052160000}"/>
    <cellStyle name="Normal 18 3 3 2 2" xfId="1775" xr:uid="{00000000-0005-0000-0000-000053160000}"/>
    <cellStyle name="Normal 18 3 3 2 2 2" xfId="3514" xr:uid="{00000000-0005-0000-0000-000054160000}"/>
    <cellStyle name="Normal 18 3 3 2 2 2 2" xfId="5119" xr:uid="{00000000-0005-0000-0000-000055160000}"/>
    <cellStyle name="Normal 18 3 3 2 2 2 2 2" xfId="12348" xr:uid="{00000000-0005-0000-0000-000056160000}"/>
    <cellStyle name="Normal 18 3 3 2 2 2 3" xfId="10743" xr:uid="{00000000-0005-0000-0000-000057160000}"/>
    <cellStyle name="Normal 18 3 3 2 2 3" xfId="5118" xr:uid="{00000000-0005-0000-0000-000058160000}"/>
    <cellStyle name="Normal 18 3 3 2 2 3 2" xfId="12347" xr:uid="{00000000-0005-0000-0000-000059160000}"/>
    <cellStyle name="Normal 18 3 3 2 2 4" xfId="9005" xr:uid="{00000000-0005-0000-0000-00005A160000}"/>
    <cellStyle name="Normal 18 3 3 2 3" xfId="2647" xr:uid="{00000000-0005-0000-0000-00005B160000}"/>
    <cellStyle name="Normal 18 3 3 2 3 2" xfId="5120" xr:uid="{00000000-0005-0000-0000-00005C160000}"/>
    <cellStyle name="Normal 18 3 3 2 3 2 2" xfId="12349" xr:uid="{00000000-0005-0000-0000-00005D160000}"/>
    <cellStyle name="Normal 18 3 3 2 3 3" xfId="9876" xr:uid="{00000000-0005-0000-0000-00005E160000}"/>
    <cellStyle name="Normal 18 3 3 2 4" xfId="5117" xr:uid="{00000000-0005-0000-0000-00005F160000}"/>
    <cellStyle name="Normal 18 3 3 2 4 2" xfId="12346" xr:uid="{00000000-0005-0000-0000-000060160000}"/>
    <cellStyle name="Normal 18 3 3 2 5" xfId="8138" xr:uid="{00000000-0005-0000-0000-000061160000}"/>
    <cellStyle name="Normal 18 3 3 3" xfId="1344" xr:uid="{00000000-0005-0000-0000-000062160000}"/>
    <cellStyle name="Normal 18 3 3 3 2" xfId="3083" xr:uid="{00000000-0005-0000-0000-000063160000}"/>
    <cellStyle name="Normal 18 3 3 3 2 2" xfId="5122" xr:uid="{00000000-0005-0000-0000-000064160000}"/>
    <cellStyle name="Normal 18 3 3 3 2 2 2" xfId="12351" xr:uid="{00000000-0005-0000-0000-000065160000}"/>
    <cellStyle name="Normal 18 3 3 3 2 3" xfId="10312" xr:uid="{00000000-0005-0000-0000-000066160000}"/>
    <cellStyle name="Normal 18 3 3 3 3" xfId="5121" xr:uid="{00000000-0005-0000-0000-000067160000}"/>
    <cellStyle name="Normal 18 3 3 3 3 2" xfId="12350" xr:uid="{00000000-0005-0000-0000-000068160000}"/>
    <cellStyle name="Normal 18 3 3 3 4" xfId="8574" xr:uid="{00000000-0005-0000-0000-000069160000}"/>
    <cellStyle name="Normal 18 3 3 4" xfId="2216" xr:uid="{00000000-0005-0000-0000-00006A160000}"/>
    <cellStyle name="Normal 18 3 3 4 2" xfId="5123" xr:uid="{00000000-0005-0000-0000-00006B160000}"/>
    <cellStyle name="Normal 18 3 3 4 2 2" xfId="12352" xr:uid="{00000000-0005-0000-0000-00006C160000}"/>
    <cellStyle name="Normal 18 3 3 4 3" xfId="9445" xr:uid="{00000000-0005-0000-0000-00006D160000}"/>
    <cellStyle name="Normal 18 3 3 5" xfId="5116" xr:uid="{00000000-0005-0000-0000-00006E160000}"/>
    <cellStyle name="Normal 18 3 3 5 2" xfId="12345" xr:uid="{00000000-0005-0000-0000-00006F160000}"/>
    <cellStyle name="Normal 18 3 3 6" xfId="7707" xr:uid="{00000000-0005-0000-0000-000070160000}"/>
    <cellStyle name="Normal 18 3 4" xfId="684" xr:uid="{00000000-0005-0000-0000-000071160000}"/>
    <cellStyle name="Normal 18 3 4 2" xfId="1557" xr:uid="{00000000-0005-0000-0000-000072160000}"/>
    <cellStyle name="Normal 18 3 4 2 2" xfId="3296" xr:uid="{00000000-0005-0000-0000-000073160000}"/>
    <cellStyle name="Normal 18 3 4 2 2 2" xfId="5126" xr:uid="{00000000-0005-0000-0000-000074160000}"/>
    <cellStyle name="Normal 18 3 4 2 2 2 2" xfId="12355" xr:uid="{00000000-0005-0000-0000-000075160000}"/>
    <cellStyle name="Normal 18 3 4 2 2 3" xfId="10525" xr:uid="{00000000-0005-0000-0000-000076160000}"/>
    <cellStyle name="Normal 18 3 4 2 3" xfId="5125" xr:uid="{00000000-0005-0000-0000-000077160000}"/>
    <cellStyle name="Normal 18 3 4 2 3 2" xfId="12354" xr:uid="{00000000-0005-0000-0000-000078160000}"/>
    <cellStyle name="Normal 18 3 4 2 4" xfId="8787" xr:uid="{00000000-0005-0000-0000-000079160000}"/>
    <cellStyle name="Normal 18 3 4 3" xfId="2429" xr:uid="{00000000-0005-0000-0000-00007A160000}"/>
    <cellStyle name="Normal 18 3 4 3 2" xfId="5127" xr:uid="{00000000-0005-0000-0000-00007B160000}"/>
    <cellStyle name="Normal 18 3 4 3 2 2" xfId="12356" xr:uid="{00000000-0005-0000-0000-00007C160000}"/>
    <cellStyle name="Normal 18 3 4 3 3" xfId="9658" xr:uid="{00000000-0005-0000-0000-00007D160000}"/>
    <cellStyle name="Normal 18 3 4 4" xfId="5124" xr:uid="{00000000-0005-0000-0000-00007E160000}"/>
    <cellStyle name="Normal 18 3 4 4 2" xfId="12353" xr:uid="{00000000-0005-0000-0000-00007F160000}"/>
    <cellStyle name="Normal 18 3 4 5" xfId="7920" xr:uid="{00000000-0005-0000-0000-000080160000}"/>
    <cellStyle name="Normal 18 3 5" xfId="1126" xr:uid="{00000000-0005-0000-0000-000081160000}"/>
    <cellStyle name="Normal 18 3 5 2" xfId="2865" xr:uid="{00000000-0005-0000-0000-000082160000}"/>
    <cellStyle name="Normal 18 3 5 2 2" xfId="5129" xr:uid="{00000000-0005-0000-0000-000083160000}"/>
    <cellStyle name="Normal 18 3 5 2 2 2" xfId="12358" xr:uid="{00000000-0005-0000-0000-000084160000}"/>
    <cellStyle name="Normal 18 3 5 2 3" xfId="10094" xr:uid="{00000000-0005-0000-0000-000085160000}"/>
    <cellStyle name="Normal 18 3 5 3" xfId="5128" xr:uid="{00000000-0005-0000-0000-000086160000}"/>
    <cellStyle name="Normal 18 3 5 3 2" xfId="12357" xr:uid="{00000000-0005-0000-0000-000087160000}"/>
    <cellStyle name="Normal 18 3 5 4" xfId="8356" xr:uid="{00000000-0005-0000-0000-000088160000}"/>
    <cellStyle name="Normal 18 3 6" xfId="1998" xr:uid="{00000000-0005-0000-0000-000089160000}"/>
    <cellStyle name="Normal 18 3 6 2" xfId="5130" xr:uid="{00000000-0005-0000-0000-00008A160000}"/>
    <cellStyle name="Normal 18 3 6 2 2" xfId="12359" xr:uid="{00000000-0005-0000-0000-00008B160000}"/>
    <cellStyle name="Normal 18 3 6 3" xfId="9227" xr:uid="{00000000-0005-0000-0000-00008C160000}"/>
    <cellStyle name="Normal 18 3 7" xfId="5099" xr:uid="{00000000-0005-0000-0000-00008D160000}"/>
    <cellStyle name="Normal 18 3 7 2" xfId="12328" xr:uid="{00000000-0005-0000-0000-00008E160000}"/>
    <cellStyle name="Normal 18 3 8" xfId="7489" xr:uid="{00000000-0005-0000-0000-00008F160000}"/>
    <cellStyle name="Normal 18 4" xfId="285" xr:uid="{00000000-0005-0000-0000-000090160000}"/>
    <cellStyle name="Normal 18 4 2" xfId="511" xr:uid="{00000000-0005-0000-0000-000091160000}"/>
    <cellStyle name="Normal 18 4 2 2" xfId="957" xr:uid="{00000000-0005-0000-0000-000092160000}"/>
    <cellStyle name="Normal 18 4 2 2 2" xfId="1824" xr:uid="{00000000-0005-0000-0000-000093160000}"/>
    <cellStyle name="Normal 18 4 2 2 2 2" xfId="3563" xr:uid="{00000000-0005-0000-0000-000094160000}"/>
    <cellStyle name="Normal 18 4 2 2 2 2 2" xfId="5135" xr:uid="{00000000-0005-0000-0000-000095160000}"/>
    <cellStyle name="Normal 18 4 2 2 2 2 2 2" xfId="12364" xr:uid="{00000000-0005-0000-0000-000096160000}"/>
    <cellStyle name="Normal 18 4 2 2 2 2 3" xfId="10792" xr:uid="{00000000-0005-0000-0000-000097160000}"/>
    <cellStyle name="Normal 18 4 2 2 2 3" xfId="5134" xr:uid="{00000000-0005-0000-0000-000098160000}"/>
    <cellStyle name="Normal 18 4 2 2 2 3 2" xfId="12363" xr:uid="{00000000-0005-0000-0000-000099160000}"/>
    <cellStyle name="Normal 18 4 2 2 2 4" xfId="9054" xr:uid="{00000000-0005-0000-0000-00009A160000}"/>
    <cellStyle name="Normal 18 4 2 2 3" xfId="2696" xr:uid="{00000000-0005-0000-0000-00009B160000}"/>
    <cellStyle name="Normal 18 4 2 2 3 2" xfId="5136" xr:uid="{00000000-0005-0000-0000-00009C160000}"/>
    <cellStyle name="Normal 18 4 2 2 3 2 2" xfId="12365" xr:uid="{00000000-0005-0000-0000-00009D160000}"/>
    <cellStyle name="Normal 18 4 2 2 3 3" xfId="9925" xr:uid="{00000000-0005-0000-0000-00009E160000}"/>
    <cellStyle name="Normal 18 4 2 2 4" xfId="5133" xr:uid="{00000000-0005-0000-0000-00009F160000}"/>
    <cellStyle name="Normal 18 4 2 2 4 2" xfId="12362" xr:uid="{00000000-0005-0000-0000-0000A0160000}"/>
    <cellStyle name="Normal 18 4 2 2 5" xfId="8187" xr:uid="{00000000-0005-0000-0000-0000A1160000}"/>
    <cellStyle name="Normal 18 4 2 3" xfId="1393" xr:uid="{00000000-0005-0000-0000-0000A2160000}"/>
    <cellStyle name="Normal 18 4 2 3 2" xfId="3132" xr:uid="{00000000-0005-0000-0000-0000A3160000}"/>
    <cellStyle name="Normal 18 4 2 3 2 2" xfId="5138" xr:uid="{00000000-0005-0000-0000-0000A4160000}"/>
    <cellStyle name="Normal 18 4 2 3 2 2 2" xfId="12367" xr:uid="{00000000-0005-0000-0000-0000A5160000}"/>
    <cellStyle name="Normal 18 4 2 3 2 3" xfId="10361" xr:uid="{00000000-0005-0000-0000-0000A6160000}"/>
    <cellStyle name="Normal 18 4 2 3 3" xfId="5137" xr:uid="{00000000-0005-0000-0000-0000A7160000}"/>
    <cellStyle name="Normal 18 4 2 3 3 2" xfId="12366" xr:uid="{00000000-0005-0000-0000-0000A8160000}"/>
    <cellStyle name="Normal 18 4 2 3 4" xfId="8623" xr:uid="{00000000-0005-0000-0000-0000A9160000}"/>
    <cellStyle name="Normal 18 4 2 4" xfId="2265" xr:uid="{00000000-0005-0000-0000-0000AA160000}"/>
    <cellStyle name="Normal 18 4 2 4 2" xfId="5139" xr:uid="{00000000-0005-0000-0000-0000AB160000}"/>
    <cellStyle name="Normal 18 4 2 4 2 2" xfId="12368" xr:uid="{00000000-0005-0000-0000-0000AC160000}"/>
    <cellStyle name="Normal 18 4 2 4 3" xfId="9494" xr:uid="{00000000-0005-0000-0000-0000AD160000}"/>
    <cellStyle name="Normal 18 4 2 5" xfId="5132" xr:uid="{00000000-0005-0000-0000-0000AE160000}"/>
    <cellStyle name="Normal 18 4 2 5 2" xfId="12361" xr:uid="{00000000-0005-0000-0000-0000AF160000}"/>
    <cellStyle name="Normal 18 4 2 6" xfId="7756" xr:uid="{00000000-0005-0000-0000-0000B0160000}"/>
    <cellStyle name="Normal 18 4 3" xfId="733" xr:uid="{00000000-0005-0000-0000-0000B1160000}"/>
    <cellStyle name="Normal 18 4 3 2" xfId="1606" xr:uid="{00000000-0005-0000-0000-0000B2160000}"/>
    <cellStyle name="Normal 18 4 3 2 2" xfId="3345" xr:uid="{00000000-0005-0000-0000-0000B3160000}"/>
    <cellStyle name="Normal 18 4 3 2 2 2" xfId="5142" xr:uid="{00000000-0005-0000-0000-0000B4160000}"/>
    <cellStyle name="Normal 18 4 3 2 2 2 2" xfId="12371" xr:uid="{00000000-0005-0000-0000-0000B5160000}"/>
    <cellStyle name="Normal 18 4 3 2 2 3" xfId="10574" xr:uid="{00000000-0005-0000-0000-0000B6160000}"/>
    <cellStyle name="Normal 18 4 3 2 3" xfId="5141" xr:uid="{00000000-0005-0000-0000-0000B7160000}"/>
    <cellStyle name="Normal 18 4 3 2 3 2" xfId="12370" xr:uid="{00000000-0005-0000-0000-0000B8160000}"/>
    <cellStyle name="Normal 18 4 3 2 4" xfId="8836" xr:uid="{00000000-0005-0000-0000-0000B9160000}"/>
    <cellStyle name="Normal 18 4 3 3" xfId="2478" xr:uid="{00000000-0005-0000-0000-0000BA160000}"/>
    <cellStyle name="Normal 18 4 3 3 2" xfId="5143" xr:uid="{00000000-0005-0000-0000-0000BB160000}"/>
    <cellStyle name="Normal 18 4 3 3 2 2" xfId="12372" xr:uid="{00000000-0005-0000-0000-0000BC160000}"/>
    <cellStyle name="Normal 18 4 3 3 3" xfId="9707" xr:uid="{00000000-0005-0000-0000-0000BD160000}"/>
    <cellStyle name="Normal 18 4 3 4" xfId="5140" xr:uid="{00000000-0005-0000-0000-0000BE160000}"/>
    <cellStyle name="Normal 18 4 3 4 2" xfId="12369" xr:uid="{00000000-0005-0000-0000-0000BF160000}"/>
    <cellStyle name="Normal 18 4 3 5" xfId="7969" xr:uid="{00000000-0005-0000-0000-0000C0160000}"/>
    <cellStyle name="Normal 18 4 4" xfId="1175" xr:uid="{00000000-0005-0000-0000-0000C1160000}"/>
    <cellStyle name="Normal 18 4 4 2" xfId="2914" xr:uid="{00000000-0005-0000-0000-0000C2160000}"/>
    <cellStyle name="Normal 18 4 4 2 2" xfId="5145" xr:uid="{00000000-0005-0000-0000-0000C3160000}"/>
    <cellStyle name="Normal 18 4 4 2 2 2" xfId="12374" xr:uid="{00000000-0005-0000-0000-0000C4160000}"/>
    <cellStyle name="Normal 18 4 4 2 3" xfId="10143" xr:uid="{00000000-0005-0000-0000-0000C5160000}"/>
    <cellStyle name="Normal 18 4 4 3" xfId="5144" xr:uid="{00000000-0005-0000-0000-0000C6160000}"/>
    <cellStyle name="Normal 18 4 4 3 2" xfId="12373" xr:uid="{00000000-0005-0000-0000-0000C7160000}"/>
    <cellStyle name="Normal 18 4 4 4" xfId="8405" xr:uid="{00000000-0005-0000-0000-0000C8160000}"/>
    <cellStyle name="Normal 18 4 5" xfId="2047" xr:uid="{00000000-0005-0000-0000-0000C9160000}"/>
    <cellStyle name="Normal 18 4 5 2" xfId="5146" xr:uid="{00000000-0005-0000-0000-0000CA160000}"/>
    <cellStyle name="Normal 18 4 5 2 2" xfId="12375" xr:uid="{00000000-0005-0000-0000-0000CB160000}"/>
    <cellStyle name="Normal 18 4 5 3" xfId="9276" xr:uid="{00000000-0005-0000-0000-0000CC160000}"/>
    <cellStyle name="Normal 18 4 6" xfId="5131" xr:uid="{00000000-0005-0000-0000-0000CD160000}"/>
    <cellStyle name="Normal 18 4 6 2" xfId="12360" xr:uid="{00000000-0005-0000-0000-0000CE160000}"/>
    <cellStyle name="Normal 18 4 7" xfId="7538" xr:uid="{00000000-0005-0000-0000-0000CF160000}"/>
    <cellStyle name="Normal 18 5" xfId="409" xr:uid="{00000000-0005-0000-0000-0000D0160000}"/>
    <cellStyle name="Normal 18 5 2" xfId="855" xr:uid="{00000000-0005-0000-0000-0000D1160000}"/>
    <cellStyle name="Normal 18 5 2 2" xfId="1722" xr:uid="{00000000-0005-0000-0000-0000D2160000}"/>
    <cellStyle name="Normal 18 5 2 2 2" xfId="3461" xr:uid="{00000000-0005-0000-0000-0000D3160000}"/>
    <cellStyle name="Normal 18 5 2 2 2 2" xfId="5150" xr:uid="{00000000-0005-0000-0000-0000D4160000}"/>
    <cellStyle name="Normal 18 5 2 2 2 2 2" xfId="12379" xr:uid="{00000000-0005-0000-0000-0000D5160000}"/>
    <cellStyle name="Normal 18 5 2 2 2 3" xfId="10690" xr:uid="{00000000-0005-0000-0000-0000D6160000}"/>
    <cellStyle name="Normal 18 5 2 2 3" xfId="5149" xr:uid="{00000000-0005-0000-0000-0000D7160000}"/>
    <cellStyle name="Normal 18 5 2 2 3 2" xfId="12378" xr:uid="{00000000-0005-0000-0000-0000D8160000}"/>
    <cellStyle name="Normal 18 5 2 2 4" xfId="8952" xr:uid="{00000000-0005-0000-0000-0000D9160000}"/>
    <cellStyle name="Normal 18 5 2 3" xfId="2594" xr:uid="{00000000-0005-0000-0000-0000DA160000}"/>
    <cellStyle name="Normal 18 5 2 3 2" xfId="5151" xr:uid="{00000000-0005-0000-0000-0000DB160000}"/>
    <cellStyle name="Normal 18 5 2 3 2 2" xfId="12380" xr:uid="{00000000-0005-0000-0000-0000DC160000}"/>
    <cellStyle name="Normal 18 5 2 3 3" xfId="9823" xr:uid="{00000000-0005-0000-0000-0000DD160000}"/>
    <cellStyle name="Normal 18 5 2 4" xfId="5148" xr:uid="{00000000-0005-0000-0000-0000DE160000}"/>
    <cellStyle name="Normal 18 5 2 4 2" xfId="12377" xr:uid="{00000000-0005-0000-0000-0000DF160000}"/>
    <cellStyle name="Normal 18 5 2 5" xfId="8085" xr:uid="{00000000-0005-0000-0000-0000E0160000}"/>
    <cellStyle name="Normal 18 5 3" xfId="1291" xr:uid="{00000000-0005-0000-0000-0000E1160000}"/>
    <cellStyle name="Normal 18 5 3 2" xfId="3030" xr:uid="{00000000-0005-0000-0000-0000E2160000}"/>
    <cellStyle name="Normal 18 5 3 2 2" xfId="5153" xr:uid="{00000000-0005-0000-0000-0000E3160000}"/>
    <cellStyle name="Normal 18 5 3 2 2 2" xfId="12382" xr:uid="{00000000-0005-0000-0000-0000E4160000}"/>
    <cellStyle name="Normal 18 5 3 2 3" xfId="10259" xr:uid="{00000000-0005-0000-0000-0000E5160000}"/>
    <cellStyle name="Normal 18 5 3 3" xfId="5152" xr:uid="{00000000-0005-0000-0000-0000E6160000}"/>
    <cellStyle name="Normal 18 5 3 3 2" xfId="12381" xr:uid="{00000000-0005-0000-0000-0000E7160000}"/>
    <cellStyle name="Normal 18 5 3 4" xfId="8521" xr:uid="{00000000-0005-0000-0000-0000E8160000}"/>
    <cellStyle name="Normal 18 5 4" xfId="2163" xr:uid="{00000000-0005-0000-0000-0000E9160000}"/>
    <cellStyle name="Normal 18 5 4 2" xfId="5154" xr:uid="{00000000-0005-0000-0000-0000EA160000}"/>
    <cellStyle name="Normal 18 5 4 2 2" xfId="12383" xr:uid="{00000000-0005-0000-0000-0000EB160000}"/>
    <cellStyle name="Normal 18 5 4 3" xfId="9392" xr:uid="{00000000-0005-0000-0000-0000EC160000}"/>
    <cellStyle name="Normal 18 5 5" xfId="5147" xr:uid="{00000000-0005-0000-0000-0000ED160000}"/>
    <cellStyle name="Normal 18 5 5 2" xfId="12376" xr:uid="{00000000-0005-0000-0000-0000EE160000}"/>
    <cellStyle name="Normal 18 5 6" xfId="7654" xr:uid="{00000000-0005-0000-0000-0000EF160000}"/>
    <cellStyle name="Normal 18 6" xfId="628" xr:uid="{00000000-0005-0000-0000-0000F0160000}"/>
    <cellStyle name="Normal 18 6 2" xfId="1504" xr:uid="{00000000-0005-0000-0000-0000F1160000}"/>
    <cellStyle name="Normal 18 6 2 2" xfId="3243" xr:uid="{00000000-0005-0000-0000-0000F2160000}"/>
    <cellStyle name="Normal 18 6 2 2 2" xfId="5157" xr:uid="{00000000-0005-0000-0000-0000F3160000}"/>
    <cellStyle name="Normal 18 6 2 2 2 2" xfId="12386" xr:uid="{00000000-0005-0000-0000-0000F4160000}"/>
    <cellStyle name="Normal 18 6 2 2 3" xfId="10472" xr:uid="{00000000-0005-0000-0000-0000F5160000}"/>
    <cellStyle name="Normal 18 6 2 3" xfId="5156" xr:uid="{00000000-0005-0000-0000-0000F6160000}"/>
    <cellStyle name="Normal 18 6 2 3 2" xfId="12385" xr:uid="{00000000-0005-0000-0000-0000F7160000}"/>
    <cellStyle name="Normal 18 6 2 4" xfId="8734" xr:uid="{00000000-0005-0000-0000-0000F8160000}"/>
    <cellStyle name="Normal 18 6 3" xfId="2376" xr:uid="{00000000-0005-0000-0000-0000F9160000}"/>
    <cellStyle name="Normal 18 6 3 2" xfId="5158" xr:uid="{00000000-0005-0000-0000-0000FA160000}"/>
    <cellStyle name="Normal 18 6 3 2 2" xfId="12387" xr:uid="{00000000-0005-0000-0000-0000FB160000}"/>
    <cellStyle name="Normal 18 6 3 3" xfId="9605" xr:uid="{00000000-0005-0000-0000-0000FC160000}"/>
    <cellStyle name="Normal 18 6 4" xfId="5155" xr:uid="{00000000-0005-0000-0000-0000FD160000}"/>
    <cellStyle name="Normal 18 6 4 2" xfId="12384" xr:uid="{00000000-0005-0000-0000-0000FE160000}"/>
    <cellStyle name="Normal 18 6 5" xfId="7867" xr:uid="{00000000-0005-0000-0000-0000FF160000}"/>
    <cellStyle name="Normal 18 7" xfId="1073" xr:uid="{00000000-0005-0000-0000-000000170000}"/>
    <cellStyle name="Normal 18 7 2" xfId="2812" xr:uid="{00000000-0005-0000-0000-000001170000}"/>
    <cellStyle name="Normal 18 7 2 2" xfId="5160" xr:uid="{00000000-0005-0000-0000-000002170000}"/>
    <cellStyle name="Normal 18 7 2 2 2" xfId="12389" xr:uid="{00000000-0005-0000-0000-000003170000}"/>
    <cellStyle name="Normal 18 7 2 3" xfId="10041" xr:uid="{00000000-0005-0000-0000-000004170000}"/>
    <cellStyle name="Normal 18 7 3" xfId="5159" xr:uid="{00000000-0005-0000-0000-000005170000}"/>
    <cellStyle name="Normal 18 7 3 2" xfId="12388" xr:uid="{00000000-0005-0000-0000-000006170000}"/>
    <cellStyle name="Normal 18 7 4" xfId="8303" xr:uid="{00000000-0005-0000-0000-000007170000}"/>
    <cellStyle name="Normal 18 8" xfId="1945" xr:uid="{00000000-0005-0000-0000-000008170000}"/>
    <cellStyle name="Normal 18 8 2" xfId="5161" xr:uid="{00000000-0005-0000-0000-000009170000}"/>
    <cellStyle name="Normal 18 8 2 2" xfId="12390" xr:uid="{00000000-0005-0000-0000-00000A170000}"/>
    <cellStyle name="Normal 18 8 3" xfId="9174" xr:uid="{00000000-0005-0000-0000-00000B170000}"/>
    <cellStyle name="Normal 18 9" xfId="5066" xr:uid="{00000000-0005-0000-0000-00000C170000}"/>
    <cellStyle name="Normal 18 9 2" xfId="12295" xr:uid="{00000000-0005-0000-0000-00000D170000}"/>
    <cellStyle name="Normal 19" xfId="59" xr:uid="{00000000-0005-0000-0000-00000E170000}"/>
    <cellStyle name="Normal 19 10" xfId="7437" xr:uid="{00000000-0005-0000-0000-00000F170000}"/>
    <cellStyle name="Normal 19 2" xfId="114" xr:uid="{00000000-0005-0000-0000-000010170000}"/>
    <cellStyle name="Normal 19 2 2" xfId="321" xr:uid="{00000000-0005-0000-0000-000011170000}"/>
    <cellStyle name="Normal 19 2 2 2" xfId="547" xr:uid="{00000000-0005-0000-0000-000012170000}"/>
    <cellStyle name="Normal 19 2 2 2 2" xfId="993" xr:uid="{00000000-0005-0000-0000-000013170000}"/>
    <cellStyle name="Normal 19 2 2 2 2 2" xfId="1860" xr:uid="{00000000-0005-0000-0000-000014170000}"/>
    <cellStyle name="Normal 19 2 2 2 2 2 2" xfId="3599" xr:uid="{00000000-0005-0000-0000-000015170000}"/>
    <cellStyle name="Normal 19 2 2 2 2 2 2 2" xfId="5168" xr:uid="{00000000-0005-0000-0000-000016170000}"/>
    <cellStyle name="Normal 19 2 2 2 2 2 2 2 2" xfId="12397" xr:uid="{00000000-0005-0000-0000-000017170000}"/>
    <cellStyle name="Normal 19 2 2 2 2 2 2 3" xfId="10828" xr:uid="{00000000-0005-0000-0000-000018170000}"/>
    <cellStyle name="Normal 19 2 2 2 2 2 3" xfId="5167" xr:uid="{00000000-0005-0000-0000-000019170000}"/>
    <cellStyle name="Normal 19 2 2 2 2 2 3 2" xfId="12396" xr:uid="{00000000-0005-0000-0000-00001A170000}"/>
    <cellStyle name="Normal 19 2 2 2 2 2 4" xfId="9090" xr:uid="{00000000-0005-0000-0000-00001B170000}"/>
    <cellStyle name="Normal 19 2 2 2 2 3" xfId="2732" xr:uid="{00000000-0005-0000-0000-00001C170000}"/>
    <cellStyle name="Normal 19 2 2 2 2 3 2" xfId="5169" xr:uid="{00000000-0005-0000-0000-00001D170000}"/>
    <cellStyle name="Normal 19 2 2 2 2 3 2 2" xfId="12398" xr:uid="{00000000-0005-0000-0000-00001E170000}"/>
    <cellStyle name="Normal 19 2 2 2 2 3 3" xfId="9961" xr:uid="{00000000-0005-0000-0000-00001F170000}"/>
    <cellStyle name="Normal 19 2 2 2 2 4" xfId="5166" xr:uid="{00000000-0005-0000-0000-000020170000}"/>
    <cellStyle name="Normal 19 2 2 2 2 4 2" xfId="12395" xr:uid="{00000000-0005-0000-0000-000021170000}"/>
    <cellStyle name="Normal 19 2 2 2 2 5" xfId="8223" xr:uid="{00000000-0005-0000-0000-000022170000}"/>
    <cellStyle name="Normal 19 2 2 2 3" xfId="1429" xr:uid="{00000000-0005-0000-0000-000023170000}"/>
    <cellStyle name="Normal 19 2 2 2 3 2" xfId="3168" xr:uid="{00000000-0005-0000-0000-000024170000}"/>
    <cellStyle name="Normal 19 2 2 2 3 2 2" xfId="5171" xr:uid="{00000000-0005-0000-0000-000025170000}"/>
    <cellStyle name="Normal 19 2 2 2 3 2 2 2" xfId="12400" xr:uid="{00000000-0005-0000-0000-000026170000}"/>
    <cellStyle name="Normal 19 2 2 2 3 2 3" xfId="10397" xr:uid="{00000000-0005-0000-0000-000027170000}"/>
    <cellStyle name="Normal 19 2 2 2 3 3" xfId="5170" xr:uid="{00000000-0005-0000-0000-000028170000}"/>
    <cellStyle name="Normal 19 2 2 2 3 3 2" xfId="12399" xr:uid="{00000000-0005-0000-0000-000029170000}"/>
    <cellStyle name="Normal 19 2 2 2 3 4" xfId="8659" xr:uid="{00000000-0005-0000-0000-00002A170000}"/>
    <cellStyle name="Normal 19 2 2 2 4" xfId="2301" xr:uid="{00000000-0005-0000-0000-00002B170000}"/>
    <cellStyle name="Normal 19 2 2 2 4 2" xfId="5172" xr:uid="{00000000-0005-0000-0000-00002C170000}"/>
    <cellStyle name="Normal 19 2 2 2 4 2 2" xfId="12401" xr:uid="{00000000-0005-0000-0000-00002D170000}"/>
    <cellStyle name="Normal 19 2 2 2 4 3" xfId="9530" xr:uid="{00000000-0005-0000-0000-00002E170000}"/>
    <cellStyle name="Normal 19 2 2 2 5" xfId="5165" xr:uid="{00000000-0005-0000-0000-00002F170000}"/>
    <cellStyle name="Normal 19 2 2 2 5 2" xfId="12394" xr:uid="{00000000-0005-0000-0000-000030170000}"/>
    <cellStyle name="Normal 19 2 2 2 6" xfId="7792" xr:uid="{00000000-0005-0000-0000-000031170000}"/>
    <cellStyle name="Normal 19 2 2 3" xfId="769" xr:uid="{00000000-0005-0000-0000-000032170000}"/>
    <cellStyle name="Normal 19 2 2 3 2" xfId="1642" xr:uid="{00000000-0005-0000-0000-000033170000}"/>
    <cellStyle name="Normal 19 2 2 3 2 2" xfId="3381" xr:uid="{00000000-0005-0000-0000-000034170000}"/>
    <cellStyle name="Normal 19 2 2 3 2 2 2" xfId="5175" xr:uid="{00000000-0005-0000-0000-000035170000}"/>
    <cellStyle name="Normal 19 2 2 3 2 2 2 2" xfId="12404" xr:uid="{00000000-0005-0000-0000-000036170000}"/>
    <cellStyle name="Normal 19 2 2 3 2 2 3" xfId="10610" xr:uid="{00000000-0005-0000-0000-000037170000}"/>
    <cellStyle name="Normal 19 2 2 3 2 3" xfId="5174" xr:uid="{00000000-0005-0000-0000-000038170000}"/>
    <cellStyle name="Normal 19 2 2 3 2 3 2" xfId="12403" xr:uid="{00000000-0005-0000-0000-000039170000}"/>
    <cellStyle name="Normal 19 2 2 3 2 4" xfId="8872" xr:uid="{00000000-0005-0000-0000-00003A170000}"/>
    <cellStyle name="Normal 19 2 2 3 3" xfId="2514" xr:uid="{00000000-0005-0000-0000-00003B170000}"/>
    <cellStyle name="Normal 19 2 2 3 3 2" xfId="5176" xr:uid="{00000000-0005-0000-0000-00003C170000}"/>
    <cellStyle name="Normal 19 2 2 3 3 2 2" xfId="12405" xr:uid="{00000000-0005-0000-0000-00003D170000}"/>
    <cellStyle name="Normal 19 2 2 3 3 3" xfId="9743" xr:uid="{00000000-0005-0000-0000-00003E170000}"/>
    <cellStyle name="Normal 19 2 2 3 4" xfId="5173" xr:uid="{00000000-0005-0000-0000-00003F170000}"/>
    <cellStyle name="Normal 19 2 2 3 4 2" xfId="12402" xr:uid="{00000000-0005-0000-0000-000040170000}"/>
    <cellStyle name="Normal 19 2 2 3 5" xfId="8005" xr:uid="{00000000-0005-0000-0000-000041170000}"/>
    <cellStyle name="Normal 19 2 2 4" xfId="1211" xr:uid="{00000000-0005-0000-0000-000042170000}"/>
    <cellStyle name="Normal 19 2 2 4 2" xfId="2950" xr:uid="{00000000-0005-0000-0000-000043170000}"/>
    <cellStyle name="Normal 19 2 2 4 2 2" xfId="5178" xr:uid="{00000000-0005-0000-0000-000044170000}"/>
    <cellStyle name="Normal 19 2 2 4 2 2 2" xfId="12407" xr:uid="{00000000-0005-0000-0000-000045170000}"/>
    <cellStyle name="Normal 19 2 2 4 2 3" xfId="10179" xr:uid="{00000000-0005-0000-0000-000046170000}"/>
    <cellStyle name="Normal 19 2 2 4 3" xfId="5177" xr:uid="{00000000-0005-0000-0000-000047170000}"/>
    <cellStyle name="Normal 19 2 2 4 3 2" xfId="12406" xr:uid="{00000000-0005-0000-0000-000048170000}"/>
    <cellStyle name="Normal 19 2 2 4 4" xfId="8441" xr:uid="{00000000-0005-0000-0000-000049170000}"/>
    <cellStyle name="Normal 19 2 2 5" xfId="2083" xr:uid="{00000000-0005-0000-0000-00004A170000}"/>
    <cellStyle name="Normal 19 2 2 5 2" xfId="5179" xr:uid="{00000000-0005-0000-0000-00004B170000}"/>
    <cellStyle name="Normal 19 2 2 5 2 2" xfId="12408" xr:uid="{00000000-0005-0000-0000-00004C170000}"/>
    <cellStyle name="Normal 19 2 2 5 3" xfId="9312" xr:uid="{00000000-0005-0000-0000-00004D170000}"/>
    <cellStyle name="Normal 19 2 2 6" xfId="5164" xr:uid="{00000000-0005-0000-0000-00004E170000}"/>
    <cellStyle name="Normal 19 2 2 6 2" xfId="12393" xr:uid="{00000000-0005-0000-0000-00004F170000}"/>
    <cellStyle name="Normal 19 2 2 7" xfId="7574" xr:uid="{00000000-0005-0000-0000-000050170000}"/>
    <cellStyle name="Normal 19 2 3" xfId="445" xr:uid="{00000000-0005-0000-0000-000051170000}"/>
    <cellStyle name="Normal 19 2 3 2" xfId="891" xr:uid="{00000000-0005-0000-0000-000052170000}"/>
    <cellStyle name="Normal 19 2 3 2 2" xfId="1758" xr:uid="{00000000-0005-0000-0000-000053170000}"/>
    <cellStyle name="Normal 19 2 3 2 2 2" xfId="3497" xr:uid="{00000000-0005-0000-0000-000054170000}"/>
    <cellStyle name="Normal 19 2 3 2 2 2 2" xfId="5183" xr:uid="{00000000-0005-0000-0000-000055170000}"/>
    <cellStyle name="Normal 19 2 3 2 2 2 2 2" xfId="12412" xr:uid="{00000000-0005-0000-0000-000056170000}"/>
    <cellStyle name="Normal 19 2 3 2 2 2 3" xfId="10726" xr:uid="{00000000-0005-0000-0000-000057170000}"/>
    <cellStyle name="Normal 19 2 3 2 2 3" xfId="5182" xr:uid="{00000000-0005-0000-0000-000058170000}"/>
    <cellStyle name="Normal 19 2 3 2 2 3 2" xfId="12411" xr:uid="{00000000-0005-0000-0000-000059170000}"/>
    <cellStyle name="Normal 19 2 3 2 2 4" xfId="8988" xr:uid="{00000000-0005-0000-0000-00005A170000}"/>
    <cellStyle name="Normal 19 2 3 2 3" xfId="2630" xr:uid="{00000000-0005-0000-0000-00005B170000}"/>
    <cellStyle name="Normal 19 2 3 2 3 2" xfId="5184" xr:uid="{00000000-0005-0000-0000-00005C170000}"/>
    <cellStyle name="Normal 19 2 3 2 3 2 2" xfId="12413" xr:uid="{00000000-0005-0000-0000-00005D170000}"/>
    <cellStyle name="Normal 19 2 3 2 3 3" xfId="9859" xr:uid="{00000000-0005-0000-0000-00005E170000}"/>
    <cellStyle name="Normal 19 2 3 2 4" xfId="5181" xr:uid="{00000000-0005-0000-0000-00005F170000}"/>
    <cellStyle name="Normal 19 2 3 2 4 2" xfId="12410" xr:uid="{00000000-0005-0000-0000-000060170000}"/>
    <cellStyle name="Normal 19 2 3 2 5" xfId="8121" xr:uid="{00000000-0005-0000-0000-000061170000}"/>
    <cellStyle name="Normal 19 2 3 3" xfId="1327" xr:uid="{00000000-0005-0000-0000-000062170000}"/>
    <cellStyle name="Normal 19 2 3 3 2" xfId="3066" xr:uid="{00000000-0005-0000-0000-000063170000}"/>
    <cellStyle name="Normal 19 2 3 3 2 2" xfId="5186" xr:uid="{00000000-0005-0000-0000-000064170000}"/>
    <cellStyle name="Normal 19 2 3 3 2 2 2" xfId="12415" xr:uid="{00000000-0005-0000-0000-000065170000}"/>
    <cellStyle name="Normal 19 2 3 3 2 3" xfId="10295" xr:uid="{00000000-0005-0000-0000-000066170000}"/>
    <cellStyle name="Normal 19 2 3 3 3" xfId="5185" xr:uid="{00000000-0005-0000-0000-000067170000}"/>
    <cellStyle name="Normal 19 2 3 3 3 2" xfId="12414" xr:uid="{00000000-0005-0000-0000-000068170000}"/>
    <cellStyle name="Normal 19 2 3 3 4" xfId="8557" xr:uid="{00000000-0005-0000-0000-000069170000}"/>
    <cellStyle name="Normal 19 2 3 4" xfId="2199" xr:uid="{00000000-0005-0000-0000-00006A170000}"/>
    <cellStyle name="Normal 19 2 3 4 2" xfId="5187" xr:uid="{00000000-0005-0000-0000-00006B170000}"/>
    <cellStyle name="Normal 19 2 3 4 2 2" xfId="12416" xr:uid="{00000000-0005-0000-0000-00006C170000}"/>
    <cellStyle name="Normal 19 2 3 4 3" xfId="9428" xr:uid="{00000000-0005-0000-0000-00006D170000}"/>
    <cellStyle name="Normal 19 2 3 5" xfId="5180" xr:uid="{00000000-0005-0000-0000-00006E170000}"/>
    <cellStyle name="Normal 19 2 3 5 2" xfId="12409" xr:uid="{00000000-0005-0000-0000-00006F170000}"/>
    <cellStyle name="Normal 19 2 3 6" xfId="7690" xr:uid="{00000000-0005-0000-0000-000070170000}"/>
    <cellStyle name="Normal 19 2 4" xfId="664" xr:uid="{00000000-0005-0000-0000-000071170000}"/>
    <cellStyle name="Normal 19 2 4 2" xfId="1540" xr:uid="{00000000-0005-0000-0000-000072170000}"/>
    <cellStyle name="Normal 19 2 4 2 2" xfId="3279" xr:uid="{00000000-0005-0000-0000-000073170000}"/>
    <cellStyle name="Normal 19 2 4 2 2 2" xfId="5190" xr:uid="{00000000-0005-0000-0000-000074170000}"/>
    <cellStyle name="Normal 19 2 4 2 2 2 2" xfId="12419" xr:uid="{00000000-0005-0000-0000-000075170000}"/>
    <cellStyle name="Normal 19 2 4 2 2 3" xfId="10508" xr:uid="{00000000-0005-0000-0000-000076170000}"/>
    <cellStyle name="Normal 19 2 4 2 3" xfId="5189" xr:uid="{00000000-0005-0000-0000-000077170000}"/>
    <cellStyle name="Normal 19 2 4 2 3 2" xfId="12418" xr:uid="{00000000-0005-0000-0000-000078170000}"/>
    <cellStyle name="Normal 19 2 4 2 4" xfId="8770" xr:uid="{00000000-0005-0000-0000-000079170000}"/>
    <cellStyle name="Normal 19 2 4 3" xfId="2412" xr:uid="{00000000-0005-0000-0000-00007A170000}"/>
    <cellStyle name="Normal 19 2 4 3 2" xfId="5191" xr:uid="{00000000-0005-0000-0000-00007B170000}"/>
    <cellStyle name="Normal 19 2 4 3 2 2" xfId="12420" xr:uid="{00000000-0005-0000-0000-00007C170000}"/>
    <cellStyle name="Normal 19 2 4 3 3" xfId="9641" xr:uid="{00000000-0005-0000-0000-00007D170000}"/>
    <cellStyle name="Normal 19 2 4 4" xfId="5188" xr:uid="{00000000-0005-0000-0000-00007E170000}"/>
    <cellStyle name="Normal 19 2 4 4 2" xfId="12417" xr:uid="{00000000-0005-0000-0000-00007F170000}"/>
    <cellStyle name="Normal 19 2 4 5" xfId="7903" xr:uid="{00000000-0005-0000-0000-000080170000}"/>
    <cellStyle name="Normal 19 2 5" xfId="1109" xr:uid="{00000000-0005-0000-0000-000081170000}"/>
    <cellStyle name="Normal 19 2 5 2" xfId="2848" xr:uid="{00000000-0005-0000-0000-000082170000}"/>
    <cellStyle name="Normal 19 2 5 2 2" xfId="5193" xr:uid="{00000000-0005-0000-0000-000083170000}"/>
    <cellStyle name="Normal 19 2 5 2 2 2" xfId="12422" xr:uid="{00000000-0005-0000-0000-000084170000}"/>
    <cellStyle name="Normal 19 2 5 2 3" xfId="10077" xr:uid="{00000000-0005-0000-0000-000085170000}"/>
    <cellStyle name="Normal 19 2 5 3" xfId="5192" xr:uid="{00000000-0005-0000-0000-000086170000}"/>
    <cellStyle name="Normal 19 2 5 3 2" xfId="12421" xr:uid="{00000000-0005-0000-0000-000087170000}"/>
    <cellStyle name="Normal 19 2 5 4" xfId="8339" xr:uid="{00000000-0005-0000-0000-000088170000}"/>
    <cellStyle name="Normal 19 2 6" xfId="1981" xr:uid="{00000000-0005-0000-0000-000089170000}"/>
    <cellStyle name="Normal 19 2 6 2" xfId="5194" xr:uid="{00000000-0005-0000-0000-00008A170000}"/>
    <cellStyle name="Normal 19 2 6 2 2" xfId="12423" xr:uid="{00000000-0005-0000-0000-00008B170000}"/>
    <cellStyle name="Normal 19 2 6 3" xfId="9210" xr:uid="{00000000-0005-0000-0000-00008C170000}"/>
    <cellStyle name="Normal 19 2 7" xfId="5163" xr:uid="{00000000-0005-0000-0000-00008D170000}"/>
    <cellStyle name="Normal 19 2 7 2" xfId="12392" xr:uid="{00000000-0005-0000-0000-00008E170000}"/>
    <cellStyle name="Normal 19 2 8" xfId="7470" xr:uid="{00000000-0005-0000-0000-00008F170000}"/>
    <cellStyle name="Normal 19 3" xfId="212" xr:uid="{00000000-0005-0000-0000-000090170000}"/>
    <cellStyle name="Normal 19 3 2" xfId="339" xr:uid="{00000000-0005-0000-0000-000091170000}"/>
    <cellStyle name="Normal 19 3 2 2" xfId="565" xr:uid="{00000000-0005-0000-0000-000092170000}"/>
    <cellStyle name="Normal 19 3 2 2 2" xfId="1011" xr:uid="{00000000-0005-0000-0000-000093170000}"/>
    <cellStyle name="Normal 19 3 2 2 2 2" xfId="1878" xr:uid="{00000000-0005-0000-0000-000094170000}"/>
    <cellStyle name="Normal 19 3 2 2 2 2 2" xfId="3617" xr:uid="{00000000-0005-0000-0000-000095170000}"/>
    <cellStyle name="Normal 19 3 2 2 2 2 2 2" xfId="5200" xr:uid="{00000000-0005-0000-0000-000096170000}"/>
    <cellStyle name="Normal 19 3 2 2 2 2 2 2 2" xfId="12429" xr:uid="{00000000-0005-0000-0000-000097170000}"/>
    <cellStyle name="Normal 19 3 2 2 2 2 2 3" xfId="10846" xr:uid="{00000000-0005-0000-0000-000098170000}"/>
    <cellStyle name="Normal 19 3 2 2 2 2 3" xfId="5199" xr:uid="{00000000-0005-0000-0000-000099170000}"/>
    <cellStyle name="Normal 19 3 2 2 2 2 3 2" xfId="12428" xr:uid="{00000000-0005-0000-0000-00009A170000}"/>
    <cellStyle name="Normal 19 3 2 2 2 2 4" xfId="9108" xr:uid="{00000000-0005-0000-0000-00009B170000}"/>
    <cellStyle name="Normal 19 3 2 2 2 3" xfId="2750" xr:uid="{00000000-0005-0000-0000-00009C170000}"/>
    <cellStyle name="Normal 19 3 2 2 2 3 2" xfId="5201" xr:uid="{00000000-0005-0000-0000-00009D170000}"/>
    <cellStyle name="Normal 19 3 2 2 2 3 2 2" xfId="12430" xr:uid="{00000000-0005-0000-0000-00009E170000}"/>
    <cellStyle name="Normal 19 3 2 2 2 3 3" xfId="9979" xr:uid="{00000000-0005-0000-0000-00009F170000}"/>
    <cellStyle name="Normal 19 3 2 2 2 4" xfId="5198" xr:uid="{00000000-0005-0000-0000-0000A0170000}"/>
    <cellStyle name="Normal 19 3 2 2 2 4 2" xfId="12427" xr:uid="{00000000-0005-0000-0000-0000A1170000}"/>
    <cellStyle name="Normal 19 3 2 2 2 5" xfId="8241" xr:uid="{00000000-0005-0000-0000-0000A2170000}"/>
    <cellStyle name="Normal 19 3 2 2 3" xfId="1447" xr:uid="{00000000-0005-0000-0000-0000A3170000}"/>
    <cellStyle name="Normal 19 3 2 2 3 2" xfId="3186" xr:uid="{00000000-0005-0000-0000-0000A4170000}"/>
    <cellStyle name="Normal 19 3 2 2 3 2 2" xfId="5203" xr:uid="{00000000-0005-0000-0000-0000A5170000}"/>
    <cellStyle name="Normal 19 3 2 2 3 2 2 2" xfId="12432" xr:uid="{00000000-0005-0000-0000-0000A6170000}"/>
    <cellStyle name="Normal 19 3 2 2 3 2 3" xfId="10415" xr:uid="{00000000-0005-0000-0000-0000A7170000}"/>
    <cellStyle name="Normal 19 3 2 2 3 3" xfId="5202" xr:uid="{00000000-0005-0000-0000-0000A8170000}"/>
    <cellStyle name="Normal 19 3 2 2 3 3 2" xfId="12431" xr:uid="{00000000-0005-0000-0000-0000A9170000}"/>
    <cellStyle name="Normal 19 3 2 2 3 4" xfId="8677" xr:uid="{00000000-0005-0000-0000-0000AA170000}"/>
    <cellStyle name="Normal 19 3 2 2 4" xfId="2319" xr:uid="{00000000-0005-0000-0000-0000AB170000}"/>
    <cellStyle name="Normal 19 3 2 2 4 2" xfId="5204" xr:uid="{00000000-0005-0000-0000-0000AC170000}"/>
    <cellStyle name="Normal 19 3 2 2 4 2 2" xfId="12433" xr:uid="{00000000-0005-0000-0000-0000AD170000}"/>
    <cellStyle name="Normal 19 3 2 2 4 3" xfId="9548" xr:uid="{00000000-0005-0000-0000-0000AE170000}"/>
    <cellStyle name="Normal 19 3 2 2 5" xfId="5197" xr:uid="{00000000-0005-0000-0000-0000AF170000}"/>
    <cellStyle name="Normal 19 3 2 2 5 2" xfId="12426" xr:uid="{00000000-0005-0000-0000-0000B0170000}"/>
    <cellStyle name="Normal 19 3 2 2 6" xfId="7810" xr:uid="{00000000-0005-0000-0000-0000B1170000}"/>
    <cellStyle name="Normal 19 3 2 3" xfId="787" xr:uid="{00000000-0005-0000-0000-0000B2170000}"/>
    <cellStyle name="Normal 19 3 2 3 2" xfId="1660" xr:uid="{00000000-0005-0000-0000-0000B3170000}"/>
    <cellStyle name="Normal 19 3 2 3 2 2" xfId="3399" xr:uid="{00000000-0005-0000-0000-0000B4170000}"/>
    <cellStyle name="Normal 19 3 2 3 2 2 2" xfId="5207" xr:uid="{00000000-0005-0000-0000-0000B5170000}"/>
    <cellStyle name="Normal 19 3 2 3 2 2 2 2" xfId="12436" xr:uid="{00000000-0005-0000-0000-0000B6170000}"/>
    <cellStyle name="Normal 19 3 2 3 2 2 3" xfId="10628" xr:uid="{00000000-0005-0000-0000-0000B7170000}"/>
    <cellStyle name="Normal 19 3 2 3 2 3" xfId="5206" xr:uid="{00000000-0005-0000-0000-0000B8170000}"/>
    <cellStyle name="Normal 19 3 2 3 2 3 2" xfId="12435" xr:uid="{00000000-0005-0000-0000-0000B9170000}"/>
    <cellStyle name="Normal 19 3 2 3 2 4" xfId="8890" xr:uid="{00000000-0005-0000-0000-0000BA170000}"/>
    <cellStyle name="Normal 19 3 2 3 3" xfId="2532" xr:uid="{00000000-0005-0000-0000-0000BB170000}"/>
    <cellStyle name="Normal 19 3 2 3 3 2" xfId="5208" xr:uid="{00000000-0005-0000-0000-0000BC170000}"/>
    <cellStyle name="Normal 19 3 2 3 3 2 2" xfId="12437" xr:uid="{00000000-0005-0000-0000-0000BD170000}"/>
    <cellStyle name="Normal 19 3 2 3 3 3" xfId="9761" xr:uid="{00000000-0005-0000-0000-0000BE170000}"/>
    <cellStyle name="Normal 19 3 2 3 4" xfId="5205" xr:uid="{00000000-0005-0000-0000-0000BF170000}"/>
    <cellStyle name="Normal 19 3 2 3 4 2" xfId="12434" xr:uid="{00000000-0005-0000-0000-0000C0170000}"/>
    <cellStyle name="Normal 19 3 2 3 5" xfId="8023" xr:uid="{00000000-0005-0000-0000-0000C1170000}"/>
    <cellStyle name="Normal 19 3 2 4" xfId="1229" xr:uid="{00000000-0005-0000-0000-0000C2170000}"/>
    <cellStyle name="Normal 19 3 2 4 2" xfId="2968" xr:uid="{00000000-0005-0000-0000-0000C3170000}"/>
    <cellStyle name="Normal 19 3 2 4 2 2" xfId="5210" xr:uid="{00000000-0005-0000-0000-0000C4170000}"/>
    <cellStyle name="Normal 19 3 2 4 2 2 2" xfId="12439" xr:uid="{00000000-0005-0000-0000-0000C5170000}"/>
    <cellStyle name="Normal 19 3 2 4 2 3" xfId="10197" xr:uid="{00000000-0005-0000-0000-0000C6170000}"/>
    <cellStyle name="Normal 19 3 2 4 3" xfId="5209" xr:uid="{00000000-0005-0000-0000-0000C7170000}"/>
    <cellStyle name="Normal 19 3 2 4 3 2" xfId="12438" xr:uid="{00000000-0005-0000-0000-0000C8170000}"/>
    <cellStyle name="Normal 19 3 2 4 4" xfId="8459" xr:uid="{00000000-0005-0000-0000-0000C9170000}"/>
    <cellStyle name="Normal 19 3 2 5" xfId="2101" xr:uid="{00000000-0005-0000-0000-0000CA170000}"/>
    <cellStyle name="Normal 19 3 2 5 2" xfId="5211" xr:uid="{00000000-0005-0000-0000-0000CB170000}"/>
    <cellStyle name="Normal 19 3 2 5 2 2" xfId="12440" xr:uid="{00000000-0005-0000-0000-0000CC170000}"/>
    <cellStyle name="Normal 19 3 2 5 3" xfId="9330" xr:uid="{00000000-0005-0000-0000-0000CD170000}"/>
    <cellStyle name="Normal 19 3 2 6" xfId="5196" xr:uid="{00000000-0005-0000-0000-0000CE170000}"/>
    <cellStyle name="Normal 19 3 2 6 2" xfId="12425" xr:uid="{00000000-0005-0000-0000-0000CF170000}"/>
    <cellStyle name="Normal 19 3 2 7" xfId="7592" xr:uid="{00000000-0005-0000-0000-0000D0170000}"/>
    <cellStyle name="Normal 19 3 3" xfId="463" xr:uid="{00000000-0005-0000-0000-0000D1170000}"/>
    <cellStyle name="Normal 19 3 3 2" xfId="909" xr:uid="{00000000-0005-0000-0000-0000D2170000}"/>
    <cellStyle name="Normal 19 3 3 2 2" xfId="1776" xr:uid="{00000000-0005-0000-0000-0000D3170000}"/>
    <cellStyle name="Normal 19 3 3 2 2 2" xfId="3515" xr:uid="{00000000-0005-0000-0000-0000D4170000}"/>
    <cellStyle name="Normal 19 3 3 2 2 2 2" xfId="5215" xr:uid="{00000000-0005-0000-0000-0000D5170000}"/>
    <cellStyle name="Normal 19 3 3 2 2 2 2 2" xfId="12444" xr:uid="{00000000-0005-0000-0000-0000D6170000}"/>
    <cellStyle name="Normal 19 3 3 2 2 2 3" xfId="10744" xr:uid="{00000000-0005-0000-0000-0000D7170000}"/>
    <cellStyle name="Normal 19 3 3 2 2 3" xfId="5214" xr:uid="{00000000-0005-0000-0000-0000D8170000}"/>
    <cellStyle name="Normal 19 3 3 2 2 3 2" xfId="12443" xr:uid="{00000000-0005-0000-0000-0000D9170000}"/>
    <cellStyle name="Normal 19 3 3 2 2 4" xfId="9006" xr:uid="{00000000-0005-0000-0000-0000DA170000}"/>
    <cellStyle name="Normal 19 3 3 2 3" xfId="2648" xr:uid="{00000000-0005-0000-0000-0000DB170000}"/>
    <cellStyle name="Normal 19 3 3 2 3 2" xfId="5216" xr:uid="{00000000-0005-0000-0000-0000DC170000}"/>
    <cellStyle name="Normal 19 3 3 2 3 2 2" xfId="12445" xr:uid="{00000000-0005-0000-0000-0000DD170000}"/>
    <cellStyle name="Normal 19 3 3 2 3 3" xfId="9877" xr:uid="{00000000-0005-0000-0000-0000DE170000}"/>
    <cellStyle name="Normal 19 3 3 2 4" xfId="5213" xr:uid="{00000000-0005-0000-0000-0000DF170000}"/>
    <cellStyle name="Normal 19 3 3 2 4 2" xfId="12442" xr:uid="{00000000-0005-0000-0000-0000E0170000}"/>
    <cellStyle name="Normal 19 3 3 2 5" xfId="8139" xr:uid="{00000000-0005-0000-0000-0000E1170000}"/>
    <cellStyle name="Normal 19 3 3 3" xfId="1345" xr:uid="{00000000-0005-0000-0000-0000E2170000}"/>
    <cellStyle name="Normal 19 3 3 3 2" xfId="3084" xr:uid="{00000000-0005-0000-0000-0000E3170000}"/>
    <cellStyle name="Normal 19 3 3 3 2 2" xfId="5218" xr:uid="{00000000-0005-0000-0000-0000E4170000}"/>
    <cellStyle name="Normal 19 3 3 3 2 2 2" xfId="12447" xr:uid="{00000000-0005-0000-0000-0000E5170000}"/>
    <cellStyle name="Normal 19 3 3 3 2 3" xfId="10313" xr:uid="{00000000-0005-0000-0000-0000E6170000}"/>
    <cellStyle name="Normal 19 3 3 3 3" xfId="5217" xr:uid="{00000000-0005-0000-0000-0000E7170000}"/>
    <cellStyle name="Normal 19 3 3 3 3 2" xfId="12446" xr:uid="{00000000-0005-0000-0000-0000E8170000}"/>
    <cellStyle name="Normal 19 3 3 3 4" xfId="8575" xr:uid="{00000000-0005-0000-0000-0000E9170000}"/>
    <cellStyle name="Normal 19 3 3 4" xfId="2217" xr:uid="{00000000-0005-0000-0000-0000EA170000}"/>
    <cellStyle name="Normal 19 3 3 4 2" xfId="5219" xr:uid="{00000000-0005-0000-0000-0000EB170000}"/>
    <cellStyle name="Normal 19 3 3 4 2 2" xfId="12448" xr:uid="{00000000-0005-0000-0000-0000EC170000}"/>
    <cellStyle name="Normal 19 3 3 4 3" xfId="9446" xr:uid="{00000000-0005-0000-0000-0000ED170000}"/>
    <cellStyle name="Normal 19 3 3 5" xfId="5212" xr:uid="{00000000-0005-0000-0000-0000EE170000}"/>
    <cellStyle name="Normal 19 3 3 5 2" xfId="12441" xr:uid="{00000000-0005-0000-0000-0000EF170000}"/>
    <cellStyle name="Normal 19 3 3 6" xfId="7708" xr:uid="{00000000-0005-0000-0000-0000F0170000}"/>
    <cellStyle name="Normal 19 3 4" xfId="685" xr:uid="{00000000-0005-0000-0000-0000F1170000}"/>
    <cellStyle name="Normal 19 3 4 2" xfId="1558" xr:uid="{00000000-0005-0000-0000-0000F2170000}"/>
    <cellStyle name="Normal 19 3 4 2 2" xfId="3297" xr:uid="{00000000-0005-0000-0000-0000F3170000}"/>
    <cellStyle name="Normal 19 3 4 2 2 2" xfId="5222" xr:uid="{00000000-0005-0000-0000-0000F4170000}"/>
    <cellStyle name="Normal 19 3 4 2 2 2 2" xfId="12451" xr:uid="{00000000-0005-0000-0000-0000F5170000}"/>
    <cellStyle name="Normal 19 3 4 2 2 3" xfId="10526" xr:uid="{00000000-0005-0000-0000-0000F6170000}"/>
    <cellStyle name="Normal 19 3 4 2 3" xfId="5221" xr:uid="{00000000-0005-0000-0000-0000F7170000}"/>
    <cellStyle name="Normal 19 3 4 2 3 2" xfId="12450" xr:uid="{00000000-0005-0000-0000-0000F8170000}"/>
    <cellStyle name="Normal 19 3 4 2 4" xfId="8788" xr:uid="{00000000-0005-0000-0000-0000F9170000}"/>
    <cellStyle name="Normal 19 3 4 3" xfId="2430" xr:uid="{00000000-0005-0000-0000-0000FA170000}"/>
    <cellStyle name="Normal 19 3 4 3 2" xfId="5223" xr:uid="{00000000-0005-0000-0000-0000FB170000}"/>
    <cellStyle name="Normal 19 3 4 3 2 2" xfId="12452" xr:uid="{00000000-0005-0000-0000-0000FC170000}"/>
    <cellStyle name="Normal 19 3 4 3 3" xfId="9659" xr:uid="{00000000-0005-0000-0000-0000FD170000}"/>
    <cellStyle name="Normal 19 3 4 4" xfId="5220" xr:uid="{00000000-0005-0000-0000-0000FE170000}"/>
    <cellStyle name="Normal 19 3 4 4 2" xfId="12449" xr:uid="{00000000-0005-0000-0000-0000FF170000}"/>
    <cellStyle name="Normal 19 3 4 5" xfId="7921" xr:uid="{00000000-0005-0000-0000-000000180000}"/>
    <cellStyle name="Normal 19 3 5" xfId="1127" xr:uid="{00000000-0005-0000-0000-000001180000}"/>
    <cellStyle name="Normal 19 3 5 2" xfId="2866" xr:uid="{00000000-0005-0000-0000-000002180000}"/>
    <cellStyle name="Normal 19 3 5 2 2" xfId="5225" xr:uid="{00000000-0005-0000-0000-000003180000}"/>
    <cellStyle name="Normal 19 3 5 2 2 2" xfId="12454" xr:uid="{00000000-0005-0000-0000-000004180000}"/>
    <cellStyle name="Normal 19 3 5 2 3" xfId="10095" xr:uid="{00000000-0005-0000-0000-000005180000}"/>
    <cellStyle name="Normal 19 3 5 3" xfId="5224" xr:uid="{00000000-0005-0000-0000-000006180000}"/>
    <cellStyle name="Normal 19 3 5 3 2" xfId="12453" xr:uid="{00000000-0005-0000-0000-000007180000}"/>
    <cellStyle name="Normal 19 3 5 4" xfId="8357" xr:uid="{00000000-0005-0000-0000-000008180000}"/>
    <cellStyle name="Normal 19 3 6" xfId="1999" xr:uid="{00000000-0005-0000-0000-000009180000}"/>
    <cellStyle name="Normal 19 3 6 2" xfId="5226" xr:uid="{00000000-0005-0000-0000-00000A180000}"/>
    <cellStyle name="Normal 19 3 6 2 2" xfId="12455" xr:uid="{00000000-0005-0000-0000-00000B180000}"/>
    <cellStyle name="Normal 19 3 6 3" xfId="9228" xr:uid="{00000000-0005-0000-0000-00000C180000}"/>
    <cellStyle name="Normal 19 3 7" xfId="5195" xr:uid="{00000000-0005-0000-0000-00000D180000}"/>
    <cellStyle name="Normal 19 3 7 2" xfId="12424" xr:uid="{00000000-0005-0000-0000-00000E180000}"/>
    <cellStyle name="Normal 19 3 8" xfId="7490" xr:uid="{00000000-0005-0000-0000-00000F180000}"/>
    <cellStyle name="Normal 19 4" xfId="288" xr:uid="{00000000-0005-0000-0000-000010180000}"/>
    <cellStyle name="Normal 19 4 2" xfId="514" xr:uid="{00000000-0005-0000-0000-000011180000}"/>
    <cellStyle name="Normal 19 4 2 2" xfId="960" xr:uid="{00000000-0005-0000-0000-000012180000}"/>
    <cellStyle name="Normal 19 4 2 2 2" xfId="1827" xr:uid="{00000000-0005-0000-0000-000013180000}"/>
    <cellStyle name="Normal 19 4 2 2 2 2" xfId="3566" xr:uid="{00000000-0005-0000-0000-000014180000}"/>
    <cellStyle name="Normal 19 4 2 2 2 2 2" xfId="5231" xr:uid="{00000000-0005-0000-0000-000015180000}"/>
    <cellStyle name="Normal 19 4 2 2 2 2 2 2" xfId="12460" xr:uid="{00000000-0005-0000-0000-000016180000}"/>
    <cellStyle name="Normal 19 4 2 2 2 2 3" xfId="10795" xr:uid="{00000000-0005-0000-0000-000017180000}"/>
    <cellStyle name="Normal 19 4 2 2 2 3" xfId="5230" xr:uid="{00000000-0005-0000-0000-000018180000}"/>
    <cellStyle name="Normal 19 4 2 2 2 3 2" xfId="12459" xr:uid="{00000000-0005-0000-0000-000019180000}"/>
    <cellStyle name="Normal 19 4 2 2 2 4" xfId="9057" xr:uid="{00000000-0005-0000-0000-00001A180000}"/>
    <cellStyle name="Normal 19 4 2 2 3" xfId="2699" xr:uid="{00000000-0005-0000-0000-00001B180000}"/>
    <cellStyle name="Normal 19 4 2 2 3 2" xfId="5232" xr:uid="{00000000-0005-0000-0000-00001C180000}"/>
    <cellStyle name="Normal 19 4 2 2 3 2 2" xfId="12461" xr:uid="{00000000-0005-0000-0000-00001D180000}"/>
    <cellStyle name="Normal 19 4 2 2 3 3" xfId="9928" xr:uid="{00000000-0005-0000-0000-00001E180000}"/>
    <cellStyle name="Normal 19 4 2 2 4" xfId="5229" xr:uid="{00000000-0005-0000-0000-00001F180000}"/>
    <cellStyle name="Normal 19 4 2 2 4 2" xfId="12458" xr:uid="{00000000-0005-0000-0000-000020180000}"/>
    <cellStyle name="Normal 19 4 2 2 5" xfId="8190" xr:uid="{00000000-0005-0000-0000-000021180000}"/>
    <cellStyle name="Normal 19 4 2 3" xfId="1396" xr:uid="{00000000-0005-0000-0000-000022180000}"/>
    <cellStyle name="Normal 19 4 2 3 2" xfId="3135" xr:uid="{00000000-0005-0000-0000-000023180000}"/>
    <cellStyle name="Normal 19 4 2 3 2 2" xfId="5234" xr:uid="{00000000-0005-0000-0000-000024180000}"/>
    <cellStyle name="Normal 19 4 2 3 2 2 2" xfId="12463" xr:uid="{00000000-0005-0000-0000-000025180000}"/>
    <cellStyle name="Normal 19 4 2 3 2 3" xfId="10364" xr:uid="{00000000-0005-0000-0000-000026180000}"/>
    <cellStyle name="Normal 19 4 2 3 3" xfId="5233" xr:uid="{00000000-0005-0000-0000-000027180000}"/>
    <cellStyle name="Normal 19 4 2 3 3 2" xfId="12462" xr:uid="{00000000-0005-0000-0000-000028180000}"/>
    <cellStyle name="Normal 19 4 2 3 4" xfId="8626" xr:uid="{00000000-0005-0000-0000-000029180000}"/>
    <cellStyle name="Normal 19 4 2 4" xfId="2268" xr:uid="{00000000-0005-0000-0000-00002A180000}"/>
    <cellStyle name="Normal 19 4 2 4 2" xfId="5235" xr:uid="{00000000-0005-0000-0000-00002B180000}"/>
    <cellStyle name="Normal 19 4 2 4 2 2" xfId="12464" xr:uid="{00000000-0005-0000-0000-00002C180000}"/>
    <cellStyle name="Normal 19 4 2 4 3" xfId="9497" xr:uid="{00000000-0005-0000-0000-00002D180000}"/>
    <cellStyle name="Normal 19 4 2 5" xfId="5228" xr:uid="{00000000-0005-0000-0000-00002E180000}"/>
    <cellStyle name="Normal 19 4 2 5 2" xfId="12457" xr:uid="{00000000-0005-0000-0000-00002F180000}"/>
    <cellStyle name="Normal 19 4 2 6" xfId="7759" xr:uid="{00000000-0005-0000-0000-000030180000}"/>
    <cellStyle name="Normal 19 4 3" xfId="736" xr:uid="{00000000-0005-0000-0000-000031180000}"/>
    <cellStyle name="Normal 19 4 3 2" xfId="1609" xr:uid="{00000000-0005-0000-0000-000032180000}"/>
    <cellStyle name="Normal 19 4 3 2 2" xfId="3348" xr:uid="{00000000-0005-0000-0000-000033180000}"/>
    <cellStyle name="Normal 19 4 3 2 2 2" xfId="5238" xr:uid="{00000000-0005-0000-0000-000034180000}"/>
    <cellStyle name="Normal 19 4 3 2 2 2 2" xfId="12467" xr:uid="{00000000-0005-0000-0000-000035180000}"/>
    <cellStyle name="Normal 19 4 3 2 2 3" xfId="10577" xr:uid="{00000000-0005-0000-0000-000036180000}"/>
    <cellStyle name="Normal 19 4 3 2 3" xfId="5237" xr:uid="{00000000-0005-0000-0000-000037180000}"/>
    <cellStyle name="Normal 19 4 3 2 3 2" xfId="12466" xr:uid="{00000000-0005-0000-0000-000038180000}"/>
    <cellStyle name="Normal 19 4 3 2 4" xfId="8839" xr:uid="{00000000-0005-0000-0000-000039180000}"/>
    <cellStyle name="Normal 19 4 3 3" xfId="2481" xr:uid="{00000000-0005-0000-0000-00003A180000}"/>
    <cellStyle name="Normal 19 4 3 3 2" xfId="5239" xr:uid="{00000000-0005-0000-0000-00003B180000}"/>
    <cellStyle name="Normal 19 4 3 3 2 2" xfId="12468" xr:uid="{00000000-0005-0000-0000-00003C180000}"/>
    <cellStyle name="Normal 19 4 3 3 3" xfId="9710" xr:uid="{00000000-0005-0000-0000-00003D180000}"/>
    <cellStyle name="Normal 19 4 3 4" xfId="5236" xr:uid="{00000000-0005-0000-0000-00003E180000}"/>
    <cellStyle name="Normal 19 4 3 4 2" xfId="12465" xr:uid="{00000000-0005-0000-0000-00003F180000}"/>
    <cellStyle name="Normal 19 4 3 5" xfId="7972" xr:uid="{00000000-0005-0000-0000-000040180000}"/>
    <cellStyle name="Normal 19 4 4" xfId="1178" xr:uid="{00000000-0005-0000-0000-000041180000}"/>
    <cellStyle name="Normal 19 4 4 2" xfId="2917" xr:uid="{00000000-0005-0000-0000-000042180000}"/>
    <cellStyle name="Normal 19 4 4 2 2" xfId="5241" xr:uid="{00000000-0005-0000-0000-000043180000}"/>
    <cellStyle name="Normal 19 4 4 2 2 2" xfId="12470" xr:uid="{00000000-0005-0000-0000-000044180000}"/>
    <cellStyle name="Normal 19 4 4 2 3" xfId="10146" xr:uid="{00000000-0005-0000-0000-000045180000}"/>
    <cellStyle name="Normal 19 4 4 3" xfId="5240" xr:uid="{00000000-0005-0000-0000-000046180000}"/>
    <cellStyle name="Normal 19 4 4 3 2" xfId="12469" xr:uid="{00000000-0005-0000-0000-000047180000}"/>
    <cellStyle name="Normal 19 4 4 4" xfId="8408" xr:uid="{00000000-0005-0000-0000-000048180000}"/>
    <cellStyle name="Normal 19 4 5" xfId="2050" xr:uid="{00000000-0005-0000-0000-000049180000}"/>
    <cellStyle name="Normal 19 4 5 2" xfId="5242" xr:uid="{00000000-0005-0000-0000-00004A180000}"/>
    <cellStyle name="Normal 19 4 5 2 2" xfId="12471" xr:uid="{00000000-0005-0000-0000-00004B180000}"/>
    <cellStyle name="Normal 19 4 5 3" xfId="9279" xr:uid="{00000000-0005-0000-0000-00004C180000}"/>
    <cellStyle name="Normal 19 4 6" xfId="5227" xr:uid="{00000000-0005-0000-0000-00004D180000}"/>
    <cellStyle name="Normal 19 4 6 2" xfId="12456" xr:uid="{00000000-0005-0000-0000-00004E180000}"/>
    <cellStyle name="Normal 19 4 7" xfId="7541" xr:uid="{00000000-0005-0000-0000-00004F180000}"/>
    <cellStyle name="Normal 19 5" xfId="412" xr:uid="{00000000-0005-0000-0000-000050180000}"/>
    <cellStyle name="Normal 19 5 2" xfId="858" xr:uid="{00000000-0005-0000-0000-000051180000}"/>
    <cellStyle name="Normal 19 5 2 2" xfId="1725" xr:uid="{00000000-0005-0000-0000-000052180000}"/>
    <cellStyle name="Normal 19 5 2 2 2" xfId="3464" xr:uid="{00000000-0005-0000-0000-000053180000}"/>
    <cellStyle name="Normal 19 5 2 2 2 2" xfId="5246" xr:uid="{00000000-0005-0000-0000-000054180000}"/>
    <cellStyle name="Normal 19 5 2 2 2 2 2" xfId="12475" xr:uid="{00000000-0005-0000-0000-000055180000}"/>
    <cellStyle name="Normal 19 5 2 2 2 3" xfId="10693" xr:uid="{00000000-0005-0000-0000-000056180000}"/>
    <cellStyle name="Normal 19 5 2 2 3" xfId="5245" xr:uid="{00000000-0005-0000-0000-000057180000}"/>
    <cellStyle name="Normal 19 5 2 2 3 2" xfId="12474" xr:uid="{00000000-0005-0000-0000-000058180000}"/>
    <cellStyle name="Normal 19 5 2 2 4" xfId="8955" xr:uid="{00000000-0005-0000-0000-000059180000}"/>
    <cellStyle name="Normal 19 5 2 3" xfId="2597" xr:uid="{00000000-0005-0000-0000-00005A180000}"/>
    <cellStyle name="Normal 19 5 2 3 2" xfId="5247" xr:uid="{00000000-0005-0000-0000-00005B180000}"/>
    <cellStyle name="Normal 19 5 2 3 2 2" xfId="12476" xr:uid="{00000000-0005-0000-0000-00005C180000}"/>
    <cellStyle name="Normal 19 5 2 3 3" xfId="9826" xr:uid="{00000000-0005-0000-0000-00005D180000}"/>
    <cellStyle name="Normal 19 5 2 4" xfId="5244" xr:uid="{00000000-0005-0000-0000-00005E180000}"/>
    <cellStyle name="Normal 19 5 2 4 2" xfId="12473" xr:uid="{00000000-0005-0000-0000-00005F180000}"/>
    <cellStyle name="Normal 19 5 2 5" xfId="8088" xr:uid="{00000000-0005-0000-0000-000060180000}"/>
    <cellStyle name="Normal 19 5 3" xfId="1294" xr:uid="{00000000-0005-0000-0000-000061180000}"/>
    <cellStyle name="Normal 19 5 3 2" xfId="3033" xr:uid="{00000000-0005-0000-0000-000062180000}"/>
    <cellStyle name="Normal 19 5 3 2 2" xfId="5249" xr:uid="{00000000-0005-0000-0000-000063180000}"/>
    <cellStyle name="Normal 19 5 3 2 2 2" xfId="12478" xr:uid="{00000000-0005-0000-0000-000064180000}"/>
    <cellStyle name="Normal 19 5 3 2 3" xfId="10262" xr:uid="{00000000-0005-0000-0000-000065180000}"/>
    <cellStyle name="Normal 19 5 3 3" xfId="5248" xr:uid="{00000000-0005-0000-0000-000066180000}"/>
    <cellStyle name="Normal 19 5 3 3 2" xfId="12477" xr:uid="{00000000-0005-0000-0000-000067180000}"/>
    <cellStyle name="Normal 19 5 3 4" xfId="8524" xr:uid="{00000000-0005-0000-0000-000068180000}"/>
    <cellStyle name="Normal 19 5 4" xfId="2166" xr:uid="{00000000-0005-0000-0000-000069180000}"/>
    <cellStyle name="Normal 19 5 4 2" xfId="5250" xr:uid="{00000000-0005-0000-0000-00006A180000}"/>
    <cellStyle name="Normal 19 5 4 2 2" xfId="12479" xr:uid="{00000000-0005-0000-0000-00006B180000}"/>
    <cellStyle name="Normal 19 5 4 3" xfId="9395" xr:uid="{00000000-0005-0000-0000-00006C180000}"/>
    <cellStyle name="Normal 19 5 5" xfId="5243" xr:uid="{00000000-0005-0000-0000-00006D180000}"/>
    <cellStyle name="Normal 19 5 5 2" xfId="12472" xr:uid="{00000000-0005-0000-0000-00006E180000}"/>
    <cellStyle name="Normal 19 5 6" xfId="7657" xr:uid="{00000000-0005-0000-0000-00006F180000}"/>
    <cellStyle name="Normal 19 6" xfId="631" xr:uid="{00000000-0005-0000-0000-000070180000}"/>
    <cellStyle name="Normal 19 6 2" xfId="1507" xr:uid="{00000000-0005-0000-0000-000071180000}"/>
    <cellStyle name="Normal 19 6 2 2" xfId="3246" xr:uid="{00000000-0005-0000-0000-000072180000}"/>
    <cellStyle name="Normal 19 6 2 2 2" xfId="5253" xr:uid="{00000000-0005-0000-0000-000073180000}"/>
    <cellStyle name="Normal 19 6 2 2 2 2" xfId="12482" xr:uid="{00000000-0005-0000-0000-000074180000}"/>
    <cellStyle name="Normal 19 6 2 2 3" xfId="10475" xr:uid="{00000000-0005-0000-0000-000075180000}"/>
    <cellStyle name="Normal 19 6 2 3" xfId="5252" xr:uid="{00000000-0005-0000-0000-000076180000}"/>
    <cellStyle name="Normal 19 6 2 3 2" xfId="12481" xr:uid="{00000000-0005-0000-0000-000077180000}"/>
    <cellStyle name="Normal 19 6 2 4" xfId="8737" xr:uid="{00000000-0005-0000-0000-000078180000}"/>
    <cellStyle name="Normal 19 6 3" xfId="2379" xr:uid="{00000000-0005-0000-0000-000079180000}"/>
    <cellStyle name="Normal 19 6 3 2" xfId="5254" xr:uid="{00000000-0005-0000-0000-00007A180000}"/>
    <cellStyle name="Normal 19 6 3 2 2" xfId="12483" xr:uid="{00000000-0005-0000-0000-00007B180000}"/>
    <cellStyle name="Normal 19 6 3 3" xfId="9608" xr:uid="{00000000-0005-0000-0000-00007C180000}"/>
    <cellStyle name="Normal 19 6 4" xfId="5251" xr:uid="{00000000-0005-0000-0000-00007D180000}"/>
    <cellStyle name="Normal 19 6 4 2" xfId="12480" xr:uid="{00000000-0005-0000-0000-00007E180000}"/>
    <cellStyle name="Normal 19 6 5" xfId="7870" xr:uid="{00000000-0005-0000-0000-00007F180000}"/>
    <cellStyle name="Normal 19 7" xfId="1076" xr:uid="{00000000-0005-0000-0000-000080180000}"/>
    <cellStyle name="Normal 19 7 2" xfId="2815" xr:uid="{00000000-0005-0000-0000-000081180000}"/>
    <cellStyle name="Normal 19 7 2 2" xfId="5256" xr:uid="{00000000-0005-0000-0000-000082180000}"/>
    <cellStyle name="Normal 19 7 2 2 2" xfId="12485" xr:uid="{00000000-0005-0000-0000-000083180000}"/>
    <cellStyle name="Normal 19 7 2 3" xfId="10044" xr:uid="{00000000-0005-0000-0000-000084180000}"/>
    <cellStyle name="Normal 19 7 3" xfId="5255" xr:uid="{00000000-0005-0000-0000-000085180000}"/>
    <cellStyle name="Normal 19 7 3 2" xfId="12484" xr:uid="{00000000-0005-0000-0000-000086180000}"/>
    <cellStyle name="Normal 19 7 4" xfId="8306" xr:uid="{00000000-0005-0000-0000-000087180000}"/>
    <cellStyle name="Normal 19 8" xfId="1948" xr:uid="{00000000-0005-0000-0000-000088180000}"/>
    <cellStyle name="Normal 19 8 2" xfId="5257" xr:uid="{00000000-0005-0000-0000-000089180000}"/>
    <cellStyle name="Normal 19 8 2 2" xfId="12486" xr:uid="{00000000-0005-0000-0000-00008A180000}"/>
    <cellStyle name="Normal 19 8 3" xfId="9177" xr:uid="{00000000-0005-0000-0000-00008B180000}"/>
    <cellStyle name="Normal 19 9" xfId="5162" xr:uid="{00000000-0005-0000-0000-00008C180000}"/>
    <cellStyle name="Normal 19 9 2" xfId="12391" xr:uid="{00000000-0005-0000-0000-00008D180000}"/>
    <cellStyle name="Normal 2" xfId="13" xr:uid="{00000000-0005-0000-0000-00008E180000}"/>
    <cellStyle name="Normal 2 2" xfId="24" xr:uid="{00000000-0005-0000-0000-00008F180000}"/>
    <cellStyle name="Normal 2 2 10" xfId="371" xr:uid="{00000000-0005-0000-0000-000090180000}"/>
    <cellStyle name="Normal 2 2 10 2" xfId="5261" xr:uid="{00000000-0005-0000-0000-000091180000}"/>
    <cellStyle name="Normal 2 2 10 2 2" xfId="12490" xr:uid="{00000000-0005-0000-0000-000092180000}"/>
    <cellStyle name="Normal 2 2 10 3" xfId="5260" xr:uid="{00000000-0005-0000-0000-000093180000}"/>
    <cellStyle name="Normal 2 2 10 3 2" xfId="12489" xr:uid="{00000000-0005-0000-0000-000094180000}"/>
    <cellStyle name="Normal 2 2 2" xfId="35" xr:uid="{00000000-0005-0000-0000-000095180000}"/>
    <cellStyle name="Normal 2 2 2 2" xfId="213" xr:uid="{00000000-0005-0000-0000-000096180000}"/>
    <cellStyle name="Normal 2 2 2 2 2" xfId="5263" xr:uid="{00000000-0005-0000-0000-000097180000}"/>
    <cellStyle name="Normal 2 2 2 2 2 2" xfId="12492" xr:uid="{00000000-0005-0000-0000-000098180000}"/>
    <cellStyle name="Normal 2 2 2 3" xfId="5262" xr:uid="{00000000-0005-0000-0000-000099180000}"/>
    <cellStyle name="Normal 2 2 2 3 2" xfId="12491" xr:uid="{00000000-0005-0000-0000-00009A180000}"/>
    <cellStyle name="Normal 2 2 3" xfId="214" xr:uid="{00000000-0005-0000-0000-00009B180000}"/>
    <cellStyle name="Normal 2 2 3 2" xfId="5264" xr:uid="{00000000-0005-0000-0000-00009C180000}"/>
    <cellStyle name="Normal 2 2 3 2 2" xfId="12493" xr:uid="{00000000-0005-0000-0000-00009D180000}"/>
    <cellStyle name="Normal 2 2 4" xfId="5259" xr:uid="{00000000-0005-0000-0000-00009E180000}"/>
    <cellStyle name="Normal 2 2 4 2" xfId="12488" xr:uid="{00000000-0005-0000-0000-00009F180000}"/>
    <cellStyle name="Normal 2 3" xfId="42" xr:uid="{00000000-0005-0000-0000-0000A0180000}"/>
    <cellStyle name="Normal 2 3 2" xfId="215" xr:uid="{00000000-0005-0000-0000-0000A1180000}"/>
    <cellStyle name="Normal 2 3 2 2" xfId="5266" xr:uid="{00000000-0005-0000-0000-0000A2180000}"/>
    <cellStyle name="Normal 2 3 2 2 2" xfId="12495" xr:uid="{00000000-0005-0000-0000-0000A3180000}"/>
    <cellStyle name="Normal 2 3 3" xfId="5265" xr:uid="{00000000-0005-0000-0000-0000A4180000}"/>
    <cellStyle name="Normal 2 3 3 2" xfId="12494" xr:uid="{00000000-0005-0000-0000-0000A5180000}"/>
    <cellStyle name="Normal 2 4" xfId="38" xr:uid="{00000000-0005-0000-0000-0000A6180000}"/>
    <cellStyle name="Normal 2 4 2" xfId="5267" xr:uid="{00000000-0005-0000-0000-0000A7180000}"/>
    <cellStyle name="Normal 2 4 2 2" xfId="12496" xr:uid="{00000000-0005-0000-0000-0000A8180000}"/>
    <cellStyle name="Normal 2 5" xfId="32" xr:uid="{00000000-0005-0000-0000-0000A9180000}"/>
    <cellStyle name="Normal 2 5 2" xfId="5268" xr:uid="{00000000-0005-0000-0000-0000AA180000}"/>
    <cellStyle name="Normal 2 5 2 2" xfId="12497" xr:uid="{00000000-0005-0000-0000-0000AB180000}"/>
    <cellStyle name="Normal 2 6" xfId="216" xr:uid="{00000000-0005-0000-0000-0000AC180000}"/>
    <cellStyle name="Normal 2 6 2" xfId="340" xr:uid="{00000000-0005-0000-0000-0000AD180000}"/>
    <cellStyle name="Normal 2 6 2 2" xfId="566" xr:uid="{00000000-0005-0000-0000-0000AE180000}"/>
    <cellStyle name="Normal 2 6 2 2 2" xfId="1012" xr:uid="{00000000-0005-0000-0000-0000AF180000}"/>
    <cellStyle name="Normal 2 6 2 2 2 2" xfId="1879" xr:uid="{00000000-0005-0000-0000-0000B0180000}"/>
    <cellStyle name="Normal 2 6 2 2 2 2 2" xfId="3618" xr:uid="{00000000-0005-0000-0000-0000B1180000}"/>
    <cellStyle name="Normal 2 6 2 2 2 2 2 2" xfId="5274" xr:uid="{00000000-0005-0000-0000-0000B2180000}"/>
    <cellStyle name="Normal 2 6 2 2 2 2 2 2 2" xfId="12503" xr:uid="{00000000-0005-0000-0000-0000B3180000}"/>
    <cellStyle name="Normal 2 6 2 2 2 2 2 3" xfId="10847" xr:uid="{00000000-0005-0000-0000-0000B4180000}"/>
    <cellStyle name="Normal 2 6 2 2 2 2 3" xfId="5273" xr:uid="{00000000-0005-0000-0000-0000B5180000}"/>
    <cellStyle name="Normal 2 6 2 2 2 2 3 2" xfId="12502" xr:uid="{00000000-0005-0000-0000-0000B6180000}"/>
    <cellStyle name="Normal 2 6 2 2 2 2 4" xfId="9109" xr:uid="{00000000-0005-0000-0000-0000B7180000}"/>
    <cellStyle name="Normal 2 6 2 2 2 3" xfId="2751" xr:uid="{00000000-0005-0000-0000-0000B8180000}"/>
    <cellStyle name="Normal 2 6 2 2 2 3 2" xfId="5275" xr:uid="{00000000-0005-0000-0000-0000B9180000}"/>
    <cellStyle name="Normal 2 6 2 2 2 3 2 2" xfId="12504" xr:uid="{00000000-0005-0000-0000-0000BA180000}"/>
    <cellStyle name="Normal 2 6 2 2 2 3 3" xfId="9980" xr:uid="{00000000-0005-0000-0000-0000BB180000}"/>
    <cellStyle name="Normal 2 6 2 2 2 4" xfId="5272" xr:uid="{00000000-0005-0000-0000-0000BC180000}"/>
    <cellStyle name="Normal 2 6 2 2 2 4 2" xfId="12501" xr:uid="{00000000-0005-0000-0000-0000BD180000}"/>
    <cellStyle name="Normal 2 6 2 2 2 5" xfId="8242" xr:uid="{00000000-0005-0000-0000-0000BE180000}"/>
    <cellStyle name="Normal 2 6 2 2 3" xfId="1448" xr:uid="{00000000-0005-0000-0000-0000BF180000}"/>
    <cellStyle name="Normal 2 6 2 2 3 2" xfId="3187" xr:uid="{00000000-0005-0000-0000-0000C0180000}"/>
    <cellStyle name="Normal 2 6 2 2 3 2 2" xfId="5277" xr:uid="{00000000-0005-0000-0000-0000C1180000}"/>
    <cellStyle name="Normal 2 6 2 2 3 2 2 2" xfId="12506" xr:uid="{00000000-0005-0000-0000-0000C2180000}"/>
    <cellStyle name="Normal 2 6 2 2 3 2 3" xfId="10416" xr:uid="{00000000-0005-0000-0000-0000C3180000}"/>
    <cellStyle name="Normal 2 6 2 2 3 3" xfId="5276" xr:uid="{00000000-0005-0000-0000-0000C4180000}"/>
    <cellStyle name="Normal 2 6 2 2 3 3 2" xfId="12505" xr:uid="{00000000-0005-0000-0000-0000C5180000}"/>
    <cellStyle name="Normal 2 6 2 2 3 4" xfId="8678" xr:uid="{00000000-0005-0000-0000-0000C6180000}"/>
    <cellStyle name="Normal 2 6 2 2 4" xfId="2320" xr:uid="{00000000-0005-0000-0000-0000C7180000}"/>
    <cellStyle name="Normal 2 6 2 2 4 2" xfId="5278" xr:uid="{00000000-0005-0000-0000-0000C8180000}"/>
    <cellStyle name="Normal 2 6 2 2 4 2 2" xfId="12507" xr:uid="{00000000-0005-0000-0000-0000C9180000}"/>
    <cellStyle name="Normal 2 6 2 2 4 3" xfId="9549" xr:uid="{00000000-0005-0000-0000-0000CA180000}"/>
    <cellStyle name="Normal 2 6 2 2 5" xfId="5271" xr:uid="{00000000-0005-0000-0000-0000CB180000}"/>
    <cellStyle name="Normal 2 6 2 2 5 2" xfId="12500" xr:uid="{00000000-0005-0000-0000-0000CC180000}"/>
    <cellStyle name="Normal 2 6 2 2 6" xfId="7811" xr:uid="{00000000-0005-0000-0000-0000CD180000}"/>
    <cellStyle name="Normal 2 6 2 3" xfId="788" xr:uid="{00000000-0005-0000-0000-0000CE180000}"/>
    <cellStyle name="Normal 2 6 2 3 2" xfId="1661" xr:uid="{00000000-0005-0000-0000-0000CF180000}"/>
    <cellStyle name="Normal 2 6 2 3 2 2" xfId="3400" xr:uid="{00000000-0005-0000-0000-0000D0180000}"/>
    <cellStyle name="Normal 2 6 2 3 2 2 2" xfId="5281" xr:uid="{00000000-0005-0000-0000-0000D1180000}"/>
    <cellStyle name="Normal 2 6 2 3 2 2 2 2" xfId="12510" xr:uid="{00000000-0005-0000-0000-0000D2180000}"/>
    <cellStyle name="Normal 2 6 2 3 2 2 3" xfId="10629" xr:uid="{00000000-0005-0000-0000-0000D3180000}"/>
    <cellStyle name="Normal 2 6 2 3 2 3" xfId="5280" xr:uid="{00000000-0005-0000-0000-0000D4180000}"/>
    <cellStyle name="Normal 2 6 2 3 2 3 2" xfId="12509" xr:uid="{00000000-0005-0000-0000-0000D5180000}"/>
    <cellStyle name="Normal 2 6 2 3 2 4" xfId="8891" xr:uid="{00000000-0005-0000-0000-0000D6180000}"/>
    <cellStyle name="Normal 2 6 2 3 3" xfId="2533" xr:uid="{00000000-0005-0000-0000-0000D7180000}"/>
    <cellStyle name="Normal 2 6 2 3 3 2" xfId="5282" xr:uid="{00000000-0005-0000-0000-0000D8180000}"/>
    <cellStyle name="Normal 2 6 2 3 3 2 2" xfId="12511" xr:uid="{00000000-0005-0000-0000-0000D9180000}"/>
    <cellStyle name="Normal 2 6 2 3 3 3" xfId="9762" xr:uid="{00000000-0005-0000-0000-0000DA180000}"/>
    <cellStyle name="Normal 2 6 2 3 4" xfId="5279" xr:uid="{00000000-0005-0000-0000-0000DB180000}"/>
    <cellStyle name="Normal 2 6 2 3 4 2" xfId="12508" xr:uid="{00000000-0005-0000-0000-0000DC180000}"/>
    <cellStyle name="Normal 2 6 2 3 5" xfId="8024" xr:uid="{00000000-0005-0000-0000-0000DD180000}"/>
    <cellStyle name="Normal 2 6 2 4" xfId="1230" xr:uid="{00000000-0005-0000-0000-0000DE180000}"/>
    <cellStyle name="Normal 2 6 2 4 2" xfId="2969" xr:uid="{00000000-0005-0000-0000-0000DF180000}"/>
    <cellStyle name="Normal 2 6 2 4 2 2" xfId="5284" xr:uid="{00000000-0005-0000-0000-0000E0180000}"/>
    <cellStyle name="Normal 2 6 2 4 2 2 2" xfId="12513" xr:uid="{00000000-0005-0000-0000-0000E1180000}"/>
    <cellStyle name="Normal 2 6 2 4 2 3" xfId="10198" xr:uid="{00000000-0005-0000-0000-0000E2180000}"/>
    <cellStyle name="Normal 2 6 2 4 3" xfId="5283" xr:uid="{00000000-0005-0000-0000-0000E3180000}"/>
    <cellStyle name="Normal 2 6 2 4 3 2" xfId="12512" xr:uid="{00000000-0005-0000-0000-0000E4180000}"/>
    <cellStyle name="Normal 2 6 2 4 4" xfId="8460" xr:uid="{00000000-0005-0000-0000-0000E5180000}"/>
    <cellStyle name="Normal 2 6 2 5" xfId="2102" xr:uid="{00000000-0005-0000-0000-0000E6180000}"/>
    <cellStyle name="Normal 2 6 2 5 2" xfId="5285" xr:uid="{00000000-0005-0000-0000-0000E7180000}"/>
    <cellStyle name="Normal 2 6 2 5 2 2" xfId="12514" xr:uid="{00000000-0005-0000-0000-0000E8180000}"/>
    <cellStyle name="Normal 2 6 2 5 3" xfId="9331" xr:uid="{00000000-0005-0000-0000-0000E9180000}"/>
    <cellStyle name="Normal 2 6 2 6" xfId="5270" xr:uid="{00000000-0005-0000-0000-0000EA180000}"/>
    <cellStyle name="Normal 2 6 2 6 2" xfId="12499" xr:uid="{00000000-0005-0000-0000-0000EB180000}"/>
    <cellStyle name="Normal 2 6 2 7" xfId="7593" xr:uid="{00000000-0005-0000-0000-0000EC180000}"/>
    <cellStyle name="Normal 2 6 3" xfId="464" xr:uid="{00000000-0005-0000-0000-0000ED180000}"/>
    <cellStyle name="Normal 2 6 3 2" xfId="910" xr:uid="{00000000-0005-0000-0000-0000EE180000}"/>
    <cellStyle name="Normal 2 6 3 2 2" xfId="1777" xr:uid="{00000000-0005-0000-0000-0000EF180000}"/>
    <cellStyle name="Normal 2 6 3 2 2 2" xfId="3516" xr:uid="{00000000-0005-0000-0000-0000F0180000}"/>
    <cellStyle name="Normal 2 6 3 2 2 2 2" xfId="5289" xr:uid="{00000000-0005-0000-0000-0000F1180000}"/>
    <cellStyle name="Normal 2 6 3 2 2 2 2 2" xfId="12518" xr:uid="{00000000-0005-0000-0000-0000F2180000}"/>
    <cellStyle name="Normal 2 6 3 2 2 2 3" xfId="10745" xr:uid="{00000000-0005-0000-0000-0000F3180000}"/>
    <cellStyle name="Normal 2 6 3 2 2 3" xfId="5288" xr:uid="{00000000-0005-0000-0000-0000F4180000}"/>
    <cellStyle name="Normal 2 6 3 2 2 3 2" xfId="12517" xr:uid="{00000000-0005-0000-0000-0000F5180000}"/>
    <cellStyle name="Normal 2 6 3 2 2 4" xfId="9007" xr:uid="{00000000-0005-0000-0000-0000F6180000}"/>
    <cellStyle name="Normal 2 6 3 2 3" xfId="2649" xr:uid="{00000000-0005-0000-0000-0000F7180000}"/>
    <cellStyle name="Normal 2 6 3 2 3 2" xfId="5290" xr:uid="{00000000-0005-0000-0000-0000F8180000}"/>
    <cellStyle name="Normal 2 6 3 2 3 2 2" xfId="12519" xr:uid="{00000000-0005-0000-0000-0000F9180000}"/>
    <cellStyle name="Normal 2 6 3 2 3 3" xfId="9878" xr:uid="{00000000-0005-0000-0000-0000FA180000}"/>
    <cellStyle name="Normal 2 6 3 2 4" xfId="5287" xr:uid="{00000000-0005-0000-0000-0000FB180000}"/>
    <cellStyle name="Normal 2 6 3 2 4 2" xfId="12516" xr:uid="{00000000-0005-0000-0000-0000FC180000}"/>
    <cellStyle name="Normal 2 6 3 2 5" xfId="8140" xr:uid="{00000000-0005-0000-0000-0000FD180000}"/>
    <cellStyle name="Normal 2 6 3 3" xfId="1346" xr:uid="{00000000-0005-0000-0000-0000FE180000}"/>
    <cellStyle name="Normal 2 6 3 3 2" xfId="3085" xr:uid="{00000000-0005-0000-0000-0000FF180000}"/>
    <cellStyle name="Normal 2 6 3 3 2 2" xfId="5292" xr:uid="{00000000-0005-0000-0000-000000190000}"/>
    <cellStyle name="Normal 2 6 3 3 2 2 2" xfId="12521" xr:uid="{00000000-0005-0000-0000-000001190000}"/>
    <cellStyle name="Normal 2 6 3 3 2 3" xfId="10314" xr:uid="{00000000-0005-0000-0000-000002190000}"/>
    <cellStyle name="Normal 2 6 3 3 3" xfId="5291" xr:uid="{00000000-0005-0000-0000-000003190000}"/>
    <cellStyle name="Normal 2 6 3 3 3 2" xfId="12520" xr:uid="{00000000-0005-0000-0000-000004190000}"/>
    <cellStyle name="Normal 2 6 3 3 4" xfId="8576" xr:uid="{00000000-0005-0000-0000-000005190000}"/>
    <cellStyle name="Normal 2 6 3 4" xfId="2218" xr:uid="{00000000-0005-0000-0000-000006190000}"/>
    <cellStyle name="Normal 2 6 3 4 2" xfId="5293" xr:uid="{00000000-0005-0000-0000-000007190000}"/>
    <cellStyle name="Normal 2 6 3 4 2 2" xfId="12522" xr:uid="{00000000-0005-0000-0000-000008190000}"/>
    <cellStyle name="Normal 2 6 3 4 3" xfId="9447" xr:uid="{00000000-0005-0000-0000-000009190000}"/>
    <cellStyle name="Normal 2 6 3 5" xfId="5286" xr:uid="{00000000-0005-0000-0000-00000A190000}"/>
    <cellStyle name="Normal 2 6 3 5 2" xfId="12515" xr:uid="{00000000-0005-0000-0000-00000B190000}"/>
    <cellStyle name="Normal 2 6 3 6" xfId="7709" xr:uid="{00000000-0005-0000-0000-00000C190000}"/>
    <cellStyle name="Normal 2 6 4" xfId="686" xr:uid="{00000000-0005-0000-0000-00000D190000}"/>
    <cellStyle name="Normal 2 6 4 2" xfId="1559" xr:uid="{00000000-0005-0000-0000-00000E190000}"/>
    <cellStyle name="Normal 2 6 4 2 2" xfId="3298" xr:uid="{00000000-0005-0000-0000-00000F190000}"/>
    <cellStyle name="Normal 2 6 4 2 2 2" xfId="5296" xr:uid="{00000000-0005-0000-0000-000010190000}"/>
    <cellStyle name="Normal 2 6 4 2 2 2 2" xfId="12525" xr:uid="{00000000-0005-0000-0000-000011190000}"/>
    <cellStyle name="Normal 2 6 4 2 2 3" xfId="10527" xr:uid="{00000000-0005-0000-0000-000012190000}"/>
    <cellStyle name="Normal 2 6 4 2 3" xfId="5295" xr:uid="{00000000-0005-0000-0000-000013190000}"/>
    <cellStyle name="Normal 2 6 4 2 3 2" xfId="12524" xr:uid="{00000000-0005-0000-0000-000014190000}"/>
    <cellStyle name="Normal 2 6 4 2 4" xfId="8789" xr:uid="{00000000-0005-0000-0000-000015190000}"/>
    <cellStyle name="Normal 2 6 4 3" xfId="2431" xr:uid="{00000000-0005-0000-0000-000016190000}"/>
    <cellStyle name="Normal 2 6 4 3 2" xfId="5297" xr:uid="{00000000-0005-0000-0000-000017190000}"/>
    <cellStyle name="Normal 2 6 4 3 2 2" xfId="12526" xr:uid="{00000000-0005-0000-0000-000018190000}"/>
    <cellStyle name="Normal 2 6 4 3 3" xfId="9660" xr:uid="{00000000-0005-0000-0000-000019190000}"/>
    <cellStyle name="Normal 2 6 4 4" xfId="5294" xr:uid="{00000000-0005-0000-0000-00001A190000}"/>
    <cellStyle name="Normal 2 6 4 4 2" xfId="12523" xr:uid="{00000000-0005-0000-0000-00001B190000}"/>
    <cellStyle name="Normal 2 6 4 5" xfId="7922" xr:uid="{00000000-0005-0000-0000-00001C190000}"/>
    <cellStyle name="Normal 2 6 5" xfId="1128" xr:uid="{00000000-0005-0000-0000-00001D190000}"/>
    <cellStyle name="Normal 2 6 5 2" xfId="2867" xr:uid="{00000000-0005-0000-0000-00001E190000}"/>
    <cellStyle name="Normal 2 6 5 2 2" xfId="5299" xr:uid="{00000000-0005-0000-0000-00001F190000}"/>
    <cellStyle name="Normal 2 6 5 2 2 2" xfId="12528" xr:uid="{00000000-0005-0000-0000-000020190000}"/>
    <cellStyle name="Normal 2 6 5 2 3" xfId="10096" xr:uid="{00000000-0005-0000-0000-000021190000}"/>
    <cellStyle name="Normal 2 6 5 3" xfId="5298" xr:uid="{00000000-0005-0000-0000-000022190000}"/>
    <cellStyle name="Normal 2 6 5 3 2" xfId="12527" xr:uid="{00000000-0005-0000-0000-000023190000}"/>
    <cellStyle name="Normal 2 6 5 4" xfId="8358" xr:uid="{00000000-0005-0000-0000-000024190000}"/>
    <cellStyle name="Normal 2 6 6" xfId="2000" xr:uid="{00000000-0005-0000-0000-000025190000}"/>
    <cellStyle name="Normal 2 6 6 2" xfId="5300" xr:uid="{00000000-0005-0000-0000-000026190000}"/>
    <cellStyle name="Normal 2 6 6 2 2" xfId="12529" xr:uid="{00000000-0005-0000-0000-000027190000}"/>
    <cellStyle name="Normal 2 6 6 3" xfId="9229" xr:uid="{00000000-0005-0000-0000-000028190000}"/>
    <cellStyle name="Normal 2 6 7" xfId="5269" xr:uid="{00000000-0005-0000-0000-000029190000}"/>
    <cellStyle name="Normal 2 6 7 2" xfId="12498" xr:uid="{00000000-0005-0000-0000-00002A190000}"/>
    <cellStyle name="Normal 2 6 8" xfId="7491" xr:uid="{00000000-0005-0000-0000-00002B190000}"/>
    <cellStyle name="Normal 2 7" xfId="1921" xr:uid="{00000000-0005-0000-0000-00002C190000}"/>
    <cellStyle name="Normal 2 7 2" xfId="5301" xr:uid="{00000000-0005-0000-0000-00002D190000}"/>
    <cellStyle name="Normal 2 7 2 2" xfId="12530" xr:uid="{00000000-0005-0000-0000-00002E190000}"/>
    <cellStyle name="Normal 2 8" xfId="5258" xr:uid="{00000000-0005-0000-0000-00002F190000}"/>
    <cellStyle name="Normal 2 8 2" xfId="12487" xr:uid="{00000000-0005-0000-0000-000030190000}"/>
    <cellStyle name="Normal 20" xfId="58" xr:uid="{00000000-0005-0000-0000-000031190000}"/>
    <cellStyle name="Normal 20 10" xfId="7436" xr:uid="{00000000-0005-0000-0000-000032190000}"/>
    <cellStyle name="Normal 20 2" xfId="113" xr:uid="{00000000-0005-0000-0000-000033190000}"/>
    <cellStyle name="Normal 20 2 2" xfId="320" xr:uid="{00000000-0005-0000-0000-000034190000}"/>
    <cellStyle name="Normal 20 2 2 2" xfId="546" xr:uid="{00000000-0005-0000-0000-000035190000}"/>
    <cellStyle name="Normal 20 2 2 2 2" xfId="992" xr:uid="{00000000-0005-0000-0000-000036190000}"/>
    <cellStyle name="Normal 20 2 2 2 2 2" xfId="1859" xr:uid="{00000000-0005-0000-0000-000037190000}"/>
    <cellStyle name="Normal 20 2 2 2 2 2 2" xfId="3598" xr:uid="{00000000-0005-0000-0000-000038190000}"/>
    <cellStyle name="Normal 20 2 2 2 2 2 2 2" xfId="5308" xr:uid="{00000000-0005-0000-0000-000039190000}"/>
    <cellStyle name="Normal 20 2 2 2 2 2 2 2 2" xfId="12537" xr:uid="{00000000-0005-0000-0000-00003A190000}"/>
    <cellStyle name="Normal 20 2 2 2 2 2 2 3" xfId="10827" xr:uid="{00000000-0005-0000-0000-00003B190000}"/>
    <cellStyle name="Normal 20 2 2 2 2 2 3" xfId="5307" xr:uid="{00000000-0005-0000-0000-00003C190000}"/>
    <cellStyle name="Normal 20 2 2 2 2 2 3 2" xfId="12536" xr:uid="{00000000-0005-0000-0000-00003D190000}"/>
    <cellStyle name="Normal 20 2 2 2 2 2 4" xfId="9089" xr:uid="{00000000-0005-0000-0000-00003E190000}"/>
    <cellStyle name="Normal 20 2 2 2 2 3" xfId="2731" xr:uid="{00000000-0005-0000-0000-00003F190000}"/>
    <cellStyle name="Normal 20 2 2 2 2 3 2" xfId="5309" xr:uid="{00000000-0005-0000-0000-000040190000}"/>
    <cellStyle name="Normal 20 2 2 2 2 3 2 2" xfId="12538" xr:uid="{00000000-0005-0000-0000-000041190000}"/>
    <cellStyle name="Normal 20 2 2 2 2 3 3" xfId="9960" xr:uid="{00000000-0005-0000-0000-000042190000}"/>
    <cellStyle name="Normal 20 2 2 2 2 4" xfId="5306" xr:uid="{00000000-0005-0000-0000-000043190000}"/>
    <cellStyle name="Normal 20 2 2 2 2 4 2" xfId="12535" xr:uid="{00000000-0005-0000-0000-000044190000}"/>
    <cellStyle name="Normal 20 2 2 2 2 5" xfId="8222" xr:uid="{00000000-0005-0000-0000-000045190000}"/>
    <cellStyle name="Normal 20 2 2 2 3" xfId="1428" xr:uid="{00000000-0005-0000-0000-000046190000}"/>
    <cellStyle name="Normal 20 2 2 2 3 2" xfId="3167" xr:uid="{00000000-0005-0000-0000-000047190000}"/>
    <cellStyle name="Normal 20 2 2 2 3 2 2" xfId="5311" xr:uid="{00000000-0005-0000-0000-000048190000}"/>
    <cellStyle name="Normal 20 2 2 2 3 2 2 2" xfId="12540" xr:uid="{00000000-0005-0000-0000-000049190000}"/>
    <cellStyle name="Normal 20 2 2 2 3 2 3" xfId="10396" xr:uid="{00000000-0005-0000-0000-00004A190000}"/>
    <cellStyle name="Normal 20 2 2 2 3 3" xfId="5310" xr:uid="{00000000-0005-0000-0000-00004B190000}"/>
    <cellStyle name="Normal 20 2 2 2 3 3 2" xfId="12539" xr:uid="{00000000-0005-0000-0000-00004C190000}"/>
    <cellStyle name="Normal 20 2 2 2 3 4" xfId="8658" xr:uid="{00000000-0005-0000-0000-00004D190000}"/>
    <cellStyle name="Normal 20 2 2 2 4" xfId="2300" xr:uid="{00000000-0005-0000-0000-00004E190000}"/>
    <cellStyle name="Normal 20 2 2 2 4 2" xfId="5312" xr:uid="{00000000-0005-0000-0000-00004F190000}"/>
    <cellStyle name="Normal 20 2 2 2 4 2 2" xfId="12541" xr:uid="{00000000-0005-0000-0000-000050190000}"/>
    <cellStyle name="Normal 20 2 2 2 4 3" xfId="9529" xr:uid="{00000000-0005-0000-0000-000051190000}"/>
    <cellStyle name="Normal 20 2 2 2 5" xfId="5305" xr:uid="{00000000-0005-0000-0000-000052190000}"/>
    <cellStyle name="Normal 20 2 2 2 5 2" xfId="12534" xr:uid="{00000000-0005-0000-0000-000053190000}"/>
    <cellStyle name="Normal 20 2 2 2 6" xfId="7791" xr:uid="{00000000-0005-0000-0000-000054190000}"/>
    <cellStyle name="Normal 20 2 2 3" xfId="768" xr:uid="{00000000-0005-0000-0000-000055190000}"/>
    <cellStyle name="Normal 20 2 2 3 2" xfId="1641" xr:uid="{00000000-0005-0000-0000-000056190000}"/>
    <cellStyle name="Normal 20 2 2 3 2 2" xfId="3380" xr:uid="{00000000-0005-0000-0000-000057190000}"/>
    <cellStyle name="Normal 20 2 2 3 2 2 2" xfId="5315" xr:uid="{00000000-0005-0000-0000-000058190000}"/>
    <cellStyle name="Normal 20 2 2 3 2 2 2 2" xfId="12544" xr:uid="{00000000-0005-0000-0000-000059190000}"/>
    <cellStyle name="Normal 20 2 2 3 2 2 3" xfId="10609" xr:uid="{00000000-0005-0000-0000-00005A190000}"/>
    <cellStyle name="Normal 20 2 2 3 2 3" xfId="5314" xr:uid="{00000000-0005-0000-0000-00005B190000}"/>
    <cellStyle name="Normal 20 2 2 3 2 3 2" xfId="12543" xr:uid="{00000000-0005-0000-0000-00005C190000}"/>
    <cellStyle name="Normal 20 2 2 3 2 4" xfId="8871" xr:uid="{00000000-0005-0000-0000-00005D190000}"/>
    <cellStyle name="Normal 20 2 2 3 3" xfId="2513" xr:uid="{00000000-0005-0000-0000-00005E190000}"/>
    <cellStyle name="Normal 20 2 2 3 3 2" xfId="5316" xr:uid="{00000000-0005-0000-0000-00005F190000}"/>
    <cellStyle name="Normal 20 2 2 3 3 2 2" xfId="12545" xr:uid="{00000000-0005-0000-0000-000060190000}"/>
    <cellStyle name="Normal 20 2 2 3 3 3" xfId="9742" xr:uid="{00000000-0005-0000-0000-000061190000}"/>
    <cellStyle name="Normal 20 2 2 3 4" xfId="5313" xr:uid="{00000000-0005-0000-0000-000062190000}"/>
    <cellStyle name="Normal 20 2 2 3 4 2" xfId="12542" xr:uid="{00000000-0005-0000-0000-000063190000}"/>
    <cellStyle name="Normal 20 2 2 3 5" xfId="8004" xr:uid="{00000000-0005-0000-0000-000064190000}"/>
    <cellStyle name="Normal 20 2 2 4" xfId="1210" xr:uid="{00000000-0005-0000-0000-000065190000}"/>
    <cellStyle name="Normal 20 2 2 4 2" xfId="2949" xr:uid="{00000000-0005-0000-0000-000066190000}"/>
    <cellStyle name="Normal 20 2 2 4 2 2" xfId="5318" xr:uid="{00000000-0005-0000-0000-000067190000}"/>
    <cellStyle name="Normal 20 2 2 4 2 2 2" xfId="12547" xr:uid="{00000000-0005-0000-0000-000068190000}"/>
    <cellStyle name="Normal 20 2 2 4 2 3" xfId="10178" xr:uid="{00000000-0005-0000-0000-000069190000}"/>
    <cellStyle name="Normal 20 2 2 4 3" xfId="5317" xr:uid="{00000000-0005-0000-0000-00006A190000}"/>
    <cellStyle name="Normal 20 2 2 4 3 2" xfId="12546" xr:uid="{00000000-0005-0000-0000-00006B190000}"/>
    <cellStyle name="Normal 20 2 2 4 4" xfId="8440" xr:uid="{00000000-0005-0000-0000-00006C190000}"/>
    <cellStyle name="Normal 20 2 2 5" xfId="2082" xr:uid="{00000000-0005-0000-0000-00006D190000}"/>
    <cellStyle name="Normal 20 2 2 5 2" xfId="5319" xr:uid="{00000000-0005-0000-0000-00006E190000}"/>
    <cellStyle name="Normal 20 2 2 5 2 2" xfId="12548" xr:uid="{00000000-0005-0000-0000-00006F190000}"/>
    <cellStyle name="Normal 20 2 2 5 3" xfId="9311" xr:uid="{00000000-0005-0000-0000-000070190000}"/>
    <cellStyle name="Normal 20 2 2 6" xfId="5304" xr:uid="{00000000-0005-0000-0000-000071190000}"/>
    <cellStyle name="Normal 20 2 2 6 2" xfId="12533" xr:uid="{00000000-0005-0000-0000-000072190000}"/>
    <cellStyle name="Normal 20 2 2 7" xfId="7573" xr:uid="{00000000-0005-0000-0000-000073190000}"/>
    <cellStyle name="Normal 20 2 3" xfId="444" xr:uid="{00000000-0005-0000-0000-000074190000}"/>
    <cellStyle name="Normal 20 2 3 2" xfId="890" xr:uid="{00000000-0005-0000-0000-000075190000}"/>
    <cellStyle name="Normal 20 2 3 2 2" xfId="1757" xr:uid="{00000000-0005-0000-0000-000076190000}"/>
    <cellStyle name="Normal 20 2 3 2 2 2" xfId="3496" xr:uid="{00000000-0005-0000-0000-000077190000}"/>
    <cellStyle name="Normal 20 2 3 2 2 2 2" xfId="5323" xr:uid="{00000000-0005-0000-0000-000078190000}"/>
    <cellStyle name="Normal 20 2 3 2 2 2 2 2" xfId="12552" xr:uid="{00000000-0005-0000-0000-000079190000}"/>
    <cellStyle name="Normal 20 2 3 2 2 2 3" xfId="10725" xr:uid="{00000000-0005-0000-0000-00007A190000}"/>
    <cellStyle name="Normal 20 2 3 2 2 3" xfId="5322" xr:uid="{00000000-0005-0000-0000-00007B190000}"/>
    <cellStyle name="Normal 20 2 3 2 2 3 2" xfId="12551" xr:uid="{00000000-0005-0000-0000-00007C190000}"/>
    <cellStyle name="Normal 20 2 3 2 2 4" xfId="8987" xr:uid="{00000000-0005-0000-0000-00007D190000}"/>
    <cellStyle name="Normal 20 2 3 2 3" xfId="2629" xr:uid="{00000000-0005-0000-0000-00007E190000}"/>
    <cellStyle name="Normal 20 2 3 2 3 2" xfId="5324" xr:uid="{00000000-0005-0000-0000-00007F190000}"/>
    <cellStyle name="Normal 20 2 3 2 3 2 2" xfId="12553" xr:uid="{00000000-0005-0000-0000-000080190000}"/>
    <cellStyle name="Normal 20 2 3 2 3 3" xfId="9858" xr:uid="{00000000-0005-0000-0000-000081190000}"/>
    <cellStyle name="Normal 20 2 3 2 4" xfId="5321" xr:uid="{00000000-0005-0000-0000-000082190000}"/>
    <cellStyle name="Normal 20 2 3 2 4 2" xfId="12550" xr:uid="{00000000-0005-0000-0000-000083190000}"/>
    <cellStyle name="Normal 20 2 3 2 5" xfId="8120" xr:uid="{00000000-0005-0000-0000-000084190000}"/>
    <cellStyle name="Normal 20 2 3 3" xfId="1326" xr:uid="{00000000-0005-0000-0000-000085190000}"/>
    <cellStyle name="Normal 20 2 3 3 2" xfId="3065" xr:uid="{00000000-0005-0000-0000-000086190000}"/>
    <cellStyle name="Normal 20 2 3 3 2 2" xfId="5326" xr:uid="{00000000-0005-0000-0000-000087190000}"/>
    <cellStyle name="Normal 20 2 3 3 2 2 2" xfId="12555" xr:uid="{00000000-0005-0000-0000-000088190000}"/>
    <cellStyle name="Normal 20 2 3 3 2 3" xfId="10294" xr:uid="{00000000-0005-0000-0000-000089190000}"/>
    <cellStyle name="Normal 20 2 3 3 3" xfId="5325" xr:uid="{00000000-0005-0000-0000-00008A190000}"/>
    <cellStyle name="Normal 20 2 3 3 3 2" xfId="12554" xr:uid="{00000000-0005-0000-0000-00008B190000}"/>
    <cellStyle name="Normal 20 2 3 3 4" xfId="8556" xr:uid="{00000000-0005-0000-0000-00008C190000}"/>
    <cellStyle name="Normal 20 2 3 4" xfId="2198" xr:uid="{00000000-0005-0000-0000-00008D190000}"/>
    <cellStyle name="Normal 20 2 3 4 2" xfId="5327" xr:uid="{00000000-0005-0000-0000-00008E190000}"/>
    <cellStyle name="Normal 20 2 3 4 2 2" xfId="12556" xr:uid="{00000000-0005-0000-0000-00008F190000}"/>
    <cellStyle name="Normal 20 2 3 4 3" xfId="9427" xr:uid="{00000000-0005-0000-0000-000090190000}"/>
    <cellStyle name="Normal 20 2 3 5" xfId="5320" xr:uid="{00000000-0005-0000-0000-000091190000}"/>
    <cellStyle name="Normal 20 2 3 5 2" xfId="12549" xr:uid="{00000000-0005-0000-0000-000092190000}"/>
    <cellStyle name="Normal 20 2 3 6" xfId="7689" xr:uid="{00000000-0005-0000-0000-000093190000}"/>
    <cellStyle name="Normal 20 2 4" xfId="663" xr:uid="{00000000-0005-0000-0000-000094190000}"/>
    <cellStyle name="Normal 20 2 4 2" xfId="1539" xr:uid="{00000000-0005-0000-0000-000095190000}"/>
    <cellStyle name="Normal 20 2 4 2 2" xfId="3278" xr:uid="{00000000-0005-0000-0000-000096190000}"/>
    <cellStyle name="Normal 20 2 4 2 2 2" xfId="5330" xr:uid="{00000000-0005-0000-0000-000097190000}"/>
    <cellStyle name="Normal 20 2 4 2 2 2 2" xfId="12559" xr:uid="{00000000-0005-0000-0000-000098190000}"/>
    <cellStyle name="Normal 20 2 4 2 2 3" xfId="10507" xr:uid="{00000000-0005-0000-0000-000099190000}"/>
    <cellStyle name="Normal 20 2 4 2 3" xfId="5329" xr:uid="{00000000-0005-0000-0000-00009A190000}"/>
    <cellStyle name="Normal 20 2 4 2 3 2" xfId="12558" xr:uid="{00000000-0005-0000-0000-00009B190000}"/>
    <cellStyle name="Normal 20 2 4 2 4" xfId="8769" xr:uid="{00000000-0005-0000-0000-00009C190000}"/>
    <cellStyle name="Normal 20 2 4 3" xfId="2411" xr:uid="{00000000-0005-0000-0000-00009D190000}"/>
    <cellStyle name="Normal 20 2 4 3 2" xfId="5331" xr:uid="{00000000-0005-0000-0000-00009E190000}"/>
    <cellStyle name="Normal 20 2 4 3 2 2" xfId="12560" xr:uid="{00000000-0005-0000-0000-00009F190000}"/>
    <cellStyle name="Normal 20 2 4 3 3" xfId="9640" xr:uid="{00000000-0005-0000-0000-0000A0190000}"/>
    <cellStyle name="Normal 20 2 4 4" xfId="5328" xr:uid="{00000000-0005-0000-0000-0000A1190000}"/>
    <cellStyle name="Normal 20 2 4 4 2" xfId="12557" xr:uid="{00000000-0005-0000-0000-0000A2190000}"/>
    <cellStyle name="Normal 20 2 4 5" xfId="7902" xr:uid="{00000000-0005-0000-0000-0000A3190000}"/>
    <cellStyle name="Normal 20 2 5" xfId="1108" xr:uid="{00000000-0005-0000-0000-0000A4190000}"/>
    <cellStyle name="Normal 20 2 5 2" xfId="2847" xr:uid="{00000000-0005-0000-0000-0000A5190000}"/>
    <cellStyle name="Normal 20 2 5 2 2" xfId="5333" xr:uid="{00000000-0005-0000-0000-0000A6190000}"/>
    <cellStyle name="Normal 20 2 5 2 2 2" xfId="12562" xr:uid="{00000000-0005-0000-0000-0000A7190000}"/>
    <cellStyle name="Normal 20 2 5 2 3" xfId="10076" xr:uid="{00000000-0005-0000-0000-0000A8190000}"/>
    <cellStyle name="Normal 20 2 5 3" xfId="5332" xr:uid="{00000000-0005-0000-0000-0000A9190000}"/>
    <cellStyle name="Normal 20 2 5 3 2" xfId="12561" xr:uid="{00000000-0005-0000-0000-0000AA190000}"/>
    <cellStyle name="Normal 20 2 5 4" xfId="8338" xr:uid="{00000000-0005-0000-0000-0000AB190000}"/>
    <cellStyle name="Normal 20 2 6" xfId="1980" xr:uid="{00000000-0005-0000-0000-0000AC190000}"/>
    <cellStyle name="Normal 20 2 6 2" xfId="5334" xr:uid="{00000000-0005-0000-0000-0000AD190000}"/>
    <cellStyle name="Normal 20 2 6 2 2" xfId="12563" xr:uid="{00000000-0005-0000-0000-0000AE190000}"/>
    <cellStyle name="Normal 20 2 6 3" xfId="9209" xr:uid="{00000000-0005-0000-0000-0000AF190000}"/>
    <cellStyle name="Normal 20 2 7" xfId="5303" xr:uid="{00000000-0005-0000-0000-0000B0190000}"/>
    <cellStyle name="Normal 20 2 7 2" xfId="12532" xr:uid="{00000000-0005-0000-0000-0000B1190000}"/>
    <cellStyle name="Normal 20 2 8" xfId="7469" xr:uid="{00000000-0005-0000-0000-0000B2190000}"/>
    <cellStyle name="Normal 20 3" xfId="217" xr:uid="{00000000-0005-0000-0000-0000B3190000}"/>
    <cellStyle name="Normal 20 3 2" xfId="341" xr:uid="{00000000-0005-0000-0000-0000B4190000}"/>
    <cellStyle name="Normal 20 3 2 2" xfId="567" xr:uid="{00000000-0005-0000-0000-0000B5190000}"/>
    <cellStyle name="Normal 20 3 2 2 2" xfId="1013" xr:uid="{00000000-0005-0000-0000-0000B6190000}"/>
    <cellStyle name="Normal 20 3 2 2 2 2" xfId="1880" xr:uid="{00000000-0005-0000-0000-0000B7190000}"/>
    <cellStyle name="Normal 20 3 2 2 2 2 2" xfId="3619" xr:uid="{00000000-0005-0000-0000-0000B8190000}"/>
    <cellStyle name="Normal 20 3 2 2 2 2 2 2" xfId="5340" xr:uid="{00000000-0005-0000-0000-0000B9190000}"/>
    <cellStyle name="Normal 20 3 2 2 2 2 2 2 2" xfId="12569" xr:uid="{00000000-0005-0000-0000-0000BA190000}"/>
    <cellStyle name="Normal 20 3 2 2 2 2 2 3" xfId="10848" xr:uid="{00000000-0005-0000-0000-0000BB190000}"/>
    <cellStyle name="Normal 20 3 2 2 2 2 3" xfId="5339" xr:uid="{00000000-0005-0000-0000-0000BC190000}"/>
    <cellStyle name="Normal 20 3 2 2 2 2 3 2" xfId="12568" xr:uid="{00000000-0005-0000-0000-0000BD190000}"/>
    <cellStyle name="Normal 20 3 2 2 2 2 4" xfId="9110" xr:uid="{00000000-0005-0000-0000-0000BE190000}"/>
    <cellStyle name="Normal 20 3 2 2 2 3" xfId="2752" xr:uid="{00000000-0005-0000-0000-0000BF190000}"/>
    <cellStyle name="Normal 20 3 2 2 2 3 2" xfId="5341" xr:uid="{00000000-0005-0000-0000-0000C0190000}"/>
    <cellStyle name="Normal 20 3 2 2 2 3 2 2" xfId="12570" xr:uid="{00000000-0005-0000-0000-0000C1190000}"/>
    <cellStyle name="Normal 20 3 2 2 2 3 3" xfId="9981" xr:uid="{00000000-0005-0000-0000-0000C2190000}"/>
    <cellStyle name="Normal 20 3 2 2 2 4" xfId="5338" xr:uid="{00000000-0005-0000-0000-0000C3190000}"/>
    <cellStyle name="Normal 20 3 2 2 2 4 2" xfId="12567" xr:uid="{00000000-0005-0000-0000-0000C4190000}"/>
    <cellStyle name="Normal 20 3 2 2 2 5" xfId="8243" xr:uid="{00000000-0005-0000-0000-0000C5190000}"/>
    <cellStyle name="Normal 20 3 2 2 3" xfId="1449" xr:uid="{00000000-0005-0000-0000-0000C6190000}"/>
    <cellStyle name="Normal 20 3 2 2 3 2" xfId="3188" xr:uid="{00000000-0005-0000-0000-0000C7190000}"/>
    <cellStyle name="Normal 20 3 2 2 3 2 2" xfId="5343" xr:uid="{00000000-0005-0000-0000-0000C8190000}"/>
    <cellStyle name="Normal 20 3 2 2 3 2 2 2" xfId="12572" xr:uid="{00000000-0005-0000-0000-0000C9190000}"/>
    <cellStyle name="Normal 20 3 2 2 3 2 3" xfId="10417" xr:uid="{00000000-0005-0000-0000-0000CA190000}"/>
    <cellStyle name="Normal 20 3 2 2 3 3" xfId="5342" xr:uid="{00000000-0005-0000-0000-0000CB190000}"/>
    <cellStyle name="Normal 20 3 2 2 3 3 2" xfId="12571" xr:uid="{00000000-0005-0000-0000-0000CC190000}"/>
    <cellStyle name="Normal 20 3 2 2 3 4" xfId="8679" xr:uid="{00000000-0005-0000-0000-0000CD190000}"/>
    <cellStyle name="Normal 20 3 2 2 4" xfId="2321" xr:uid="{00000000-0005-0000-0000-0000CE190000}"/>
    <cellStyle name="Normal 20 3 2 2 4 2" xfId="5344" xr:uid="{00000000-0005-0000-0000-0000CF190000}"/>
    <cellStyle name="Normal 20 3 2 2 4 2 2" xfId="12573" xr:uid="{00000000-0005-0000-0000-0000D0190000}"/>
    <cellStyle name="Normal 20 3 2 2 4 3" xfId="9550" xr:uid="{00000000-0005-0000-0000-0000D1190000}"/>
    <cellStyle name="Normal 20 3 2 2 5" xfId="5337" xr:uid="{00000000-0005-0000-0000-0000D2190000}"/>
    <cellStyle name="Normal 20 3 2 2 5 2" xfId="12566" xr:uid="{00000000-0005-0000-0000-0000D3190000}"/>
    <cellStyle name="Normal 20 3 2 2 6" xfId="7812" xr:uid="{00000000-0005-0000-0000-0000D4190000}"/>
    <cellStyle name="Normal 20 3 2 3" xfId="789" xr:uid="{00000000-0005-0000-0000-0000D5190000}"/>
    <cellStyle name="Normal 20 3 2 3 2" xfId="1662" xr:uid="{00000000-0005-0000-0000-0000D6190000}"/>
    <cellStyle name="Normal 20 3 2 3 2 2" xfId="3401" xr:uid="{00000000-0005-0000-0000-0000D7190000}"/>
    <cellStyle name="Normal 20 3 2 3 2 2 2" xfId="5347" xr:uid="{00000000-0005-0000-0000-0000D8190000}"/>
    <cellStyle name="Normal 20 3 2 3 2 2 2 2" xfId="12576" xr:uid="{00000000-0005-0000-0000-0000D9190000}"/>
    <cellStyle name="Normal 20 3 2 3 2 2 3" xfId="10630" xr:uid="{00000000-0005-0000-0000-0000DA190000}"/>
    <cellStyle name="Normal 20 3 2 3 2 3" xfId="5346" xr:uid="{00000000-0005-0000-0000-0000DB190000}"/>
    <cellStyle name="Normal 20 3 2 3 2 3 2" xfId="12575" xr:uid="{00000000-0005-0000-0000-0000DC190000}"/>
    <cellStyle name="Normal 20 3 2 3 2 4" xfId="8892" xr:uid="{00000000-0005-0000-0000-0000DD190000}"/>
    <cellStyle name="Normal 20 3 2 3 3" xfId="2534" xr:uid="{00000000-0005-0000-0000-0000DE190000}"/>
    <cellStyle name="Normal 20 3 2 3 3 2" xfId="5348" xr:uid="{00000000-0005-0000-0000-0000DF190000}"/>
    <cellStyle name="Normal 20 3 2 3 3 2 2" xfId="12577" xr:uid="{00000000-0005-0000-0000-0000E0190000}"/>
    <cellStyle name="Normal 20 3 2 3 3 3" xfId="9763" xr:uid="{00000000-0005-0000-0000-0000E1190000}"/>
    <cellStyle name="Normal 20 3 2 3 4" xfId="5345" xr:uid="{00000000-0005-0000-0000-0000E2190000}"/>
    <cellStyle name="Normal 20 3 2 3 4 2" xfId="12574" xr:uid="{00000000-0005-0000-0000-0000E3190000}"/>
    <cellStyle name="Normal 20 3 2 3 5" xfId="8025" xr:uid="{00000000-0005-0000-0000-0000E4190000}"/>
    <cellStyle name="Normal 20 3 2 4" xfId="1231" xr:uid="{00000000-0005-0000-0000-0000E5190000}"/>
    <cellStyle name="Normal 20 3 2 4 2" xfId="2970" xr:uid="{00000000-0005-0000-0000-0000E6190000}"/>
    <cellStyle name="Normal 20 3 2 4 2 2" xfId="5350" xr:uid="{00000000-0005-0000-0000-0000E7190000}"/>
    <cellStyle name="Normal 20 3 2 4 2 2 2" xfId="12579" xr:uid="{00000000-0005-0000-0000-0000E8190000}"/>
    <cellStyle name="Normal 20 3 2 4 2 3" xfId="10199" xr:uid="{00000000-0005-0000-0000-0000E9190000}"/>
    <cellStyle name="Normal 20 3 2 4 3" xfId="5349" xr:uid="{00000000-0005-0000-0000-0000EA190000}"/>
    <cellStyle name="Normal 20 3 2 4 3 2" xfId="12578" xr:uid="{00000000-0005-0000-0000-0000EB190000}"/>
    <cellStyle name="Normal 20 3 2 4 4" xfId="8461" xr:uid="{00000000-0005-0000-0000-0000EC190000}"/>
    <cellStyle name="Normal 20 3 2 5" xfId="2103" xr:uid="{00000000-0005-0000-0000-0000ED190000}"/>
    <cellStyle name="Normal 20 3 2 5 2" xfId="5351" xr:uid="{00000000-0005-0000-0000-0000EE190000}"/>
    <cellStyle name="Normal 20 3 2 5 2 2" xfId="12580" xr:uid="{00000000-0005-0000-0000-0000EF190000}"/>
    <cellStyle name="Normal 20 3 2 5 3" xfId="9332" xr:uid="{00000000-0005-0000-0000-0000F0190000}"/>
    <cellStyle name="Normal 20 3 2 6" xfId="5336" xr:uid="{00000000-0005-0000-0000-0000F1190000}"/>
    <cellStyle name="Normal 20 3 2 6 2" xfId="12565" xr:uid="{00000000-0005-0000-0000-0000F2190000}"/>
    <cellStyle name="Normal 20 3 2 7" xfId="7594" xr:uid="{00000000-0005-0000-0000-0000F3190000}"/>
    <cellStyle name="Normal 20 3 3" xfId="465" xr:uid="{00000000-0005-0000-0000-0000F4190000}"/>
    <cellStyle name="Normal 20 3 3 2" xfId="911" xr:uid="{00000000-0005-0000-0000-0000F5190000}"/>
    <cellStyle name="Normal 20 3 3 2 2" xfId="1778" xr:uid="{00000000-0005-0000-0000-0000F6190000}"/>
    <cellStyle name="Normal 20 3 3 2 2 2" xfId="3517" xr:uid="{00000000-0005-0000-0000-0000F7190000}"/>
    <cellStyle name="Normal 20 3 3 2 2 2 2" xfId="5355" xr:uid="{00000000-0005-0000-0000-0000F8190000}"/>
    <cellStyle name="Normal 20 3 3 2 2 2 2 2" xfId="12584" xr:uid="{00000000-0005-0000-0000-0000F9190000}"/>
    <cellStyle name="Normal 20 3 3 2 2 2 3" xfId="10746" xr:uid="{00000000-0005-0000-0000-0000FA190000}"/>
    <cellStyle name="Normal 20 3 3 2 2 3" xfId="5354" xr:uid="{00000000-0005-0000-0000-0000FB190000}"/>
    <cellStyle name="Normal 20 3 3 2 2 3 2" xfId="12583" xr:uid="{00000000-0005-0000-0000-0000FC190000}"/>
    <cellStyle name="Normal 20 3 3 2 2 4" xfId="9008" xr:uid="{00000000-0005-0000-0000-0000FD190000}"/>
    <cellStyle name="Normal 20 3 3 2 3" xfId="2650" xr:uid="{00000000-0005-0000-0000-0000FE190000}"/>
    <cellStyle name="Normal 20 3 3 2 3 2" xfId="5356" xr:uid="{00000000-0005-0000-0000-0000FF190000}"/>
    <cellStyle name="Normal 20 3 3 2 3 2 2" xfId="12585" xr:uid="{00000000-0005-0000-0000-0000001A0000}"/>
    <cellStyle name="Normal 20 3 3 2 3 3" xfId="9879" xr:uid="{00000000-0005-0000-0000-0000011A0000}"/>
    <cellStyle name="Normal 20 3 3 2 4" xfId="5353" xr:uid="{00000000-0005-0000-0000-0000021A0000}"/>
    <cellStyle name="Normal 20 3 3 2 4 2" xfId="12582" xr:uid="{00000000-0005-0000-0000-0000031A0000}"/>
    <cellStyle name="Normal 20 3 3 2 5" xfId="8141" xr:uid="{00000000-0005-0000-0000-0000041A0000}"/>
    <cellStyle name="Normal 20 3 3 3" xfId="1347" xr:uid="{00000000-0005-0000-0000-0000051A0000}"/>
    <cellStyle name="Normal 20 3 3 3 2" xfId="3086" xr:uid="{00000000-0005-0000-0000-0000061A0000}"/>
    <cellStyle name="Normal 20 3 3 3 2 2" xfId="5358" xr:uid="{00000000-0005-0000-0000-0000071A0000}"/>
    <cellStyle name="Normal 20 3 3 3 2 2 2" xfId="12587" xr:uid="{00000000-0005-0000-0000-0000081A0000}"/>
    <cellStyle name="Normal 20 3 3 3 2 3" xfId="10315" xr:uid="{00000000-0005-0000-0000-0000091A0000}"/>
    <cellStyle name="Normal 20 3 3 3 3" xfId="5357" xr:uid="{00000000-0005-0000-0000-00000A1A0000}"/>
    <cellStyle name="Normal 20 3 3 3 3 2" xfId="12586" xr:uid="{00000000-0005-0000-0000-00000B1A0000}"/>
    <cellStyle name="Normal 20 3 3 3 4" xfId="8577" xr:uid="{00000000-0005-0000-0000-00000C1A0000}"/>
    <cellStyle name="Normal 20 3 3 4" xfId="2219" xr:uid="{00000000-0005-0000-0000-00000D1A0000}"/>
    <cellStyle name="Normal 20 3 3 4 2" xfId="5359" xr:uid="{00000000-0005-0000-0000-00000E1A0000}"/>
    <cellStyle name="Normal 20 3 3 4 2 2" xfId="12588" xr:uid="{00000000-0005-0000-0000-00000F1A0000}"/>
    <cellStyle name="Normal 20 3 3 4 3" xfId="9448" xr:uid="{00000000-0005-0000-0000-0000101A0000}"/>
    <cellStyle name="Normal 20 3 3 5" xfId="5352" xr:uid="{00000000-0005-0000-0000-0000111A0000}"/>
    <cellStyle name="Normal 20 3 3 5 2" xfId="12581" xr:uid="{00000000-0005-0000-0000-0000121A0000}"/>
    <cellStyle name="Normal 20 3 3 6" xfId="7710" xr:uid="{00000000-0005-0000-0000-0000131A0000}"/>
    <cellStyle name="Normal 20 3 4" xfId="687" xr:uid="{00000000-0005-0000-0000-0000141A0000}"/>
    <cellStyle name="Normal 20 3 4 2" xfId="1560" xr:uid="{00000000-0005-0000-0000-0000151A0000}"/>
    <cellStyle name="Normal 20 3 4 2 2" xfId="3299" xr:uid="{00000000-0005-0000-0000-0000161A0000}"/>
    <cellStyle name="Normal 20 3 4 2 2 2" xfId="5362" xr:uid="{00000000-0005-0000-0000-0000171A0000}"/>
    <cellStyle name="Normal 20 3 4 2 2 2 2" xfId="12591" xr:uid="{00000000-0005-0000-0000-0000181A0000}"/>
    <cellStyle name="Normal 20 3 4 2 2 3" xfId="10528" xr:uid="{00000000-0005-0000-0000-0000191A0000}"/>
    <cellStyle name="Normal 20 3 4 2 3" xfId="5361" xr:uid="{00000000-0005-0000-0000-00001A1A0000}"/>
    <cellStyle name="Normal 20 3 4 2 3 2" xfId="12590" xr:uid="{00000000-0005-0000-0000-00001B1A0000}"/>
    <cellStyle name="Normal 20 3 4 2 4" xfId="8790" xr:uid="{00000000-0005-0000-0000-00001C1A0000}"/>
    <cellStyle name="Normal 20 3 4 3" xfId="2432" xr:uid="{00000000-0005-0000-0000-00001D1A0000}"/>
    <cellStyle name="Normal 20 3 4 3 2" xfId="5363" xr:uid="{00000000-0005-0000-0000-00001E1A0000}"/>
    <cellStyle name="Normal 20 3 4 3 2 2" xfId="12592" xr:uid="{00000000-0005-0000-0000-00001F1A0000}"/>
    <cellStyle name="Normal 20 3 4 3 3" xfId="9661" xr:uid="{00000000-0005-0000-0000-0000201A0000}"/>
    <cellStyle name="Normal 20 3 4 4" xfId="5360" xr:uid="{00000000-0005-0000-0000-0000211A0000}"/>
    <cellStyle name="Normal 20 3 4 4 2" xfId="12589" xr:uid="{00000000-0005-0000-0000-0000221A0000}"/>
    <cellStyle name="Normal 20 3 4 5" xfId="7923" xr:uid="{00000000-0005-0000-0000-0000231A0000}"/>
    <cellStyle name="Normal 20 3 5" xfId="1129" xr:uid="{00000000-0005-0000-0000-0000241A0000}"/>
    <cellStyle name="Normal 20 3 5 2" xfId="2868" xr:uid="{00000000-0005-0000-0000-0000251A0000}"/>
    <cellStyle name="Normal 20 3 5 2 2" xfId="5365" xr:uid="{00000000-0005-0000-0000-0000261A0000}"/>
    <cellStyle name="Normal 20 3 5 2 2 2" xfId="12594" xr:uid="{00000000-0005-0000-0000-0000271A0000}"/>
    <cellStyle name="Normal 20 3 5 2 3" xfId="10097" xr:uid="{00000000-0005-0000-0000-0000281A0000}"/>
    <cellStyle name="Normal 20 3 5 3" xfId="5364" xr:uid="{00000000-0005-0000-0000-0000291A0000}"/>
    <cellStyle name="Normal 20 3 5 3 2" xfId="12593" xr:uid="{00000000-0005-0000-0000-00002A1A0000}"/>
    <cellStyle name="Normal 20 3 5 4" xfId="8359" xr:uid="{00000000-0005-0000-0000-00002B1A0000}"/>
    <cellStyle name="Normal 20 3 6" xfId="2001" xr:uid="{00000000-0005-0000-0000-00002C1A0000}"/>
    <cellStyle name="Normal 20 3 6 2" xfId="5366" xr:uid="{00000000-0005-0000-0000-00002D1A0000}"/>
    <cellStyle name="Normal 20 3 6 2 2" xfId="12595" xr:uid="{00000000-0005-0000-0000-00002E1A0000}"/>
    <cellStyle name="Normal 20 3 6 3" xfId="9230" xr:uid="{00000000-0005-0000-0000-00002F1A0000}"/>
    <cellStyle name="Normal 20 3 7" xfId="5335" xr:uid="{00000000-0005-0000-0000-0000301A0000}"/>
    <cellStyle name="Normal 20 3 7 2" xfId="12564" xr:uid="{00000000-0005-0000-0000-0000311A0000}"/>
    <cellStyle name="Normal 20 3 8" xfId="7492" xr:uid="{00000000-0005-0000-0000-0000321A0000}"/>
    <cellStyle name="Normal 20 4" xfId="287" xr:uid="{00000000-0005-0000-0000-0000331A0000}"/>
    <cellStyle name="Normal 20 4 2" xfId="513" xr:uid="{00000000-0005-0000-0000-0000341A0000}"/>
    <cellStyle name="Normal 20 4 2 2" xfId="959" xr:uid="{00000000-0005-0000-0000-0000351A0000}"/>
    <cellStyle name="Normal 20 4 2 2 2" xfId="1826" xr:uid="{00000000-0005-0000-0000-0000361A0000}"/>
    <cellStyle name="Normal 20 4 2 2 2 2" xfId="3565" xr:uid="{00000000-0005-0000-0000-0000371A0000}"/>
    <cellStyle name="Normal 20 4 2 2 2 2 2" xfId="5371" xr:uid="{00000000-0005-0000-0000-0000381A0000}"/>
    <cellStyle name="Normal 20 4 2 2 2 2 2 2" xfId="12600" xr:uid="{00000000-0005-0000-0000-0000391A0000}"/>
    <cellStyle name="Normal 20 4 2 2 2 2 3" xfId="10794" xr:uid="{00000000-0005-0000-0000-00003A1A0000}"/>
    <cellStyle name="Normal 20 4 2 2 2 3" xfId="5370" xr:uid="{00000000-0005-0000-0000-00003B1A0000}"/>
    <cellStyle name="Normal 20 4 2 2 2 3 2" xfId="12599" xr:uid="{00000000-0005-0000-0000-00003C1A0000}"/>
    <cellStyle name="Normal 20 4 2 2 2 4" xfId="9056" xr:uid="{00000000-0005-0000-0000-00003D1A0000}"/>
    <cellStyle name="Normal 20 4 2 2 3" xfId="2698" xr:uid="{00000000-0005-0000-0000-00003E1A0000}"/>
    <cellStyle name="Normal 20 4 2 2 3 2" xfId="5372" xr:uid="{00000000-0005-0000-0000-00003F1A0000}"/>
    <cellStyle name="Normal 20 4 2 2 3 2 2" xfId="12601" xr:uid="{00000000-0005-0000-0000-0000401A0000}"/>
    <cellStyle name="Normal 20 4 2 2 3 3" xfId="9927" xr:uid="{00000000-0005-0000-0000-0000411A0000}"/>
    <cellStyle name="Normal 20 4 2 2 4" xfId="5369" xr:uid="{00000000-0005-0000-0000-0000421A0000}"/>
    <cellStyle name="Normal 20 4 2 2 4 2" xfId="12598" xr:uid="{00000000-0005-0000-0000-0000431A0000}"/>
    <cellStyle name="Normal 20 4 2 2 5" xfId="8189" xr:uid="{00000000-0005-0000-0000-0000441A0000}"/>
    <cellStyle name="Normal 20 4 2 3" xfId="1395" xr:uid="{00000000-0005-0000-0000-0000451A0000}"/>
    <cellStyle name="Normal 20 4 2 3 2" xfId="3134" xr:uid="{00000000-0005-0000-0000-0000461A0000}"/>
    <cellStyle name="Normal 20 4 2 3 2 2" xfId="5374" xr:uid="{00000000-0005-0000-0000-0000471A0000}"/>
    <cellStyle name="Normal 20 4 2 3 2 2 2" xfId="12603" xr:uid="{00000000-0005-0000-0000-0000481A0000}"/>
    <cellStyle name="Normal 20 4 2 3 2 3" xfId="10363" xr:uid="{00000000-0005-0000-0000-0000491A0000}"/>
    <cellStyle name="Normal 20 4 2 3 3" xfId="5373" xr:uid="{00000000-0005-0000-0000-00004A1A0000}"/>
    <cellStyle name="Normal 20 4 2 3 3 2" xfId="12602" xr:uid="{00000000-0005-0000-0000-00004B1A0000}"/>
    <cellStyle name="Normal 20 4 2 3 4" xfId="8625" xr:uid="{00000000-0005-0000-0000-00004C1A0000}"/>
    <cellStyle name="Normal 20 4 2 4" xfId="2267" xr:uid="{00000000-0005-0000-0000-00004D1A0000}"/>
    <cellStyle name="Normal 20 4 2 4 2" xfId="5375" xr:uid="{00000000-0005-0000-0000-00004E1A0000}"/>
    <cellStyle name="Normal 20 4 2 4 2 2" xfId="12604" xr:uid="{00000000-0005-0000-0000-00004F1A0000}"/>
    <cellStyle name="Normal 20 4 2 4 3" xfId="9496" xr:uid="{00000000-0005-0000-0000-0000501A0000}"/>
    <cellStyle name="Normal 20 4 2 5" xfId="5368" xr:uid="{00000000-0005-0000-0000-0000511A0000}"/>
    <cellStyle name="Normal 20 4 2 5 2" xfId="12597" xr:uid="{00000000-0005-0000-0000-0000521A0000}"/>
    <cellStyle name="Normal 20 4 2 6" xfId="7758" xr:uid="{00000000-0005-0000-0000-0000531A0000}"/>
    <cellStyle name="Normal 20 4 3" xfId="735" xr:uid="{00000000-0005-0000-0000-0000541A0000}"/>
    <cellStyle name="Normal 20 4 3 2" xfId="1608" xr:uid="{00000000-0005-0000-0000-0000551A0000}"/>
    <cellStyle name="Normal 20 4 3 2 2" xfId="3347" xr:uid="{00000000-0005-0000-0000-0000561A0000}"/>
    <cellStyle name="Normal 20 4 3 2 2 2" xfId="5378" xr:uid="{00000000-0005-0000-0000-0000571A0000}"/>
    <cellStyle name="Normal 20 4 3 2 2 2 2" xfId="12607" xr:uid="{00000000-0005-0000-0000-0000581A0000}"/>
    <cellStyle name="Normal 20 4 3 2 2 3" xfId="10576" xr:uid="{00000000-0005-0000-0000-0000591A0000}"/>
    <cellStyle name="Normal 20 4 3 2 3" xfId="5377" xr:uid="{00000000-0005-0000-0000-00005A1A0000}"/>
    <cellStyle name="Normal 20 4 3 2 3 2" xfId="12606" xr:uid="{00000000-0005-0000-0000-00005B1A0000}"/>
    <cellStyle name="Normal 20 4 3 2 4" xfId="8838" xr:uid="{00000000-0005-0000-0000-00005C1A0000}"/>
    <cellStyle name="Normal 20 4 3 3" xfId="2480" xr:uid="{00000000-0005-0000-0000-00005D1A0000}"/>
    <cellStyle name="Normal 20 4 3 3 2" xfId="5379" xr:uid="{00000000-0005-0000-0000-00005E1A0000}"/>
    <cellStyle name="Normal 20 4 3 3 2 2" xfId="12608" xr:uid="{00000000-0005-0000-0000-00005F1A0000}"/>
    <cellStyle name="Normal 20 4 3 3 3" xfId="9709" xr:uid="{00000000-0005-0000-0000-0000601A0000}"/>
    <cellStyle name="Normal 20 4 3 4" xfId="5376" xr:uid="{00000000-0005-0000-0000-0000611A0000}"/>
    <cellStyle name="Normal 20 4 3 4 2" xfId="12605" xr:uid="{00000000-0005-0000-0000-0000621A0000}"/>
    <cellStyle name="Normal 20 4 3 5" xfId="7971" xr:uid="{00000000-0005-0000-0000-0000631A0000}"/>
    <cellStyle name="Normal 20 4 4" xfId="1177" xr:uid="{00000000-0005-0000-0000-0000641A0000}"/>
    <cellStyle name="Normal 20 4 4 2" xfId="2916" xr:uid="{00000000-0005-0000-0000-0000651A0000}"/>
    <cellStyle name="Normal 20 4 4 2 2" xfId="5381" xr:uid="{00000000-0005-0000-0000-0000661A0000}"/>
    <cellStyle name="Normal 20 4 4 2 2 2" xfId="12610" xr:uid="{00000000-0005-0000-0000-0000671A0000}"/>
    <cellStyle name="Normal 20 4 4 2 3" xfId="10145" xr:uid="{00000000-0005-0000-0000-0000681A0000}"/>
    <cellStyle name="Normal 20 4 4 3" xfId="5380" xr:uid="{00000000-0005-0000-0000-0000691A0000}"/>
    <cellStyle name="Normal 20 4 4 3 2" xfId="12609" xr:uid="{00000000-0005-0000-0000-00006A1A0000}"/>
    <cellStyle name="Normal 20 4 4 4" xfId="8407" xr:uid="{00000000-0005-0000-0000-00006B1A0000}"/>
    <cellStyle name="Normal 20 4 5" xfId="2049" xr:uid="{00000000-0005-0000-0000-00006C1A0000}"/>
    <cellStyle name="Normal 20 4 5 2" xfId="5382" xr:uid="{00000000-0005-0000-0000-00006D1A0000}"/>
    <cellStyle name="Normal 20 4 5 2 2" xfId="12611" xr:uid="{00000000-0005-0000-0000-00006E1A0000}"/>
    <cellStyle name="Normal 20 4 5 3" xfId="9278" xr:uid="{00000000-0005-0000-0000-00006F1A0000}"/>
    <cellStyle name="Normal 20 4 6" xfId="5367" xr:uid="{00000000-0005-0000-0000-0000701A0000}"/>
    <cellStyle name="Normal 20 4 6 2" xfId="12596" xr:uid="{00000000-0005-0000-0000-0000711A0000}"/>
    <cellStyle name="Normal 20 4 7" xfId="7540" xr:uid="{00000000-0005-0000-0000-0000721A0000}"/>
    <cellStyle name="Normal 20 5" xfId="411" xr:uid="{00000000-0005-0000-0000-0000731A0000}"/>
    <cellStyle name="Normal 20 5 2" xfId="857" xr:uid="{00000000-0005-0000-0000-0000741A0000}"/>
    <cellStyle name="Normal 20 5 2 2" xfId="1724" xr:uid="{00000000-0005-0000-0000-0000751A0000}"/>
    <cellStyle name="Normal 20 5 2 2 2" xfId="3463" xr:uid="{00000000-0005-0000-0000-0000761A0000}"/>
    <cellStyle name="Normal 20 5 2 2 2 2" xfId="5386" xr:uid="{00000000-0005-0000-0000-0000771A0000}"/>
    <cellStyle name="Normal 20 5 2 2 2 2 2" xfId="12615" xr:uid="{00000000-0005-0000-0000-0000781A0000}"/>
    <cellStyle name="Normal 20 5 2 2 2 3" xfId="10692" xr:uid="{00000000-0005-0000-0000-0000791A0000}"/>
    <cellStyle name="Normal 20 5 2 2 3" xfId="5385" xr:uid="{00000000-0005-0000-0000-00007A1A0000}"/>
    <cellStyle name="Normal 20 5 2 2 3 2" xfId="12614" xr:uid="{00000000-0005-0000-0000-00007B1A0000}"/>
    <cellStyle name="Normal 20 5 2 2 4" xfId="8954" xr:uid="{00000000-0005-0000-0000-00007C1A0000}"/>
    <cellStyle name="Normal 20 5 2 3" xfId="2596" xr:uid="{00000000-0005-0000-0000-00007D1A0000}"/>
    <cellStyle name="Normal 20 5 2 3 2" xfId="5387" xr:uid="{00000000-0005-0000-0000-00007E1A0000}"/>
    <cellStyle name="Normal 20 5 2 3 2 2" xfId="12616" xr:uid="{00000000-0005-0000-0000-00007F1A0000}"/>
    <cellStyle name="Normal 20 5 2 3 3" xfId="9825" xr:uid="{00000000-0005-0000-0000-0000801A0000}"/>
    <cellStyle name="Normal 20 5 2 4" xfId="5384" xr:uid="{00000000-0005-0000-0000-0000811A0000}"/>
    <cellStyle name="Normal 20 5 2 4 2" xfId="12613" xr:uid="{00000000-0005-0000-0000-0000821A0000}"/>
    <cellStyle name="Normal 20 5 2 5" xfId="8087" xr:uid="{00000000-0005-0000-0000-0000831A0000}"/>
    <cellStyle name="Normal 20 5 3" xfId="1293" xr:uid="{00000000-0005-0000-0000-0000841A0000}"/>
    <cellStyle name="Normal 20 5 3 2" xfId="3032" xr:uid="{00000000-0005-0000-0000-0000851A0000}"/>
    <cellStyle name="Normal 20 5 3 2 2" xfId="5389" xr:uid="{00000000-0005-0000-0000-0000861A0000}"/>
    <cellStyle name="Normal 20 5 3 2 2 2" xfId="12618" xr:uid="{00000000-0005-0000-0000-0000871A0000}"/>
    <cellStyle name="Normal 20 5 3 2 3" xfId="10261" xr:uid="{00000000-0005-0000-0000-0000881A0000}"/>
    <cellStyle name="Normal 20 5 3 3" xfId="5388" xr:uid="{00000000-0005-0000-0000-0000891A0000}"/>
    <cellStyle name="Normal 20 5 3 3 2" xfId="12617" xr:uid="{00000000-0005-0000-0000-00008A1A0000}"/>
    <cellStyle name="Normal 20 5 3 4" xfId="8523" xr:uid="{00000000-0005-0000-0000-00008B1A0000}"/>
    <cellStyle name="Normal 20 5 4" xfId="2165" xr:uid="{00000000-0005-0000-0000-00008C1A0000}"/>
    <cellStyle name="Normal 20 5 4 2" xfId="5390" xr:uid="{00000000-0005-0000-0000-00008D1A0000}"/>
    <cellStyle name="Normal 20 5 4 2 2" xfId="12619" xr:uid="{00000000-0005-0000-0000-00008E1A0000}"/>
    <cellStyle name="Normal 20 5 4 3" xfId="9394" xr:uid="{00000000-0005-0000-0000-00008F1A0000}"/>
    <cellStyle name="Normal 20 5 5" xfId="5383" xr:uid="{00000000-0005-0000-0000-0000901A0000}"/>
    <cellStyle name="Normal 20 5 5 2" xfId="12612" xr:uid="{00000000-0005-0000-0000-0000911A0000}"/>
    <cellStyle name="Normal 20 5 6" xfId="7656" xr:uid="{00000000-0005-0000-0000-0000921A0000}"/>
    <cellStyle name="Normal 20 6" xfId="630" xr:uid="{00000000-0005-0000-0000-0000931A0000}"/>
    <cellStyle name="Normal 20 6 2" xfId="1506" xr:uid="{00000000-0005-0000-0000-0000941A0000}"/>
    <cellStyle name="Normal 20 6 2 2" xfId="3245" xr:uid="{00000000-0005-0000-0000-0000951A0000}"/>
    <cellStyle name="Normal 20 6 2 2 2" xfId="5393" xr:uid="{00000000-0005-0000-0000-0000961A0000}"/>
    <cellStyle name="Normal 20 6 2 2 2 2" xfId="12622" xr:uid="{00000000-0005-0000-0000-0000971A0000}"/>
    <cellStyle name="Normal 20 6 2 2 3" xfId="10474" xr:uid="{00000000-0005-0000-0000-0000981A0000}"/>
    <cellStyle name="Normal 20 6 2 3" xfId="5392" xr:uid="{00000000-0005-0000-0000-0000991A0000}"/>
    <cellStyle name="Normal 20 6 2 3 2" xfId="12621" xr:uid="{00000000-0005-0000-0000-00009A1A0000}"/>
    <cellStyle name="Normal 20 6 2 4" xfId="8736" xr:uid="{00000000-0005-0000-0000-00009B1A0000}"/>
    <cellStyle name="Normal 20 6 3" xfId="2378" xr:uid="{00000000-0005-0000-0000-00009C1A0000}"/>
    <cellStyle name="Normal 20 6 3 2" xfId="5394" xr:uid="{00000000-0005-0000-0000-00009D1A0000}"/>
    <cellStyle name="Normal 20 6 3 2 2" xfId="12623" xr:uid="{00000000-0005-0000-0000-00009E1A0000}"/>
    <cellStyle name="Normal 20 6 3 3" xfId="9607" xr:uid="{00000000-0005-0000-0000-00009F1A0000}"/>
    <cellStyle name="Normal 20 6 4" xfId="5391" xr:uid="{00000000-0005-0000-0000-0000A01A0000}"/>
    <cellStyle name="Normal 20 6 4 2" xfId="12620" xr:uid="{00000000-0005-0000-0000-0000A11A0000}"/>
    <cellStyle name="Normal 20 6 5" xfId="7869" xr:uid="{00000000-0005-0000-0000-0000A21A0000}"/>
    <cellStyle name="Normal 20 7" xfId="1075" xr:uid="{00000000-0005-0000-0000-0000A31A0000}"/>
    <cellStyle name="Normal 20 7 2" xfId="2814" xr:uid="{00000000-0005-0000-0000-0000A41A0000}"/>
    <cellStyle name="Normal 20 7 2 2" xfId="5396" xr:uid="{00000000-0005-0000-0000-0000A51A0000}"/>
    <cellStyle name="Normal 20 7 2 2 2" xfId="12625" xr:uid="{00000000-0005-0000-0000-0000A61A0000}"/>
    <cellStyle name="Normal 20 7 2 3" xfId="10043" xr:uid="{00000000-0005-0000-0000-0000A71A0000}"/>
    <cellStyle name="Normal 20 7 3" xfId="5395" xr:uid="{00000000-0005-0000-0000-0000A81A0000}"/>
    <cellStyle name="Normal 20 7 3 2" xfId="12624" xr:uid="{00000000-0005-0000-0000-0000A91A0000}"/>
    <cellStyle name="Normal 20 7 4" xfId="8305" xr:uid="{00000000-0005-0000-0000-0000AA1A0000}"/>
    <cellStyle name="Normal 20 8" xfId="1947" xr:uid="{00000000-0005-0000-0000-0000AB1A0000}"/>
    <cellStyle name="Normal 20 8 2" xfId="5397" xr:uid="{00000000-0005-0000-0000-0000AC1A0000}"/>
    <cellStyle name="Normal 20 8 2 2" xfId="12626" xr:uid="{00000000-0005-0000-0000-0000AD1A0000}"/>
    <cellStyle name="Normal 20 8 3" xfId="9176" xr:uid="{00000000-0005-0000-0000-0000AE1A0000}"/>
    <cellStyle name="Normal 20 9" xfId="5302" xr:uid="{00000000-0005-0000-0000-0000AF1A0000}"/>
    <cellStyle name="Normal 20 9 2" xfId="12531" xr:uid="{00000000-0005-0000-0000-0000B01A0000}"/>
    <cellStyle name="Normal 21" xfId="26" xr:uid="{00000000-0005-0000-0000-0000B11A0000}"/>
    <cellStyle name="Normal 21 2" xfId="5398" xr:uid="{00000000-0005-0000-0000-0000B21A0000}"/>
    <cellStyle name="Normal 21 2 2" xfId="12627" xr:uid="{00000000-0005-0000-0000-0000B31A0000}"/>
    <cellStyle name="Normal 22" xfId="28" xr:uid="{00000000-0005-0000-0000-0000B41A0000}"/>
    <cellStyle name="Normal 22 2" xfId="95" xr:uid="{00000000-0005-0000-0000-0000B51A0000}"/>
    <cellStyle name="Normal 22 2 2" xfId="302" xr:uid="{00000000-0005-0000-0000-0000B61A0000}"/>
    <cellStyle name="Normal 22 2 2 2" xfId="528" xr:uid="{00000000-0005-0000-0000-0000B71A0000}"/>
    <cellStyle name="Normal 22 2 2 2 2" xfId="974" xr:uid="{00000000-0005-0000-0000-0000B81A0000}"/>
    <cellStyle name="Normal 22 2 2 2 2 2" xfId="1841" xr:uid="{00000000-0005-0000-0000-0000B91A0000}"/>
    <cellStyle name="Normal 22 2 2 2 2 2 2" xfId="3580" xr:uid="{00000000-0005-0000-0000-0000BA1A0000}"/>
    <cellStyle name="Normal 22 2 2 2 2 2 2 2" xfId="5405" xr:uid="{00000000-0005-0000-0000-0000BB1A0000}"/>
    <cellStyle name="Normal 22 2 2 2 2 2 2 2 2" xfId="12634" xr:uid="{00000000-0005-0000-0000-0000BC1A0000}"/>
    <cellStyle name="Normal 22 2 2 2 2 2 2 3" xfId="10809" xr:uid="{00000000-0005-0000-0000-0000BD1A0000}"/>
    <cellStyle name="Normal 22 2 2 2 2 2 3" xfId="5404" xr:uid="{00000000-0005-0000-0000-0000BE1A0000}"/>
    <cellStyle name="Normal 22 2 2 2 2 2 3 2" xfId="12633" xr:uid="{00000000-0005-0000-0000-0000BF1A0000}"/>
    <cellStyle name="Normal 22 2 2 2 2 2 4" xfId="9071" xr:uid="{00000000-0005-0000-0000-0000C01A0000}"/>
    <cellStyle name="Normal 22 2 2 2 2 3" xfId="2713" xr:uid="{00000000-0005-0000-0000-0000C11A0000}"/>
    <cellStyle name="Normal 22 2 2 2 2 3 2" xfId="5406" xr:uid="{00000000-0005-0000-0000-0000C21A0000}"/>
    <cellStyle name="Normal 22 2 2 2 2 3 2 2" xfId="12635" xr:uid="{00000000-0005-0000-0000-0000C31A0000}"/>
    <cellStyle name="Normal 22 2 2 2 2 3 3" xfId="9942" xr:uid="{00000000-0005-0000-0000-0000C41A0000}"/>
    <cellStyle name="Normal 22 2 2 2 2 4" xfId="5403" xr:uid="{00000000-0005-0000-0000-0000C51A0000}"/>
    <cellStyle name="Normal 22 2 2 2 2 4 2" xfId="12632" xr:uid="{00000000-0005-0000-0000-0000C61A0000}"/>
    <cellStyle name="Normal 22 2 2 2 2 5" xfId="8204" xr:uid="{00000000-0005-0000-0000-0000C71A0000}"/>
    <cellStyle name="Normal 22 2 2 2 3" xfId="1410" xr:uid="{00000000-0005-0000-0000-0000C81A0000}"/>
    <cellStyle name="Normal 22 2 2 2 3 2" xfId="3149" xr:uid="{00000000-0005-0000-0000-0000C91A0000}"/>
    <cellStyle name="Normal 22 2 2 2 3 2 2" xfId="5408" xr:uid="{00000000-0005-0000-0000-0000CA1A0000}"/>
    <cellStyle name="Normal 22 2 2 2 3 2 2 2" xfId="12637" xr:uid="{00000000-0005-0000-0000-0000CB1A0000}"/>
    <cellStyle name="Normal 22 2 2 2 3 2 3" xfId="10378" xr:uid="{00000000-0005-0000-0000-0000CC1A0000}"/>
    <cellStyle name="Normal 22 2 2 2 3 3" xfId="5407" xr:uid="{00000000-0005-0000-0000-0000CD1A0000}"/>
    <cellStyle name="Normal 22 2 2 2 3 3 2" xfId="12636" xr:uid="{00000000-0005-0000-0000-0000CE1A0000}"/>
    <cellStyle name="Normal 22 2 2 2 3 4" xfId="8640" xr:uid="{00000000-0005-0000-0000-0000CF1A0000}"/>
    <cellStyle name="Normal 22 2 2 2 4" xfId="2282" xr:uid="{00000000-0005-0000-0000-0000D01A0000}"/>
    <cellStyle name="Normal 22 2 2 2 4 2" xfId="5409" xr:uid="{00000000-0005-0000-0000-0000D11A0000}"/>
    <cellStyle name="Normal 22 2 2 2 4 2 2" xfId="12638" xr:uid="{00000000-0005-0000-0000-0000D21A0000}"/>
    <cellStyle name="Normal 22 2 2 2 4 3" xfId="9511" xr:uid="{00000000-0005-0000-0000-0000D31A0000}"/>
    <cellStyle name="Normal 22 2 2 2 5" xfId="5402" xr:uid="{00000000-0005-0000-0000-0000D41A0000}"/>
    <cellStyle name="Normal 22 2 2 2 5 2" xfId="12631" xr:uid="{00000000-0005-0000-0000-0000D51A0000}"/>
    <cellStyle name="Normal 22 2 2 2 6" xfId="7773" xr:uid="{00000000-0005-0000-0000-0000D61A0000}"/>
    <cellStyle name="Normal 22 2 2 3" xfId="750" xr:uid="{00000000-0005-0000-0000-0000D71A0000}"/>
    <cellStyle name="Normal 22 2 2 3 2" xfId="1623" xr:uid="{00000000-0005-0000-0000-0000D81A0000}"/>
    <cellStyle name="Normal 22 2 2 3 2 2" xfId="3362" xr:uid="{00000000-0005-0000-0000-0000D91A0000}"/>
    <cellStyle name="Normal 22 2 2 3 2 2 2" xfId="5412" xr:uid="{00000000-0005-0000-0000-0000DA1A0000}"/>
    <cellStyle name="Normal 22 2 2 3 2 2 2 2" xfId="12641" xr:uid="{00000000-0005-0000-0000-0000DB1A0000}"/>
    <cellStyle name="Normal 22 2 2 3 2 2 3" xfId="10591" xr:uid="{00000000-0005-0000-0000-0000DC1A0000}"/>
    <cellStyle name="Normal 22 2 2 3 2 3" xfId="5411" xr:uid="{00000000-0005-0000-0000-0000DD1A0000}"/>
    <cellStyle name="Normal 22 2 2 3 2 3 2" xfId="12640" xr:uid="{00000000-0005-0000-0000-0000DE1A0000}"/>
    <cellStyle name="Normal 22 2 2 3 2 4" xfId="8853" xr:uid="{00000000-0005-0000-0000-0000DF1A0000}"/>
    <cellStyle name="Normal 22 2 2 3 3" xfId="2495" xr:uid="{00000000-0005-0000-0000-0000E01A0000}"/>
    <cellStyle name="Normal 22 2 2 3 3 2" xfId="5413" xr:uid="{00000000-0005-0000-0000-0000E11A0000}"/>
    <cellStyle name="Normal 22 2 2 3 3 2 2" xfId="12642" xr:uid="{00000000-0005-0000-0000-0000E21A0000}"/>
    <cellStyle name="Normal 22 2 2 3 3 3" xfId="9724" xr:uid="{00000000-0005-0000-0000-0000E31A0000}"/>
    <cellStyle name="Normal 22 2 2 3 4" xfId="5410" xr:uid="{00000000-0005-0000-0000-0000E41A0000}"/>
    <cellStyle name="Normal 22 2 2 3 4 2" xfId="12639" xr:uid="{00000000-0005-0000-0000-0000E51A0000}"/>
    <cellStyle name="Normal 22 2 2 3 5" xfId="7986" xr:uid="{00000000-0005-0000-0000-0000E61A0000}"/>
    <cellStyle name="Normal 22 2 2 4" xfId="1192" xr:uid="{00000000-0005-0000-0000-0000E71A0000}"/>
    <cellStyle name="Normal 22 2 2 4 2" xfId="2931" xr:uid="{00000000-0005-0000-0000-0000E81A0000}"/>
    <cellStyle name="Normal 22 2 2 4 2 2" xfId="5415" xr:uid="{00000000-0005-0000-0000-0000E91A0000}"/>
    <cellStyle name="Normal 22 2 2 4 2 2 2" xfId="12644" xr:uid="{00000000-0005-0000-0000-0000EA1A0000}"/>
    <cellStyle name="Normal 22 2 2 4 2 3" xfId="10160" xr:uid="{00000000-0005-0000-0000-0000EB1A0000}"/>
    <cellStyle name="Normal 22 2 2 4 3" xfId="5414" xr:uid="{00000000-0005-0000-0000-0000EC1A0000}"/>
    <cellStyle name="Normal 22 2 2 4 3 2" xfId="12643" xr:uid="{00000000-0005-0000-0000-0000ED1A0000}"/>
    <cellStyle name="Normal 22 2 2 4 4" xfId="8422" xr:uid="{00000000-0005-0000-0000-0000EE1A0000}"/>
    <cellStyle name="Normal 22 2 2 5" xfId="2064" xr:uid="{00000000-0005-0000-0000-0000EF1A0000}"/>
    <cellStyle name="Normal 22 2 2 5 2" xfId="5416" xr:uid="{00000000-0005-0000-0000-0000F01A0000}"/>
    <cellStyle name="Normal 22 2 2 5 2 2" xfId="12645" xr:uid="{00000000-0005-0000-0000-0000F11A0000}"/>
    <cellStyle name="Normal 22 2 2 5 3" xfId="9293" xr:uid="{00000000-0005-0000-0000-0000F21A0000}"/>
    <cellStyle name="Normal 22 2 2 6" xfId="5401" xr:uid="{00000000-0005-0000-0000-0000F31A0000}"/>
    <cellStyle name="Normal 22 2 2 6 2" xfId="12630" xr:uid="{00000000-0005-0000-0000-0000F41A0000}"/>
    <cellStyle name="Normal 22 2 2 7" xfId="7555" xr:uid="{00000000-0005-0000-0000-0000F51A0000}"/>
    <cellStyle name="Normal 22 2 3" xfId="426" xr:uid="{00000000-0005-0000-0000-0000F61A0000}"/>
    <cellStyle name="Normal 22 2 3 2" xfId="872" xr:uid="{00000000-0005-0000-0000-0000F71A0000}"/>
    <cellStyle name="Normal 22 2 3 2 2" xfId="1739" xr:uid="{00000000-0005-0000-0000-0000F81A0000}"/>
    <cellStyle name="Normal 22 2 3 2 2 2" xfId="3478" xr:uid="{00000000-0005-0000-0000-0000F91A0000}"/>
    <cellStyle name="Normal 22 2 3 2 2 2 2" xfId="5420" xr:uid="{00000000-0005-0000-0000-0000FA1A0000}"/>
    <cellStyle name="Normal 22 2 3 2 2 2 2 2" xfId="12649" xr:uid="{00000000-0005-0000-0000-0000FB1A0000}"/>
    <cellStyle name="Normal 22 2 3 2 2 2 3" xfId="10707" xr:uid="{00000000-0005-0000-0000-0000FC1A0000}"/>
    <cellStyle name="Normal 22 2 3 2 2 3" xfId="5419" xr:uid="{00000000-0005-0000-0000-0000FD1A0000}"/>
    <cellStyle name="Normal 22 2 3 2 2 3 2" xfId="12648" xr:uid="{00000000-0005-0000-0000-0000FE1A0000}"/>
    <cellStyle name="Normal 22 2 3 2 2 4" xfId="8969" xr:uid="{00000000-0005-0000-0000-0000FF1A0000}"/>
    <cellStyle name="Normal 22 2 3 2 3" xfId="2611" xr:uid="{00000000-0005-0000-0000-0000001B0000}"/>
    <cellStyle name="Normal 22 2 3 2 3 2" xfId="5421" xr:uid="{00000000-0005-0000-0000-0000011B0000}"/>
    <cellStyle name="Normal 22 2 3 2 3 2 2" xfId="12650" xr:uid="{00000000-0005-0000-0000-0000021B0000}"/>
    <cellStyle name="Normal 22 2 3 2 3 3" xfId="9840" xr:uid="{00000000-0005-0000-0000-0000031B0000}"/>
    <cellStyle name="Normal 22 2 3 2 4" xfId="5418" xr:uid="{00000000-0005-0000-0000-0000041B0000}"/>
    <cellStyle name="Normal 22 2 3 2 4 2" xfId="12647" xr:uid="{00000000-0005-0000-0000-0000051B0000}"/>
    <cellStyle name="Normal 22 2 3 2 5" xfId="8102" xr:uid="{00000000-0005-0000-0000-0000061B0000}"/>
    <cellStyle name="Normal 22 2 3 3" xfId="1308" xr:uid="{00000000-0005-0000-0000-0000071B0000}"/>
    <cellStyle name="Normal 22 2 3 3 2" xfId="3047" xr:uid="{00000000-0005-0000-0000-0000081B0000}"/>
    <cellStyle name="Normal 22 2 3 3 2 2" xfId="5423" xr:uid="{00000000-0005-0000-0000-0000091B0000}"/>
    <cellStyle name="Normal 22 2 3 3 2 2 2" xfId="12652" xr:uid="{00000000-0005-0000-0000-00000A1B0000}"/>
    <cellStyle name="Normal 22 2 3 3 2 3" xfId="10276" xr:uid="{00000000-0005-0000-0000-00000B1B0000}"/>
    <cellStyle name="Normal 22 2 3 3 3" xfId="5422" xr:uid="{00000000-0005-0000-0000-00000C1B0000}"/>
    <cellStyle name="Normal 22 2 3 3 3 2" xfId="12651" xr:uid="{00000000-0005-0000-0000-00000D1B0000}"/>
    <cellStyle name="Normal 22 2 3 3 4" xfId="8538" xr:uid="{00000000-0005-0000-0000-00000E1B0000}"/>
    <cellStyle name="Normal 22 2 3 4" xfId="2180" xr:uid="{00000000-0005-0000-0000-00000F1B0000}"/>
    <cellStyle name="Normal 22 2 3 4 2" xfId="5424" xr:uid="{00000000-0005-0000-0000-0000101B0000}"/>
    <cellStyle name="Normal 22 2 3 4 2 2" xfId="12653" xr:uid="{00000000-0005-0000-0000-0000111B0000}"/>
    <cellStyle name="Normal 22 2 3 4 3" xfId="9409" xr:uid="{00000000-0005-0000-0000-0000121B0000}"/>
    <cellStyle name="Normal 22 2 3 5" xfId="5417" xr:uid="{00000000-0005-0000-0000-0000131B0000}"/>
    <cellStyle name="Normal 22 2 3 5 2" xfId="12646" xr:uid="{00000000-0005-0000-0000-0000141B0000}"/>
    <cellStyle name="Normal 22 2 3 6" xfId="7671" xr:uid="{00000000-0005-0000-0000-0000151B0000}"/>
    <cellStyle name="Normal 22 2 4" xfId="645" xr:uid="{00000000-0005-0000-0000-0000161B0000}"/>
    <cellStyle name="Normal 22 2 4 2" xfId="1521" xr:uid="{00000000-0005-0000-0000-0000171B0000}"/>
    <cellStyle name="Normal 22 2 4 2 2" xfId="3260" xr:uid="{00000000-0005-0000-0000-0000181B0000}"/>
    <cellStyle name="Normal 22 2 4 2 2 2" xfId="5427" xr:uid="{00000000-0005-0000-0000-0000191B0000}"/>
    <cellStyle name="Normal 22 2 4 2 2 2 2" xfId="12656" xr:uid="{00000000-0005-0000-0000-00001A1B0000}"/>
    <cellStyle name="Normal 22 2 4 2 2 3" xfId="10489" xr:uid="{00000000-0005-0000-0000-00001B1B0000}"/>
    <cellStyle name="Normal 22 2 4 2 3" xfId="5426" xr:uid="{00000000-0005-0000-0000-00001C1B0000}"/>
    <cellStyle name="Normal 22 2 4 2 3 2" xfId="12655" xr:uid="{00000000-0005-0000-0000-00001D1B0000}"/>
    <cellStyle name="Normal 22 2 4 2 4" xfId="8751" xr:uid="{00000000-0005-0000-0000-00001E1B0000}"/>
    <cellStyle name="Normal 22 2 4 3" xfId="2393" xr:uid="{00000000-0005-0000-0000-00001F1B0000}"/>
    <cellStyle name="Normal 22 2 4 3 2" xfId="5428" xr:uid="{00000000-0005-0000-0000-0000201B0000}"/>
    <cellStyle name="Normal 22 2 4 3 2 2" xfId="12657" xr:uid="{00000000-0005-0000-0000-0000211B0000}"/>
    <cellStyle name="Normal 22 2 4 3 3" xfId="9622" xr:uid="{00000000-0005-0000-0000-0000221B0000}"/>
    <cellStyle name="Normal 22 2 4 4" xfId="5425" xr:uid="{00000000-0005-0000-0000-0000231B0000}"/>
    <cellStyle name="Normal 22 2 4 4 2" xfId="12654" xr:uid="{00000000-0005-0000-0000-0000241B0000}"/>
    <cellStyle name="Normal 22 2 4 5" xfId="7884" xr:uid="{00000000-0005-0000-0000-0000251B0000}"/>
    <cellStyle name="Normal 22 2 5" xfId="1090" xr:uid="{00000000-0005-0000-0000-0000261B0000}"/>
    <cellStyle name="Normal 22 2 5 2" xfId="2829" xr:uid="{00000000-0005-0000-0000-0000271B0000}"/>
    <cellStyle name="Normal 22 2 5 2 2" xfId="5430" xr:uid="{00000000-0005-0000-0000-0000281B0000}"/>
    <cellStyle name="Normal 22 2 5 2 2 2" xfId="12659" xr:uid="{00000000-0005-0000-0000-0000291B0000}"/>
    <cellStyle name="Normal 22 2 5 2 3" xfId="10058" xr:uid="{00000000-0005-0000-0000-00002A1B0000}"/>
    <cellStyle name="Normal 22 2 5 3" xfId="5429" xr:uid="{00000000-0005-0000-0000-00002B1B0000}"/>
    <cellStyle name="Normal 22 2 5 3 2" xfId="12658" xr:uid="{00000000-0005-0000-0000-00002C1B0000}"/>
    <cellStyle name="Normal 22 2 5 4" xfId="8320" xr:uid="{00000000-0005-0000-0000-00002D1B0000}"/>
    <cellStyle name="Normal 22 2 6" xfId="1962" xr:uid="{00000000-0005-0000-0000-00002E1B0000}"/>
    <cellStyle name="Normal 22 2 6 2" xfId="5431" xr:uid="{00000000-0005-0000-0000-00002F1B0000}"/>
    <cellStyle name="Normal 22 2 6 2 2" xfId="12660" xr:uid="{00000000-0005-0000-0000-0000301B0000}"/>
    <cellStyle name="Normal 22 2 6 3" xfId="9191" xr:uid="{00000000-0005-0000-0000-0000311B0000}"/>
    <cellStyle name="Normal 22 2 7" xfId="5400" xr:uid="{00000000-0005-0000-0000-0000321B0000}"/>
    <cellStyle name="Normal 22 2 7 2" xfId="12629" xr:uid="{00000000-0005-0000-0000-0000331B0000}"/>
    <cellStyle name="Normal 22 2 8" xfId="7451" xr:uid="{00000000-0005-0000-0000-0000341B0000}"/>
    <cellStyle name="Normal 22 3" xfId="269" xr:uid="{00000000-0005-0000-0000-0000351B0000}"/>
    <cellStyle name="Normal 22 3 2" xfId="495" xr:uid="{00000000-0005-0000-0000-0000361B0000}"/>
    <cellStyle name="Normal 22 3 2 2" xfId="941" xr:uid="{00000000-0005-0000-0000-0000371B0000}"/>
    <cellStyle name="Normal 22 3 2 2 2" xfId="1808" xr:uid="{00000000-0005-0000-0000-0000381B0000}"/>
    <cellStyle name="Normal 22 3 2 2 2 2" xfId="3547" xr:uid="{00000000-0005-0000-0000-0000391B0000}"/>
    <cellStyle name="Normal 22 3 2 2 2 2 2" xfId="5436" xr:uid="{00000000-0005-0000-0000-00003A1B0000}"/>
    <cellStyle name="Normal 22 3 2 2 2 2 2 2" xfId="12665" xr:uid="{00000000-0005-0000-0000-00003B1B0000}"/>
    <cellStyle name="Normal 22 3 2 2 2 2 3" xfId="10776" xr:uid="{00000000-0005-0000-0000-00003C1B0000}"/>
    <cellStyle name="Normal 22 3 2 2 2 3" xfId="5435" xr:uid="{00000000-0005-0000-0000-00003D1B0000}"/>
    <cellStyle name="Normal 22 3 2 2 2 3 2" xfId="12664" xr:uid="{00000000-0005-0000-0000-00003E1B0000}"/>
    <cellStyle name="Normal 22 3 2 2 2 4" xfId="9038" xr:uid="{00000000-0005-0000-0000-00003F1B0000}"/>
    <cellStyle name="Normal 22 3 2 2 3" xfId="2680" xr:uid="{00000000-0005-0000-0000-0000401B0000}"/>
    <cellStyle name="Normal 22 3 2 2 3 2" xfId="5437" xr:uid="{00000000-0005-0000-0000-0000411B0000}"/>
    <cellStyle name="Normal 22 3 2 2 3 2 2" xfId="12666" xr:uid="{00000000-0005-0000-0000-0000421B0000}"/>
    <cellStyle name="Normal 22 3 2 2 3 3" xfId="9909" xr:uid="{00000000-0005-0000-0000-0000431B0000}"/>
    <cellStyle name="Normal 22 3 2 2 4" xfId="5434" xr:uid="{00000000-0005-0000-0000-0000441B0000}"/>
    <cellStyle name="Normal 22 3 2 2 4 2" xfId="12663" xr:uid="{00000000-0005-0000-0000-0000451B0000}"/>
    <cellStyle name="Normal 22 3 2 2 5" xfId="8171" xr:uid="{00000000-0005-0000-0000-0000461B0000}"/>
    <cellStyle name="Normal 22 3 2 3" xfId="1377" xr:uid="{00000000-0005-0000-0000-0000471B0000}"/>
    <cellStyle name="Normal 22 3 2 3 2" xfId="3116" xr:uid="{00000000-0005-0000-0000-0000481B0000}"/>
    <cellStyle name="Normal 22 3 2 3 2 2" xfId="5439" xr:uid="{00000000-0005-0000-0000-0000491B0000}"/>
    <cellStyle name="Normal 22 3 2 3 2 2 2" xfId="12668" xr:uid="{00000000-0005-0000-0000-00004A1B0000}"/>
    <cellStyle name="Normal 22 3 2 3 2 3" xfId="10345" xr:uid="{00000000-0005-0000-0000-00004B1B0000}"/>
    <cellStyle name="Normal 22 3 2 3 3" xfId="5438" xr:uid="{00000000-0005-0000-0000-00004C1B0000}"/>
    <cellStyle name="Normal 22 3 2 3 3 2" xfId="12667" xr:uid="{00000000-0005-0000-0000-00004D1B0000}"/>
    <cellStyle name="Normal 22 3 2 3 4" xfId="8607" xr:uid="{00000000-0005-0000-0000-00004E1B0000}"/>
    <cellStyle name="Normal 22 3 2 4" xfId="2249" xr:uid="{00000000-0005-0000-0000-00004F1B0000}"/>
    <cellStyle name="Normal 22 3 2 4 2" xfId="5440" xr:uid="{00000000-0005-0000-0000-0000501B0000}"/>
    <cellStyle name="Normal 22 3 2 4 2 2" xfId="12669" xr:uid="{00000000-0005-0000-0000-0000511B0000}"/>
    <cellStyle name="Normal 22 3 2 4 3" xfId="9478" xr:uid="{00000000-0005-0000-0000-0000521B0000}"/>
    <cellStyle name="Normal 22 3 2 5" xfId="5433" xr:uid="{00000000-0005-0000-0000-0000531B0000}"/>
    <cellStyle name="Normal 22 3 2 5 2" xfId="12662" xr:uid="{00000000-0005-0000-0000-0000541B0000}"/>
    <cellStyle name="Normal 22 3 2 6" xfId="7740" xr:uid="{00000000-0005-0000-0000-0000551B0000}"/>
    <cellStyle name="Normal 22 3 3" xfId="717" xr:uid="{00000000-0005-0000-0000-0000561B0000}"/>
    <cellStyle name="Normal 22 3 3 2" xfId="1590" xr:uid="{00000000-0005-0000-0000-0000571B0000}"/>
    <cellStyle name="Normal 22 3 3 2 2" xfId="3329" xr:uid="{00000000-0005-0000-0000-0000581B0000}"/>
    <cellStyle name="Normal 22 3 3 2 2 2" xfId="5443" xr:uid="{00000000-0005-0000-0000-0000591B0000}"/>
    <cellStyle name="Normal 22 3 3 2 2 2 2" xfId="12672" xr:uid="{00000000-0005-0000-0000-00005A1B0000}"/>
    <cellStyle name="Normal 22 3 3 2 2 3" xfId="10558" xr:uid="{00000000-0005-0000-0000-00005B1B0000}"/>
    <cellStyle name="Normal 22 3 3 2 3" xfId="5442" xr:uid="{00000000-0005-0000-0000-00005C1B0000}"/>
    <cellStyle name="Normal 22 3 3 2 3 2" xfId="12671" xr:uid="{00000000-0005-0000-0000-00005D1B0000}"/>
    <cellStyle name="Normal 22 3 3 2 4" xfId="8820" xr:uid="{00000000-0005-0000-0000-00005E1B0000}"/>
    <cellStyle name="Normal 22 3 3 3" xfId="2462" xr:uid="{00000000-0005-0000-0000-00005F1B0000}"/>
    <cellStyle name="Normal 22 3 3 3 2" xfId="5444" xr:uid="{00000000-0005-0000-0000-0000601B0000}"/>
    <cellStyle name="Normal 22 3 3 3 2 2" xfId="12673" xr:uid="{00000000-0005-0000-0000-0000611B0000}"/>
    <cellStyle name="Normal 22 3 3 3 3" xfId="9691" xr:uid="{00000000-0005-0000-0000-0000621B0000}"/>
    <cellStyle name="Normal 22 3 3 4" xfId="5441" xr:uid="{00000000-0005-0000-0000-0000631B0000}"/>
    <cellStyle name="Normal 22 3 3 4 2" xfId="12670" xr:uid="{00000000-0005-0000-0000-0000641B0000}"/>
    <cellStyle name="Normal 22 3 3 5" xfId="7953" xr:uid="{00000000-0005-0000-0000-0000651B0000}"/>
    <cellStyle name="Normal 22 3 4" xfId="1159" xr:uid="{00000000-0005-0000-0000-0000661B0000}"/>
    <cellStyle name="Normal 22 3 4 2" xfId="2898" xr:uid="{00000000-0005-0000-0000-0000671B0000}"/>
    <cellStyle name="Normal 22 3 4 2 2" xfId="5446" xr:uid="{00000000-0005-0000-0000-0000681B0000}"/>
    <cellStyle name="Normal 22 3 4 2 2 2" xfId="12675" xr:uid="{00000000-0005-0000-0000-0000691B0000}"/>
    <cellStyle name="Normal 22 3 4 2 3" xfId="10127" xr:uid="{00000000-0005-0000-0000-00006A1B0000}"/>
    <cellStyle name="Normal 22 3 4 3" xfId="5445" xr:uid="{00000000-0005-0000-0000-00006B1B0000}"/>
    <cellStyle name="Normal 22 3 4 3 2" xfId="12674" xr:uid="{00000000-0005-0000-0000-00006C1B0000}"/>
    <cellStyle name="Normal 22 3 4 4" xfId="8389" xr:uid="{00000000-0005-0000-0000-00006D1B0000}"/>
    <cellStyle name="Normal 22 3 5" xfId="2031" xr:uid="{00000000-0005-0000-0000-00006E1B0000}"/>
    <cellStyle name="Normal 22 3 5 2" xfId="5447" xr:uid="{00000000-0005-0000-0000-00006F1B0000}"/>
    <cellStyle name="Normal 22 3 5 2 2" xfId="12676" xr:uid="{00000000-0005-0000-0000-0000701B0000}"/>
    <cellStyle name="Normal 22 3 5 3" xfId="9260" xr:uid="{00000000-0005-0000-0000-0000711B0000}"/>
    <cellStyle name="Normal 22 3 6" xfId="5432" xr:uid="{00000000-0005-0000-0000-0000721B0000}"/>
    <cellStyle name="Normal 22 3 6 2" xfId="12661" xr:uid="{00000000-0005-0000-0000-0000731B0000}"/>
    <cellStyle name="Normal 22 3 7" xfId="7522" xr:uid="{00000000-0005-0000-0000-0000741B0000}"/>
    <cellStyle name="Normal 22 4" xfId="393" xr:uid="{00000000-0005-0000-0000-0000751B0000}"/>
    <cellStyle name="Normal 22 4 2" xfId="839" xr:uid="{00000000-0005-0000-0000-0000761B0000}"/>
    <cellStyle name="Normal 22 4 2 2" xfId="1706" xr:uid="{00000000-0005-0000-0000-0000771B0000}"/>
    <cellStyle name="Normal 22 4 2 2 2" xfId="3445" xr:uid="{00000000-0005-0000-0000-0000781B0000}"/>
    <cellStyle name="Normal 22 4 2 2 2 2" xfId="5451" xr:uid="{00000000-0005-0000-0000-0000791B0000}"/>
    <cellStyle name="Normal 22 4 2 2 2 2 2" xfId="12680" xr:uid="{00000000-0005-0000-0000-00007A1B0000}"/>
    <cellStyle name="Normal 22 4 2 2 2 3" xfId="10674" xr:uid="{00000000-0005-0000-0000-00007B1B0000}"/>
    <cellStyle name="Normal 22 4 2 2 3" xfId="5450" xr:uid="{00000000-0005-0000-0000-00007C1B0000}"/>
    <cellStyle name="Normal 22 4 2 2 3 2" xfId="12679" xr:uid="{00000000-0005-0000-0000-00007D1B0000}"/>
    <cellStyle name="Normal 22 4 2 2 4" xfId="8936" xr:uid="{00000000-0005-0000-0000-00007E1B0000}"/>
    <cellStyle name="Normal 22 4 2 3" xfId="2578" xr:uid="{00000000-0005-0000-0000-00007F1B0000}"/>
    <cellStyle name="Normal 22 4 2 3 2" xfId="5452" xr:uid="{00000000-0005-0000-0000-0000801B0000}"/>
    <cellStyle name="Normal 22 4 2 3 2 2" xfId="12681" xr:uid="{00000000-0005-0000-0000-0000811B0000}"/>
    <cellStyle name="Normal 22 4 2 3 3" xfId="9807" xr:uid="{00000000-0005-0000-0000-0000821B0000}"/>
    <cellStyle name="Normal 22 4 2 4" xfId="5449" xr:uid="{00000000-0005-0000-0000-0000831B0000}"/>
    <cellStyle name="Normal 22 4 2 4 2" xfId="12678" xr:uid="{00000000-0005-0000-0000-0000841B0000}"/>
    <cellStyle name="Normal 22 4 2 5" xfId="8069" xr:uid="{00000000-0005-0000-0000-0000851B0000}"/>
    <cellStyle name="Normal 22 4 3" xfId="1275" xr:uid="{00000000-0005-0000-0000-0000861B0000}"/>
    <cellStyle name="Normal 22 4 3 2" xfId="3014" xr:uid="{00000000-0005-0000-0000-0000871B0000}"/>
    <cellStyle name="Normal 22 4 3 2 2" xfId="5454" xr:uid="{00000000-0005-0000-0000-0000881B0000}"/>
    <cellStyle name="Normal 22 4 3 2 2 2" xfId="12683" xr:uid="{00000000-0005-0000-0000-0000891B0000}"/>
    <cellStyle name="Normal 22 4 3 2 3" xfId="10243" xr:uid="{00000000-0005-0000-0000-00008A1B0000}"/>
    <cellStyle name="Normal 22 4 3 3" xfId="5453" xr:uid="{00000000-0005-0000-0000-00008B1B0000}"/>
    <cellStyle name="Normal 22 4 3 3 2" xfId="12682" xr:uid="{00000000-0005-0000-0000-00008C1B0000}"/>
    <cellStyle name="Normal 22 4 3 4" xfId="8505" xr:uid="{00000000-0005-0000-0000-00008D1B0000}"/>
    <cellStyle name="Normal 22 4 4" xfId="2147" xr:uid="{00000000-0005-0000-0000-00008E1B0000}"/>
    <cellStyle name="Normal 22 4 4 2" xfId="5455" xr:uid="{00000000-0005-0000-0000-00008F1B0000}"/>
    <cellStyle name="Normal 22 4 4 2 2" xfId="12684" xr:uid="{00000000-0005-0000-0000-0000901B0000}"/>
    <cellStyle name="Normal 22 4 4 3" xfId="9376" xr:uid="{00000000-0005-0000-0000-0000911B0000}"/>
    <cellStyle name="Normal 22 4 5" xfId="5448" xr:uid="{00000000-0005-0000-0000-0000921B0000}"/>
    <cellStyle name="Normal 22 4 5 2" xfId="12677" xr:uid="{00000000-0005-0000-0000-0000931B0000}"/>
    <cellStyle name="Normal 22 4 6" xfId="7638" xr:uid="{00000000-0005-0000-0000-0000941B0000}"/>
    <cellStyle name="Normal 22 5" xfId="611" xr:uid="{00000000-0005-0000-0000-0000951B0000}"/>
    <cellStyle name="Normal 22 5 2" xfId="1488" xr:uid="{00000000-0005-0000-0000-0000961B0000}"/>
    <cellStyle name="Normal 22 5 2 2" xfId="3227" xr:uid="{00000000-0005-0000-0000-0000971B0000}"/>
    <cellStyle name="Normal 22 5 2 2 2" xfId="5458" xr:uid="{00000000-0005-0000-0000-0000981B0000}"/>
    <cellStyle name="Normal 22 5 2 2 2 2" xfId="12687" xr:uid="{00000000-0005-0000-0000-0000991B0000}"/>
    <cellStyle name="Normal 22 5 2 2 3" xfId="10456" xr:uid="{00000000-0005-0000-0000-00009A1B0000}"/>
    <cellStyle name="Normal 22 5 2 3" xfId="5457" xr:uid="{00000000-0005-0000-0000-00009B1B0000}"/>
    <cellStyle name="Normal 22 5 2 3 2" xfId="12686" xr:uid="{00000000-0005-0000-0000-00009C1B0000}"/>
    <cellStyle name="Normal 22 5 2 4" xfId="8718" xr:uid="{00000000-0005-0000-0000-00009D1B0000}"/>
    <cellStyle name="Normal 22 5 3" xfId="2360" xr:uid="{00000000-0005-0000-0000-00009E1B0000}"/>
    <cellStyle name="Normal 22 5 3 2" xfId="5459" xr:uid="{00000000-0005-0000-0000-00009F1B0000}"/>
    <cellStyle name="Normal 22 5 3 2 2" xfId="12688" xr:uid="{00000000-0005-0000-0000-0000A01B0000}"/>
    <cellStyle name="Normal 22 5 3 3" xfId="9589" xr:uid="{00000000-0005-0000-0000-0000A11B0000}"/>
    <cellStyle name="Normal 22 5 4" xfId="5456" xr:uid="{00000000-0005-0000-0000-0000A21B0000}"/>
    <cellStyle name="Normal 22 5 4 2" xfId="12685" xr:uid="{00000000-0005-0000-0000-0000A31B0000}"/>
    <cellStyle name="Normal 22 5 5" xfId="7851" xr:uid="{00000000-0005-0000-0000-0000A41B0000}"/>
    <cellStyle name="Normal 22 6" xfId="1057" xr:uid="{00000000-0005-0000-0000-0000A51B0000}"/>
    <cellStyle name="Normal 22 6 2" xfId="2796" xr:uid="{00000000-0005-0000-0000-0000A61B0000}"/>
    <cellStyle name="Normal 22 6 2 2" xfId="5461" xr:uid="{00000000-0005-0000-0000-0000A71B0000}"/>
    <cellStyle name="Normal 22 6 2 2 2" xfId="12690" xr:uid="{00000000-0005-0000-0000-0000A81B0000}"/>
    <cellStyle name="Normal 22 6 2 3" xfId="10025" xr:uid="{00000000-0005-0000-0000-0000A91B0000}"/>
    <cellStyle name="Normal 22 6 3" xfId="5460" xr:uid="{00000000-0005-0000-0000-0000AA1B0000}"/>
    <cellStyle name="Normal 22 6 3 2" xfId="12689" xr:uid="{00000000-0005-0000-0000-0000AB1B0000}"/>
    <cellStyle name="Normal 22 6 4" xfId="8287" xr:uid="{00000000-0005-0000-0000-0000AC1B0000}"/>
    <cellStyle name="Normal 22 7" xfId="1929" xr:uid="{00000000-0005-0000-0000-0000AD1B0000}"/>
    <cellStyle name="Normal 22 7 2" xfId="5462" xr:uid="{00000000-0005-0000-0000-0000AE1B0000}"/>
    <cellStyle name="Normal 22 7 2 2" xfId="12691" xr:uid="{00000000-0005-0000-0000-0000AF1B0000}"/>
    <cellStyle name="Normal 22 7 3" xfId="9158" xr:uid="{00000000-0005-0000-0000-0000B01B0000}"/>
    <cellStyle name="Normal 22 8" xfId="5399" xr:uid="{00000000-0005-0000-0000-0000B11B0000}"/>
    <cellStyle name="Normal 22 8 2" xfId="12628" xr:uid="{00000000-0005-0000-0000-0000B21B0000}"/>
    <cellStyle name="Normal 22 9" xfId="7418" xr:uid="{00000000-0005-0000-0000-0000B31B0000}"/>
    <cellStyle name="Normal 23" xfId="218" xr:uid="{00000000-0005-0000-0000-0000B41B0000}"/>
    <cellStyle name="Normal 23 2" xfId="342" xr:uid="{00000000-0005-0000-0000-0000B51B0000}"/>
    <cellStyle name="Normal 23 2 2" xfId="568" xr:uid="{00000000-0005-0000-0000-0000B61B0000}"/>
    <cellStyle name="Normal 23 2 2 2" xfId="1014" xr:uid="{00000000-0005-0000-0000-0000B71B0000}"/>
    <cellStyle name="Normal 23 2 2 2 2" xfId="1881" xr:uid="{00000000-0005-0000-0000-0000B81B0000}"/>
    <cellStyle name="Normal 23 2 2 2 2 2" xfId="3620" xr:uid="{00000000-0005-0000-0000-0000B91B0000}"/>
    <cellStyle name="Normal 23 2 2 2 2 2 2" xfId="5468" xr:uid="{00000000-0005-0000-0000-0000BA1B0000}"/>
    <cellStyle name="Normal 23 2 2 2 2 2 2 2" xfId="12697" xr:uid="{00000000-0005-0000-0000-0000BB1B0000}"/>
    <cellStyle name="Normal 23 2 2 2 2 2 3" xfId="10849" xr:uid="{00000000-0005-0000-0000-0000BC1B0000}"/>
    <cellStyle name="Normal 23 2 2 2 2 3" xfId="5467" xr:uid="{00000000-0005-0000-0000-0000BD1B0000}"/>
    <cellStyle name="Normal 23 2 2 2 2 3 2" xfId="12696" xr:uid="{00000000-0005-0000-0000-0000BE1B0000}"/>
    <cellStyle name="Normal 23 2 2 2 2 4" xfId="9111" xr:uid="{00000000-0005-0000-0000-0000BF1B0000}"/>
    <cellStyle name="Normal 23 2 2 2 3" xfId="2753" xr:uid="{00000000-0005-0000-0000-0000C01B0000}"/>
    <cellStyle name="Normal 23 2 2 2 3 2" xfId="5469" xr:uid="{00000000-0005-0000-0000-0000C11B0000}"/>
    <cellStyle name="Normal 23 2 2 2 3 2 2" xfId="12698" xr:uid="{00000000-0005-0000-0000-0000C21B0000}"/>
    <cellStyle name="Normal 23 2 2 2 3 3" xfId="9982" xr:uid="{00000000-0005-0000-0000-0000C31B0000}"/>
    <cellStyle name="Normal 23 2 2 2 4" xfId="5466" xr:uid="{00000000-0005-0000-0000-0000C41B0000}"/>
    <cellStyle name="Normal 23 2 2 2 4 2" xfId="12695" xr:uid="{00000000-0005-0000-0000-0000C51B0000}"/>
    <cellStyle name="Normal 23 2 2 2 5" xfId="8244" xr:uid="{00000000-0005-0000-0000-0000C61B0000}"/>
    <cellStyle name="Normal 23 2 2 3" xfId="1450" xr:uid="{00000000-0005-0000-0000-0000C71B0000}"/>
    <cellStyle name="Normal 23 2 2 3 2" xfId="3189" xr:uid="{00000000-0005-0000-0000-0000C81B0000}"/>
    <cellStyle name="Normal 23 2 2 3 2 2" xfId="5471" xr:uid="{00000000-0005-0000-0000-0000C91B0000}"/>
    <cellStyle name="Normal 23 2 2 3 2 2 2" xfId="12700" xr:uid="{00000000-0005-0000-0000-0000CA1B0000}"/>
    <cellStyle name="Normal 23 2 2 3 2 3" xfId="10418" xr:uid="{00000000-0005-0000-0000-0000CB1B0000}"/>
    <cellStyle name="Normal 23 2 2 3 3" xfId="5470" xr:uid="{00000000-0005-0000-0000-0000CC1B0000}"/>
    <cellStyle name="Normal 23 2 2 3 3 2" xfId="12699" xr:uid="{00000000-0005-0000-0000-0000CD1B0000}"/>
    <cellStyle name="Normal 23 2 2 3 4" xfId="8680" xr:uid="{00000000-0005-0000-0000-0000CE1B0000}"/>
    <cellStyle name="Normal 23 2 2 4" xfId="2322" xr:uid="{00000000-0005-0000-0000-0000CF1B0000}"/>
    <cellStyle name="Normal 23 2 2 4 2" xfId="5472" xr:uid="{00000000-0005-0000-0000-0000D01B0000}"/>
    <cellStyle name="Normal 23 2 2 4 2 2" xfId="12701" xr:uid="{00000000-0005-0000-0000-0000D11B0000}"/>
    <cellStyle name="Normal 23 2 2 4 3" xfId="9551" xr:uid="{00000000-0005-0000-0000-0000D21B0000}"/>
    <cellStyle name="Normal 23 2 2 5" xfId="5465" xr:uid="{00000000-0005-0000-0000-0000D31B0000}"/>
    <cellStyle name="Normal 23 2 2 5 2" xfId="12694" xr:uid="{00000000-0005-0000-0000-0000D41B0000}"/>
    <cellStyle name="Normal 23 2 2 6" xfId="7813" xr:uid="{00000000-0005-0000-0000-0000D51B0000}"/>
    <cellStyle name="Normal 23 2 3" xfId="790" xr:uid="{00000000-0005-0000-0000-0000D61B0000}"/>
    <cellStyle name="Normal 23 2 3 2" xfId="1663" xr:uid="{00000000-0005-0000-0000-0000D71B0000}"/>
    <cellStyle name="Normal 23 2 3 2 2" xfId="3402" xr:uid="{00000000-0005-0000-0000-0000D81B0000}"/>
    <cellStyle name="Normal 23 2 3 2 2 2" xfId="5475" xr:uid="{00000000-0005-0000-0000-0000D91B0000}"/>
    <cellStyle name="Normal 23 2 3 2 2 2 2" xfId="12704" xr:uid="{00000000-0005-0000-0000-0000DA1B0000}"/>
    <cellStyle name="Normal 23 2 3 2 2 3" xfId="10631" xr:uid="{00000000-0005-0000-0000-0000DB1B0000}"/>
    <cellStyle name="Normal 23 2 3 2 3" xfId="5474" xr:uid="{00000000-0005-0000-0000-0000DC1B0000}"/>
    <cellStyle name="Normal 23 2 3 2 3 2" xfId="12703" xr:uid="{00000000-0005-0000-0000-0000DD1B0000}"/>
    <cellStyle name="Normal 23 2 3 2 4" xfId="8893" xr:uid="{00000000-0005-0000-0000-0000DE1B0000}"/>
    <cellStyle name="Normal 23 2 3 3" xfId="2535" xr:uid="{00000000-0005-0000-0000-0000DF1B0000}"/>
    <cellStyle name="Normal 23 2 3 3 2" xfId="5476" xr:uid="{00000000-0005-0000-0000-0000E01B0000}"/>
    <cellStyle name="Normal 23 2 3 3 2 2" xfId="12705" xr:uid="{00000000-0005-0000-0000-0000E11B0000}"/>
    <cellStyle name="Normal 23 2 3 3 3" xfId="9764" xr:uid="{00000000-0005-0000-0000-0000E21B0000}"/>
    <cellStyle name="Normal 23 2 3 4" xfId="5473" xr:uid="{00000000-0005-0000-0000-0000E31B0000}"/>
    <cellStyle name="Normal 23 2 3 4 2" xfId="12702" xr:uid="{00000000-0005-0000-0000-0000E41B0000}"/>
    <cellStyle name="Normal 23 2 3 5" xfId="8026" xr:uid="{00000000-0005-0000-0000-0000E51B0000}"/>
    <cellStyle name="Normal 23 2 4" xfId="1232" xr:uid="{00000000-0005-0000-0000-0000E61B0000}"/>
    <cellStyle name="Normal 23 2 4 2" xfId="2971" xr:uid="{00000000-0005-0000-0000-0000E71B0000}"/>
    <cellStyle name="Normal 23 2 4 2 2" xfId="5478" xr:uid="{00000000-0005-0000-0000-0000E81B0000}"/>
    <cellStyle name="Normal 23 2 4 2 2 2" xfId="12707" xr:uid="{00000000-0005-0000-0000-0000E91B0000}"/>
    <cellStyle name="Normal 23 2 4 2 3" xfId="10200" xr:uid="{00000000-0005-0000-0000-0000EA1B0000}"/>
    <cellStyle name="Normal 23 2 4 3" xfId="5477" xr:uid="{00000000-0005-0000-0000-0000EB1B0000}"/>
    <cellStyle name="Normal 23 2 4 3 2" xfId="12706" xr:uid="{00000000-0005-0000-0000-0000EC1B0000}"/>
    <cellStyle name="Normal 23 2 4 4" xfId="8462" xr:uid="{00000000-0005-0000-0000-0000ED1B0000}"/>
    <cellStyle name="Normal 23 2 5" xfId="2104" xr:uid="{00000000-0005-0000-0000-0000EE1B0000}"/>
    <cellStyle name="Normal 23 2 5 2" xfId="5479" xr:uid="{00000000-0005-0000-0000-0000EF1B0000}"/>
    <cellStyle name="Normal 23 2 5 2 2" xfId="12708" xr:uid="{00000000-0005-0000-0000-0000F01B0000}"/>
    <cellStyle name="Normal 23 2 5 3" xfId="9333" xr:uid="{00000000-0005-0000-0000-0000F11B0000}"/>
    <cellStyle name="Normal 23 2 6" xfId="5464" xr:uid="{00000000-0005-0000-0000-0000F21B0000}"/>
    <cellStyle name="Normal 23 2 6 2" xfId="12693" xr:uid="{00000000-0005-0000-0000-0000F31B0000}"/>
    <cellStyle name="Normal 23 2 7" xfId="7595" xr:uid="{00000000-0005-0000-0000-0000F41B0000}"/>
    <cellStyle name="Normal 23 3" xfId="466" xr:uid="{00000000-0005-0000-0000-0000F51B0000}"/>
    <cellStyle name="Normal 23 3 2" xfId="912" xr:uid="{00000000-0005-0000-0000-0000F61B0000}"/>
    <cellStyle name="Normal 23 3 2 2" xfId="1779" xr:uid="{00000000-0005-0000-0000-0000F71B0000}"/>
    <cellStyle name="Normal 23 3 2 2 2" xfId="3518" xr:uid="{00000000-0005-0000-0000-0000F81B0000}"/>
    <cellStyle name="Normal 23 3 2 2 2 2" xfId="5483" xr:uid="{00000000-0005-0000-0000-0000F91B0000}"/>
    <cellStyle name="Normal 23 3 2 2 2 2 2" xfId="12712" xr:uid="{00000000-0005-0000-0000-0000FA1B0000}"/>
    <cellStyle name="Normal 23 3 2 2 2 3" xfId="10747" xr:uid="{00000000-0005-0000-0000-0000FB1B0000}"/>
    <cellStyle name="Normal 23 3 2 2 3" xfId="5482" xr:uid="{00000000-0005-0000-0000-0000FC1B0000}"/>
    <cellStyle name="Normal 23 3 2 2 3 2" xfId="12711" xr:uid="{00000000-0005-0000-0000-0000FD1B0000}"/>
    <cellStyle name="Normal 23 3 2 2 4" xfId="9009" xr:uid="{00000000-0005-0000-0000-0000FE1B0000}"/>
    <cellStyle name="Normal 23 3 2 3" xfId="2651" xr:uid="{00000000-0005-0000-0000-0000FF1B0000}"/>
    <cellStyle name="Normal 23 3 2 3 2" xfId="5484" xr:uid="{00000000-0005-0000-0000-0000001C0000}"/>
    <cellStyle name="Normal 23 3 2 3 2 2" xfId="12713" xr:uid="{00000000-0005-0000-0000-0000011C0000}"/>
    <cellStyle name="Normal 23 3 2 3 3" xfId="9880" xr:uid="{00000000-0005-0000-0000-0000021C0000}"/>
    <cellStyle name="Normal 23 3 2 4" xfId="5481" xr:uid="{00000000-0005-0000-0000-0000031C0000}"/>
    <cellStyle name="Normal 23 3 2 4 2" xfId="12710" xr:uid="{00000000-0005-0000-0000-0000041C0000}"/>
    <cellStyle name="Normal 23 3 2 5" xfId="8142" xr:uid="{00000000-0005-0000-0000-0000051C0000}"/>
    <cellStyle name="Normal 23 3 3" xfId="1348" xr:uid="{00000000-0005-0000-0000-0000061C0000}"/>
    <cellStyle name="Normal 23 3 3 2" xfId="3087" xr:uid="{00000000-0005-0000-0000-0000071C0000}"/>
    <cellStyle name="Normal 23 3 3 2 2" xfId="5486" xr:uid="{00000000-0005-0000-0000-0000081C0000}"/>
    <cellStyle name="Normal 23 3 3 2 2 2" xfId="12715" xr:uid="{00000000-0005-0000-0000-0000091C0000}"/>
    <cellStyle name="Normal 23 3 3 2 3" xfId="10316" xr:uid="{00000000-0005-0000-0000-00000A1C0000}"/>
    <cellStyle name="Normal 23 3 3 3" xfId="5485" xr:uid="{00000000-0005-0000-0000-00000B1C0000}"/>
    <cellStyle name="Normal 23 3 3 3 2" xfId="12714" xr:uid="{00000000-0005-0000-0000-00000C1C0000}"/>
    <cellStyle name="Normal 23 3 3 4" xfId="8578" xr:uid="{00000000-0005-0000-0000-00000D1C0000}"/>
    <cellStyle name="Normal 23 3 4" xfId="2220" xr:uid="{00000000-0005-0000-0000-00000E1C0000}"/>
    <cellStyle name="Normal 23 3 4 2" xfId="5487" xr:uid="{00000000-0005-0000-0000-00000F1C0000}"/>
    <cellStyle name="Normal 23 3 4 2 2" xfId="12716" xr:uid="{00000000-0005-0000-0000-0000101C0000}"/>
    <cellStyle name="Normal 23 3 4 3" xfId="9449" xr:uid="{00000000-0005-0000-0000-0000111C0000}"/>
    <cellStyle name="Normal 23 3 5" xfId="5480" xr:uid="{00000000-0005-0000-0000-0000121C0000}"/>
    <cellStyle name="Normal 23 3 5 2" xfId="12709" xr:uid="{00000000-0005-0000-0000-0000131C0000}"/>
    <cellStyle name="Normal 23 3 6" xfId="7711" xr:uid="{00000000-0005-0000-0000-0000141C0000}"/>
    <cellStyle name="Normal 23 4" xfId="688" xr:uid="{00000000-0005-0000-0000-0000151C0000}"/>
    <cellStyle name="Normal 23 4 2" xfId="1561" xr:uid="{00000000-0005-0000-0000-0000161C0000}"/>
    <cellStyle name="Normal 23 4 2 2" xfId="3300" xr:uid="{00000000-0005-0000-0000-0000171C0000}"/>
    <cellStyle name="Normal 23 4 2 2 2" xfId="5490" xr:uid="{00000000-0005-0000-0000-0000181C0000}"/>
    <cellStyle name="Normal 23 4 2 2 2 2" xfId="12719" xr:uid="{00000000-0005-0000-0000-0000191C0000}"/>
    <cellStyle name="Normal 23 4 2 2 3" xfId="10529" xr:uid="{00000000-0005-0000-0000-00001A1C0000}"/>
    <cellStyle name="Normal 23 4 2 3" xfId="5489" xr:uid="{00000000-0005-0000-0000-00001B1C0000}"/>
    <cellStyle name="Normal 23 4 2 3 2" xfId="12718" xr:uid="{00000000-0005-0000-0000-00001C1C0000}"/>
    <cellStyle name="Normal 23 4 2 4" xfId="8791" xr:uid="{00000000-0005-0000-0000-00001D1C0000}"/>
    <cellStyle name="Normal 23 4 3" xfId="2433" xr:uid="{00000000-0005-0000-0000-00001E1C0000}"/>
    <cellStyle name="Normal 23 4 3 2" xfId="5491" xr:uid="{00000000-0005-0000-0000-00001F1C0000}"/>
    <cellStyle name="Normal 23 4 3 2 2" xfId="12720" xr:uid="{00000000-0005-0000-0000-0000201C0000}"/>
    <cellStyle name="Normal 23 4 3 3" xfId="9662" xr:uid="{00000000-0005-0000-0000-0000211C0000}"/>
    <cellStyle name="Normal 23 4 4" xfId="5488" xr:uid="{00000000-0005-0000-0000-0000221C0000}"/>
    <cellStyle name="Normal 23 4 4 2" xfId="12717" xr:uid="{00000000-0005-0000-0000-0000231C0000}"/>
    <cellStyle name="Normal 23 4 5" xfId="7924" xr:uid="{00000000-0005-0000-0000-0000241C0000}"/>
    <cellStyle name="Normal 23 5" xfId="1130" xr:uid="{00000000-0005-0000-0000-0000251C0000}"/>
    <cellStyle name="Normal 23 5 2" xfId="2869" xr:uid="{00000000-0005-0000-0000-0000261C0000}"/>
    <cellStyle name="Normal 23 5 2 2" xfId="5493" xr:uid="{00000000-0005-0000-0000-0000271C0000}"/>
    <cellStyle name="Normal 23 5 2 2 2" xfId="12722" xr:uid="{00000000-0005-0000-0000-0000281C0000}"/>
    <cellStyle name="Normal 23 5 2 3" xfId="10098" xr:uid="{00000000-0005-0000-0000-0000291C0000}"/>
    <cellStyle name="Normal 23 5 3" xfId="5492" xr:uid="{00000000-0005-0000-0000-00002A1C0000}"/>
    <cellStyle name="Normal 23 5 3 2" xfId="12721" xr:uid="{00000000-0005-0000-0000-00002B1C0000}"/>
    <cellStyle name="Normal 23 5 4" xfId="8360" xr:uid="{00000000-0005-0000-0000-00002C1C0000}"/>
    <cellStyle name="Normal 23 6" xfId="2002" xr:uid="{00000000-0005-0000-0000-00002D1C0000}"/>
    <cellStyle name="Normal 23 6 2" xfId="5494" xr:uid="{00000000-0005-0000-0000-00002E1C0000}"/>
    <cellStyle name="Normal 23 6 2 2" xfId="12723" xr:uid="{00000000-0005-0000-0000-00002F1C0000}"/>
    <cellStyle name="Normal 23 6 3" xfId="9231" xr:uid="{00000000-0005-0000-0000-0000301C0000}"/>
    <cellStyle name="Normal 23 7" xfId="5463" xr:uid="{00000000-0005-0000-0000-0000311C0000}"/>
    <cellStyle name="Normal 23 7 2" xfId="12692" xr:uid="{00000000-0005-0000-0000-0000321C0000}"/>
    <cellStyle name="Normal 23 8" xfId="7493" xr:uid="{00000000-0005-0000-0000-0000331C0000}"/>
    <cellStyle name="Normal 24" xfId="219" xr:uid="{00000000-0005-0000-0000-0000341C0000}"/>
    <cellStyle name="Normal 24 2" xfId="343" xr:uid="{00000000-0005-0000-0000-0000351C0000}"/>
    <cellStyle name="Normal 24 2 2" xfId="569" xr:uid="{00000000-0005-0000-0000-0000361C0000}"/>
    <cellStyle name="Normal 24 2 2 2" xfId="1015" xr:uid="{00000000-0005-0000-0000-0000371C0000}"/>
    <cellStyle name="Normal 24 2 2 2 2" xfId="1882" xr:uid="{00000000-0005-0000-0000-0000381C0000}"/>
    <cellStyle name="Normal 24 2 2 2 2 2" xfId="3621" xr:uid="{00000000-0005-0000-0000-0000391C0000}"/>
    <cellStyle name="Normal 24 2 2 2 2 2 2" xfId="5500" xr:uid="{00000000-0005-0000-0000-00003A1C0000}"/>
    <cellStyle name="Normal 24 2 2 2 2 2 2 2" xfId="12729" xr:uid="{00000000-0005-0000-0000-00003B1C0000}"/>
    <cellStyle name="Normal 24 2 2 2 2 2 3" xfId="10850" xr:uid="{00000000-0005-0000-0000-00003C1C0000}"/>
    <cellStyle name="Normal 24 2 2 2 2 3" xfId="5499" xr:uid="{00000000-0005-0000-0000-00003D1C0000}"/>
    <cellStyle name="Normal 24 2 2 2 2 3 2" xfId="12728" xr:uid="{00000000-0005-0000-0000-00003E1C0000}"/>
    <cellStyle name="Normal 24 2 2 2 2 4" xfId="9112" xr:uid="{00000000-0005-0000-0000-00003F1C0000}"/>
    <cellStyle name="Normal 24 2 2 2 3" xfId="2754" xr:uid="{00000000-0005-0000-0000-0000401C0000}"/>
    <cellStyle name="Normal 24 2 2 2 3 2" xfId="5501" xr:uid="{00000000-0005-0000-0000-0000411C0000}"/>
    <cellStyle name="Normal 24 2 2 2 3 2 2" xfId="12730" xr:uid="{00000000-0005-0000-0000-0000421C0000}"/>
    <cellStyle name="Normal 24 2 2 2 3 3" xfId="9983" xr:uid="{00000000-0005-0000-0000-0000431C0000}"/>
    <cellStyle name="Normal 24 2 2 2 4" xfId="5498" xr:uid="{00000000-0005-0000-0000-0000441C0000}"/>
    <cellStyle name="Normal 24 2 2 2 4 2" xfId="12727" xr:uid="{00000000-0005-0000-0000-0000451C0000}"/>
    <cellStyle name="Normal 24 2 2 2 5" xfId="8245" xr:uid="{00000000-0005-0000-0000-0000461C0000}"/>
    <cellStyle name="Normal 24 2 2 3" xfId="1451" xr:uid="{00000000-0005-0000-0000-0000471C0000}"/>
    <cellStyle name="Normal 24 2 2 3 2" xfId="3190" xr:uid="{00000000-0005-0000-0000-0000481C0000}"/>
    <cellStyle name="Normal 24 2 2 3 2 2" xfId="5503" xr:uid="{00000000-0005-0000-0000-0000491C0000}"/>
    <cellStyle name="Normal 24 2 2 3 2 2 2" xfId="12732" xr:uid="{00000000-0005-0000-0000-00004A1C0000}"/>
    <cellStyle name="Normal 24 2 2 3 2 3" xfId="10419" xr:uid="{00000000-0005-0000-0000-00004B1C0000}"/>
    <cellStyle name="Normal 24 2 2 3 3" xfId="5502" xr:uid="{00000000-0005-0000-0000-00004C1C0000}"/>
    <cellStyle name="Normal 24 2 2 3 3 2" xfId="12731" xr:uid="{00000000-0005-0000-0000-00004D1C0000}"/>
    <cellStyle name="Normal 24 2 2 3 4" xfId="8681" xr:uid="{00000000-0005-0000-0000-00004E1C0000}"/>
    <cellStyle name="Normal 24 2 2 4" xfId="2323" xr:uid="{00000000-0005-0000-0000-00004F1C0000}"/>
    <cellStyle name="Normal 24 2 2 4 2" xfId="5504" xr:uid="{00000000-0005-0000-0000-0000501C0000}"/>
    <cellStyle name="Normal 24 2 2 4 2 2" xfId="12733" xr:uid="{00000000-0005-0000-0000-0000511C0000}"/>
    <cellStyle name="Normal 24 2 2 4 3" xfId="9552" xr:uid="{00000000-0005-0000-0000-0000521C0000}"/>
    <cellStyle name="Normal 24 2 2 5" xfId="5497" xr:uid="{00000000-0005-0000-0000-0000531C0000}"/>
    <cellStyle name="Normal 24 2 2 5 2" xfId="12726" xr:uid="{00000000-0005-0000-0000-0000541C0000}"/>
    <cellStyle name="Normal 24 2 2 6" xfId="7814" xr:uid="{00000000-0005-0000-0000-0000551C0000}"/>
    <cellStyle name="Normal 24 2 3" xfId="791" xr:uid="{00000000-0005-0000-0000-0000561C0000}"/>
    <cellStyle name="Normal 24 2 3 2" xfId="1664" xr:uid="{00000000-0005-0000-0000-0000571C0000}"/>
    <cellStyle name="Normal 24 2 3 2 2" xfId="3403" xr:uid="{00000000-0005-0000-0000-0000581C0000}"/>
    <cellStyle name="Normal 24 2 3 2 2 2" xfId="5507" xr:uid="{00000000-0005-0000-0000-0000591C0000}"/>
    <cellStyle name="Normal 24 2 3 2 2 2 2" xfId="12736" xr:uid="{00000000-0005-0000-0000-00005A1C0000}"/>
    <cellStyle name="Normal 24 2 3 2 2 3" xfId="10632" xr:uid="{00000000-0005-0000-0000-00005B1C0000}"/>
    <cellStyle name="Normal 24 2 3 2 3" xfId="5506" xr:uid="{00000000-0005-0000-0000-00005C1C0000}"/>
    <cellStyle name="Normal 24 2 3 2 3 2" xfId="12735" xr:uid="{00000000-0005-0000-0000-00005D1C0000}"/>
    <cellStyle name="Normal 24 2 3 2 4" xfId="8894" xr:uid="{00000000-0005-0000-0000-00005E1C0000}"/>
    <cellStyle name="Normal 24 2 3 3" xfId="2536" xr:uid="{00000000-0005-0000-0000-00005F1C0000}"/>
    <cellStyle name="Normal 24 2 3 3 2" xfId="5508" xr:uid="{00000000-0005-0000-0000-0000601C0000}"/>
    <cellStyle name="Normal 24 2 3 3 2 2" xfId="12737" xr:uid="{00000000-0005-0000-0000-0000611C0000}"/>
    <cellStyle name="Normal 24 2 3 3 3" xfId="9765" xr:uid="{00000000-0005-0000-0000-0000621C0000}"/>
    <cellStyle name="Normal 24 2 3 4" xfId="5505" xr:uid="{00000000-0005-0000-0000-0000631C0000}"/>
    <cellStyle name="Normal 24 2 3 4 2" xfId="12734" xr:uid="{00000000-0005-0000-0000-0000641C0000}"/>
    <cellStyle name="Normal 24 2 3 5" xfId="8027" xr:uid="{00000000-0005-0000-0000-0000651C0000}"/>
    <cellStyle name="Normal 24 2 4" xfId="1233" xr:uid="{00000000-0005-0000-0000-0000661C0000}"/>
    <cellStyle name="Normal 24 2 4 2" xfId="2972" xr:uid="{00000000-0005-0000-0000-0000671C0000}"/>
    <cellStyle name="Normal 24 2 4 2 2" xfId="5510" xr:uid="{00000000-0005-0000-0000-0000681C0000}"/>
    <cellStyle name="Normal 24 2 4 2 2 2" xfId="12739" xr:uid="{00000000-0005-0000-0000-0000691C0000}"/>
    <cellStyle name="Normal 24 2 4 2 3" xfId="10201" xr:uid="{00000000-0005-0000-0000-00006A1C0000}"/>
    <cellStyle name="Normal 24 2 4 3" xfId="5509" xr:uid="{00000000-0005-0000-0000-00006B1C0000}"/>
    <cellStyle name="Normal 24 2 4 3 2" xfId="12738" xr:uid="{00000000-0005-0000-0000-00006C1C0000}"/>
    <cellStyle name="Normal 24 2 4 4" xfId="8463" xr:uid="{00000000-0005-0000-0000-00006D1C0000}"/>
    <cellStyle name="Normal 24 2 5" xfId="2105" xr:uid="{00000000-0005-0000-0000-00006E1C0000}"/>
    <cellStyle name="Normal 24 2 5 2" xfId="5511" xr:uid="{00000000-0005-0000-0000-00006F1C0000}"/>
    <cellStyle name="Normal 24 2 5 2 2" xfId="12740" xr:uid="{00000000-0005-0000-0000-0000701C0000}"/>
    <cellStyle name="Normal 24 2 5 3" xfId="9334" xr:uid="{00000000-0005-0000-0000-0000711C0000}"/>
    <cellStyle name="Normal 24 2 6" xfId="5496" xr:uid="{00000000-0005-0000-0000-0000721C0000}"/>
    <cellStyle name="Normal 24 2 6 2" xfId="12725" xr:uid="{00000000-0005-0000-0000-0000731C0000}"/>
    <cellStyle name="Normal 24 2 7" xfId="7596" xr:uid="{00000000-0005-0000-0000-0000741C0000}"/>
    <cellStyle name="Normal 24 3" xfId="467" xr:uid="{00000000-0005-0000-0000-0000751C0000}"/>
    <cellStyle name="Normal 24 3 2" xfId="913" xr:uid="{00000000-0005-0000-0000-0000761C0000}"/>
    <cellStyle name="Normal 24 3 2 2" xfId="1780" xr:uid="{00000000-0005-0000-0000-0000771C0000}"/>
    <cellStyle name="Normal 24 3 2 2 2" xfId="3519" xr:uid="{00000000-0005-0000-0000-0000781C0000}"/>
    <cellStyle name="Normal 24 3 2 2 2 2" xfId="5515" xr:uid="{00000000-0005-0000-0000-0000791C0000}"/>
    <cellStyle name="Normal 24 3 2 2 2 2 2" xfId="12744" xr:uid="{00000000-0005-0000-0000-00007A1C0000}"/>
    <cellStyle name="Normal 24 3 2 2 2 3" xfId="10748" xr:uid="{00000000-0005-0000-0000-00007B1C0000}"/>
    <cellStyle name="Normal 24 3 2 2 3" xfId="5514" xr:uid="{00000000-0005-0000-0000-00007C1C0000}"/>
    <cellStyle name="Normal 24 3 2 2 3 2" xfId="12743" xr:uid="{00000000-0005-0000-0000-00007D1C0000}"/>
    <cellStyle name="Normal 24 3 2 2 4" xfId="9010" xr:uid="{00000000-0005-0000-0000-00007E1C0000}"/>
    <cellStyle name="Normal 24 3 2 3" xfId="2652" xr:uid="{00000000-0005-0000-0000-00007F1C0000}"/>
    <cellStyle name="Normal 24 3 2 3 2" xfId="5516" xr:uid="{00000000-0005-0000-0000-0000801C0000}"/>
    <cellStyle name="Normal 24 3 2 3 2 2" xfId="12745" xr:uid="{00000000-0005-0000-0000-0000811C0000}"/>
    <cellStyle name="Normal 24 3 2 3 3" xfId="9881" xr:uid="{00000000-0005-0000-0000-0000821C0000}"/>
    <cellStyle name="Normal 24 3 2 4" xfId="5513" xr:uid="{00000000-0005-0000-0000-0000831C0000}"/>
    <cellStyle name="Normal 24 3 2 4 2" xfId="12742" xr:uid="{00000000-0005-0000-0000-0000841C0000}"/>
    <cellStyle name="Normal 24 3 2 5" xfId="8143" xr:uid="{00000000-0005-0000-0000-0000851C0000}"/>
    <cellStyle name="Normal 24 3 3" xfId="1349" xr:uid="{00000000-0005-0000-0000-0000861C0000}"/>
    <cellStyle name="Normal 24 3 3 2" xfId="3088" xr:uid="{00000000-0005-0000-0000-0000871C0000}"/>
    <cellStyle name="Normal 24 3 3 2 2" xfId="5518" xr:uid="{00000000-0005-0000-0000-0000881C0000}"/>
    <cellStyle name="Normal 24 3 3 2 2 2" xfId="12747" xr:uid="{00000000-0005-0000-0000-0000891C0000}"/>
    <cellStyle name="Normal 24 3 3 2 3" xfId="10317" xr:uid="{00000000-0005-0000-0000-00008A1C0000}"/>
    <cellStyle name="Normal 24 3 3 3" xfId="5517" xr:uid="{00000000-0005-0000-0000-00008B1C0000}"/>
    <cellStyle name="Normal 24 3 3 3 2" xfId="12746" xr:uid="{00000000-0005-0000-0000-00008C1C0000}"/>
    <cellStyle name="Normal 24 3 3 4" xfId="8579" xr:uid="{00000000-0005-0000-0000-00008D1C0000}"/>
    <cellStyle name="Normal 24 3 4" xfId="2221" xr:uid="{00000000-0005-0000-0000-00008E1C0000}"/>
    <cellStyle name="Normal 24 3 4 2" xfId="5519" xr:uid="{00000000-0005-0000-0000-00008F1C0000}"/>
    <cellStyle name="Normal 24 3 4 2 2" xfId="12748" xr:uid="{00000000-0005-0000-0000-0000901C0000}"/>
    <cellStyle name="Normal 24 3 4 3" xfId="9450" xr:uid="{00000000-0005-0000-0000-0000911C0000}"/>
    <cellStyle name="Normal 24 3 5" xfId="5512" xr:uid="{00000000-0005-0000-0000-0000921C0000}"/>
    <cellStyle name="Normal 24 3 5 2" xfId="12741" xr:uid="{00000000-0005-0000-0000-0000931C0000}"/>
    <cellStyle name="Normal 24 3 6" xfId="7712" xr:uid="{00000000-0005-0000-0000-0000941C0000}"/>
    <cellStyle name="Normal 24 4" xfId="689" xr:uid="{00000000-0005-0000-0000-0000951C0000}"/>
    <cellStyle name="Normal 24 4 2" xfId="1562" xr:uid="{00000000-0005-0000-0000-0000961C0000}"/>
    <cellStyle name="Normal 24 4 2 2" xfId="3301" xr:uid="{00000000-0005-0000-0000-0000971C0000}"/>
    <cellStyle name="Normal 24 4 2 2 2" xfId="5522" xr:uid="{00000000-0005-0000-0000-0000981C0000}"/>
    <cellStyle name="Normal 24 4 2 2 2 2" xfId="12751" xr:uid="{00000000-0005-0000-0000-0000991C0000}"/>
    <cellStyle name="Normal 24 4 2 2 3" xfId="10530" xr:uid="{00000000-0005-0000-0000-00009A1C0000}"/>
    <cellStyle name="Normal 24 4 2 3" xfId="5521" xr:uid="{00000000-0005-0000-0000-00009B1C0000}"/>
    <cellStyle name="Normal 24 4 2 3 2" xfId="12750" xr:uid="{00000000-0005-0000-0000-00009C1C0000}"/>
    <cellStyle name="Normal 24 4 2 4" xfId="8792" xr:uid="{00000000-0005-0000-0000-00009D1C0000}"/>
    <cellStyle name="Normal 24 4 3" xfId="2434" xr:uid="{00000000-0005-0000-0000-00009E1C0000}"/>
    <cellStyle name="Normal 24 4 3 2" xfId="5523" xr:uid="{00000000-0005-0000-0000-00009F1C0000}"/>
    <cellStyle name="Normal 24 4 3 2 2" xfId="12752" xr:uid="{00000000-0005-0000-0000-0000A01C0000}"/>
    <cellStyle name="Normal 24 4 3 3" xfId="9663" xr:uid="{00000000-0005-0000-0000-0000A11C0000}"/>
    <cellStyle name="Normal 24 4 4" xfId="5520" xr:uid="{00000000-0005-0000-0000-0000A21C0000}"/>
    <cellStyle name="Normal 24 4 4 2" xfId="12749" xr:uid="{00000000-0005-0000-0000-0000A31C0000}"/>
    <cellStyle name="Normal 24 4 5" xfId="7925" xr:uid="{00000000-0005-0000-0000-0000A41C0000}"/>
    <cellStyle name="Normal 24 5" xfId="1131" xr:uid="{00000000-0005-0000-0000-0000A51C0000}"/>
    <cellStyle name="Normal 24 5 2" xfId="2870" xr:uid="{00000000-0005-0000-0000-0000A61C0000}"/>
    <cellStyle name="Normal 24 5 2 2" xfId="5525" xr:uid="{00000000-0005-0000-0000-0000A71C0000}"/>
    <cellStyle name="Normal 24 5 2 2 2" xfId="12754" xr:uid="{00000000-0005-0000-0000-0000A81C0000}"/>
    <cellStyle name="Normal 24 5 2 3" xfId="10099" xr:uid="{00000000-0005-0000-0000-0000A91C0000}"/>
    <cellStyle name="Normal 24 5 3" xfId="5524" xr:uid="{00000000-0005-0000-0000-0000AA1C0000}"/>
    <cellStyle name="Normal 24 5 3 2" xfId="12753" xr:uid="{00000000-0005-0000-0000-0000AB1C0000}"/>
    <cellStyle name="Normal 24 5 4" xfId="8361" xr:uid="{00000000-0005-0000-0000-0000AC1C0000}"/>
    <cellStyle name="Normal 24 6" xfId="2003" xr:uid="{00000000-0005-0000-0000-0000AD1C0000}"/>
    <cellStyle name="Normal 24 6 2" xfId="5526" xr:uid="{00000000-0005-0000-0000-0000AE1C0000}"/>
    <cellStyle name="Normal 24 6 2 2" xfId="12755" xr:uid="{00000000-0005-0000-0000-0000AF1C0000}"/>
    <cellStyle name="Normal 24 6 3" xfId="9232" xr:uid="{00000000-0005-0000-0000-0000B01C0000}"/>
    <cellStyle name="Normal 24 7" xfId="5495" xr:uid="{00000000-0005-0000-0000-0000B11C0000}"/>
    <cellStyle name="Normal 24 7 2" xfId="12724" xr:uid="{00000000-0005-0000-0000-0000B21C0000}"/>
    <cellStyle name="Normal 24 8" xfId="7494" xr:uid="{00000000-0005-0000-0000-0000B31C0000}"/>
    <cellStyle name="Normal 25" xfId="261" xr:uid="{00000000-0005-0000-0000-0000B41C0000}"/>
    <cellStyle name="Normal 25 2" xfId="363" xr:uid="{00000000-0005-0000-0000-0000B51C0000}"/>
    <cellStyle name="Normal 25 2 2" xfId="589" xr:uid="{00000000-0005-0000-0000-0000B61C0000}"/>
    <cellStyle name="Normal 25 2 2 2" xfId="1035" xr:uid="{00000000-0005-0000-0000-0000B71C0000}"/>
    <cellStyle name="Normal 25 2 2 2 2" xfId="1902" xr:uid="{00000000-0005-0000-0000-0000B81C0000}"/>
    <cellStyle name="Normal 25 2 2 2 2 2" xfId="3641" xr:uid="{00000000-0005-0000-0000-0000B91C0000}"/>
    <cellStyle name="Normal 25 2 2 2 2 2 2" xfId="5532" xr:uid="{00000000-0005-0000-0000-0000BA1C0000}"/>
    <cellStyle name="Normal 25 2 2 2 2 2 2 2" xfId="12761" xr:uid="{00000000-0005-0000-0000-0000BB1C0000}"/>
    <cellStyle name="Normal 25 2 2 2 2 2 3" xfId="10870" xr:uid="{00000000-0005-0000-0000-0000BC1C0000}"/>
    <cellStyle name="Normal 25 2 2 2 2 3" xfId="5531" xr:uid="{00000000-0005-0000-0000-0000BD1C0000}"/>
    <cellStyle name="Normal 25 2 2 2 2 3 2" xfId="12760" xr:uid="{00000000-0005-0000-0000-0000BE1C0000}"/>
    <cellStyle name="Normal 25 2 2 2 2 4" xfId="9132" xr:uid="{00000000-0005-0000-0000-0000BF1C0000}"/>
    <cellStyle name="Normal 25 2 2 2 3" xfId="2774" xr:uid="{00000000-0005-0000-0000-0000C01C0000}"/>
    <cellStyle name="Normal 25 2 2 2 3 2" xfId="5533" xr:uid="{00000000-0005-0000-0000-0000C11C0000}"/>
    <cellStyle name="Normal 25 2 2 2 3 2 2" xfId="12762" xr:uid="{00000000-0005-0000-0000-0000C21C0000}"/>
    <cellStyle name="Normal 25 2 2 2 3 3" xfId="10003" xr:uid="{00000000-0005-0000-0000-0000C31C0000}"/>
    <cellStyle name="Normal 25 2 2 2 4" xfId="5530" xr:uid="{00000000-0005-0000-0000-0000C41C0000}"/>
    <cellStyle name="Normal 25 2 2 2 4 2" xfId="12759" xr:uid="{00000000-0005-0000-0000-0000C51C0000}"/>
    <cellStyle name="Normal 25 2 2 2 5" xfId="8265" xr:uid="{00000000-0005-0000-0000-0000C61C0000}"/>
    <cellStyle name="Normal 25 2 2 3" xfId="1471" xr:uid="{00000000-0005-0000-0000-0000C71C0000}"/>
    <cellStyle name="Normal 25 2 2 3 2" xfId="3210" xr:uid="{00000000-0005-0000-0000-0000C81C0000}"/>
    <cellStyle name="Normal 25 2 2 3 2 2" xfId="5535" xr:uid="{00000000-0005-0000-0000-0000C91C0000}"/>
    <cellStyle name="Normal 25 2 2 3 2 2 2" xfId="12764" xr:uid="{00000000-0005-0000-0000-0000CA1C0000}"/>
    <cellStyle name="Normal 25 2 2 3 2 3" xfId="10439" xr:uid="{00000000-0005-0000-0000-0000CB1C0000}"/>
    <cellStyle name="Normal 25 2 2 3 3" xfId="5534" xr:uid="{00000000-0005-0000-0000-0000CC1C0000}"/>
    <cellStyle name="Normal 25 2 2 3 3 2" xfId="12763" xr:uid="{00000000-0005-0000-0000-0000CD1C0000}"/>
    <cellStyle name="Normal 25 2 2 3 4" xfId="8701" xr:uid="{00000000-0005-0000-0000-0000CE1C0000}"/>
    <cellStyle name="Normal 25 2 2 4" xfId="2343" xr:uid="{00000000-0005-0000-0000-0000CF1C0000}"/>
    <cellStyle name="Normal 25 2 2 4 2" xfId="5536" xr:uid="{00000000-0005-0000-0000-0000D01C0000}"/>
    <cellStyle name="Normal 25 2 2 4 2 2" xfId="12765" xr:uid="{00000000-0005-0000-0000-0000D11C0000}"/>
    <cellStyle name="Normal 25 2 2 4 3" xfId="9572" xr:uid="{00000000-0005-0000-0000-0000D21C0000}"/>
    <cellStyle name="Normal 25 2 2 5" xfId="5529" xr:uid="{00000000-0005-0000-0000-0000D31C0000}"/>
    <cellStyle name="Normal 25 2 2 5 2" xfId="12758" xr:uid="{00000000-0005-0000-0000-0000D41C0000}"/>
    <cellStyle name="Normal 25 2 2 6" xfId="7834" xr:uid="{00000000-0005-0000-0000-0000D51C0000}"/>
    <cellStyle name="Normal 25 2 3" xfId="811" xr:uid="{00000000-0005-0000-0000-0000D61C0000}"/>
    <cellStyle name="Normal 25 2 3 2" xfId="1684" xr:uid="{00000000-0005-0000-0000-0000D71C0000}"/>
    <cellStyle name="Normal 25 2 3 2 2" xfId="3423" xr:uid="{00000000-0005-0000-0000-0000D81C0000}"/>
    <cellStyle name="Normal 25 2 3 2 2 2" xfId="5539" xr:uid="{00000000-0005-0000-0000-0000D91C0000}"/>
    <cellStyle name="Normal 25 2 3 2 2 2 2" xfId="12768" xr:uid="{00000000-0005-0000-0000-0000DA1C0000}"/>
    <cellStyle name="Normal 25 2 3 2 2 3" xfId="10652" xr:uid="{00000000-0005-0000-0000-0000DB1C0000}"/>
    <cellStyle name="Normal 25 2 3 2 3" xfId="5538" xr:uid="{00000000-0005-0000-0000-0000DC1C0000}"/>
    <cellStyle name="Normal 25 2 3 2 3 2" xfId="12767" xr:uid="{00000000-0005-0000-0000-0000DD1C0000}"/>
    <cellStyle name="Normal 25 2 3 2 4" xfId="8914" xr:uid="{00000000-0005-0000-0000-0000DE1C0000}"/>
    <cellStyle name="Normal 25 2 3 3" xfId="2556" xr:uid="{00000000-0005-0000-0000-0000DF1C0000}"/>
    <cellStyle name="Normal 25 2 3 3 2" xfId="5540" xr:uid="{00000000-0005-0000-0000-0000E01C0000}"/>
    <cellStyle name="Normal 25 2 3 3 2 2" xfId="12769" xr:uid="{00000000-0005-0000-0000-0000E11C0000}"/>
    <cellStyle name="Normal 25 2 3 3 3" xfId="9785" xr:uid="{00000000-0005-0000-0000-0000E21C0000}"/>
    <cellStyle name="Normal 25 2 3 4" xfId="5537" xr:uid="{00000000-0005-0000-0000-0000E31C0000}"/>
    <cellStyle name="Normal 25 2 3 4 2" xfId="12766" xr:uid="{00000000-0005-0000-0000-0000E41C0000}"/>
    <cellStyle name="Normal 25 2 3 5" xfId="8047" xr:uid="{00000000-0005-0000-0000-0000E51C0000}"/>
    <cellStyle name="Normal 25 2 4" xfId="1253" xr:uid="{00000000-0005-0000-0000-0000E61C0000}"/>
    <cellStyle name="Normal 25 2 4 2" xfId="2992" xr:uid="{00000000-0005-0000-0000-0000E71C0000}"/>
    <cellStyle name="Normal 25 2 4 2 2" xfId="5542" xr:uid="{00000000-0005-0000-0000-0000E81C0000}"/>
    <cellStyle name="Normal 25 2 4 2 2 2" xfId="12771" xr:uid="{00000000-0005-0000-0000-0000E91C0000}"/>
    <cellStyle name="Normal 25 2 4 2 3" xfId="10221" xr:uid="{00000000-0005-0000-0000-0000EA1C0000}"/>
    <cellStyle name="Normal 25 2 4 3" xfId="5541" xr:uid="{00000000-0005-0000-0000-0000EB1C0000}"/>
    <cellStyle name="Normal 25 2 4 3 2" xfId="12770" xr:uid="{00000000-0005-0000-0000-0000EC1C0000}"/>
    <cellStyle name="Normal 25 2 4 4" xfId="8483" xr:uid="{00000000-0005-0000-0000-0000ED1C0000}"/>
    <cellStyle name="Normal 25 2 5" xfId="2125" xr:uid="{00000000-0005-0000-0000-0000EE1C0000}"/>
    <cellStyle name="Normal 25 2 5 2" xfId="5543" xr:uid="{00000000-0005-0000-0000-0000EF1C0000}"/>
    <cellStyle name="Normal 25 2 5 2 2" xfId="12772" xr:uid="{00000000-0005-0000-0000-0000F01C0000}"/>
    <cellStyle name="Normal 25 2 5 3" xfId="9354" xr:uid="{00000000-0005-0000-0000-0000F11C0000}"/>
    <cellStyle name="Normal 25 2 6" xfId="5528" xr:uid="{00000000-0005-0000-0000-0000F21C0000}"/>
    <cellStyle name="Normal 25 2 6 2" xfId="12757" xr:uid="{00000000-0005-0000-0000-0000F31C0000}"/>
    <cellStyle name="Normal 25 2 7" xfId="7616" xr:uid="{00000000-0005-0000-0000-0000F41C0000}"/>
    <cellStyle name="Normal 25 3" xfId="487" xr:uid="{00000000-0005-0000-0000-0000F51C0000}"/>
    <cellStyle name="Normal 25 3 2" xfId="933" xr:uid="{00000000-0005-0000-0000-0000F61C0000}"/>
    <cellStyle name="Normal 25 3 2 2" xfId="1800" xr:uid="{00000000-0005-0000-0000-0000F71C0000}"/>
    <cellStyle name="Normal 25 3 2 2 2" xfId="3539" xr:uid="{00000000-0005-0000-0000-0000F81C0000}"/>
    <cellStyle name="Normal 25 3 2 2 2 2" xfId="5547" xr:uid="{00000000-0005-0000-0000-0000F91C0000}"/>
    <cellStyle name="Normal 25 3 2 2 2 2 2" xfId="12776" xr:uid="{00000000-0005-0000-0000-0000FA1C0000}"/>
    <cellStyle name="Normal 25 3 2 2 2 3" xfId="10768" xr:uid="{00000000-0005-0000-0000-0000FB1C0000}"/>
    <cellStyle name="Normal 25 3 2 2 3" xfId="5546" xr:uid="{00000000-0005-0000-0000-0000FC1C0000}"/>
    <cellStyle name="Normal 25 3 2 2 3 2" xfId="12775" xr:uid="{00000000-0005-0000-0000-0000FD1C0000}"/>
    <cellStyle name="Normal 25 3 2 2 4" xfId="9030" xr:uid="{00000000-0005-0000-0000-0000FE1C0000}"/>
    <cellStyle name="Normal 25 3 2 3" xfId="2672" xr:uid="{00000000-0005-0000-0000-0000FF1C0000}"/>
    <cellStyle name="Normal 25 3 2 3 2" xfId="5548" xr:uid="{00000000-0005-0000-0000-0000001D0000}"/>
    <cellStyle name="Normal 25 3 2 3 2 2" xfId="12777" xr:uid="{00000000-0005-0000-0000-0000011D0000}"/>
    <cellStyle name="Normal 25 3 2 3 3" xfId="9901" xr:uid="{00000000-0005-0000-0000-0000021D0000}"/>
    <cellStyle name="Normal 25 3 2 4" xfId="5545" xr:uid="{00000000-0005-0000-0000-0000031D0000}"/>
    <cellStyle name="Normal 25 3 2 4 2" xfId="12774" xr:uid="{00000000-0005-0000-0000-0000041D0000}"/>
    <cellStyle name="Normal 25 3 2 5" xfId="8163" xr:uid="{00000000-0005-0000-0000-0000051D0000}"/>
    <cellStyle name="Normal 25 3 3" xfId="1369" xr:uid="{00000000-0005-0000-0000-0000061D0000}"/>
    <cellStyle name="Normal 25 3 3 2" xfId="3108" xr:uid="{00000000-0005-0000-0000-0000071D0000}"/>
    <cellStyle name="Normal 25 3 3 2 2" xfId="5550" xr:uid="{00000000-0005-0000-0000-0000081D0000}"/>
    <cellStyle name="Normal 25 3 3 2 2 2" xfId="12779" xr:uid="{00000000-0005-0000-0000-0000091D0000}"/>
    <cellStyle name="Normal 25 3 3 2 3" xfId="10337" xr:uid="{00000000-0005-0000-0000-00000A1D0000}"/>
    <cellStyle name="Normal 25 3 3 3" xfId="5549" xr:uid="{00000000-0005-0000-0000-00000B1D0000}"/>
    <cellStyle name="Normal 25 3 3 3 2" xfId="12778" xr:uid="{00000000-0005-0000-0000-00000C1D0000}"/>
    <cellStyle name="Normal 25 3 3 4" xfId="8599" xr:uid="{00000000-0005-0000-0000-00000D1D0000}"/>
    <cellStyle name="Normal 25 3 4" xfId="2241" xr:uid="{00000000-0005-0000-0000-00000E1D0000}"/>
    <cellStyle name="Normal 25 3 4 2" xfId="5551" xr:uid="{00000000-0005-0000-0000-00000F1D0000}"/>
    <cellStyle name="Normal 25 3 4 2 2" xfId="12780" xr:uid="{00000000-0005-0000-0000-0000101D0000}"/>
    <cellStyle name="Normal 25 3 4 3" xfId="9470" xr:uid="{00000000-0005-0000-0000-0000111D0000}"/>
    <cellStyle name="Normal 25 3 5" xfId="5544" xr:uid="{00000000-0005-0000-0000-0000121D0000}"/>
    <cellStyle name="Normal 25 3 5 2" xfId="12773" xr:uid="{00000000-0005-0000-0000-0000131D0000}"/>
    <cellStyle name="Normal 25 3 6" xfId="7732" xr:uid="{00000000-0005-0000-0000-0000141D0000}"/>
    <cellStyle name="Normal 25 4" xfId="709" xr:uid="{00000000-0005-0000-0000-0000151D0000}"/>
    <cellStyle name="Normal 25 4 2" xfId="1582" xr:uid="{00000000-0005-0000-0000-0000161D0000}"/>
    <cellStyle name="Normal 25 4 2 2" xfId="3321" xr:uid="{00000000-0005-0000-0000-0000171D0000}"/>
    <cellStyle name="Normal 25 4 2 2 2" xfId="5554" xr:uid="{00000000-0005-0000-0000-0000181D0000}"/>
    <cellStyle name="Normal 25 4 2 2 2 2" xfId="12783" xr:uid="{00000000-0005-0000-0000-0000191D0000}"/>
    <cellStyle name="Normal 25 4 2 2 3" xfId="10550" xr:uid="{00000000-0005-0000-0000-00001A1D0000}"/>
    <cellStyle name="Normal 25 4 2 3" xfId="5553" xr:uid="{00000000-0005-0000-0000-00001B1D0000}"/>
    <cellStyle name="Normal 25 4 2 3 2" xfId="12782" xr:uid="{00000000-0005-0000-0000-00001C1D0000}"/>
    <cellStyle name="Normal 25 4 2 4" xfId="8812" xr:uid="{00000000-0005-0000-0000-00001D1D0000}"/>
    <cellStyle name="Normal 25 4 3" xfId="2454" xr:uid="{00000000-0005-0000-0000-00001E1D0000}"/>
    <cellStyle name="Normal 25 4 3 2" xfId="5555" xr:uid="{00000000-0005-0000-0000-00001F1D0000}"/>
    <cellStyle name="Normal 25 4 3 2 2" xfId="12784" xr:uid="{00000000-0005-0000-0000-0000201D0000}"/>
    <cellStyle name="Normal 25 4 3 3" xfId="9683" xr:uid="{00000000-0005-0000-0000-0000211D0000}"/>
    <cellStyle name="Normal 25 4 4" xfId="5552" xr:uid="{00000000-0005-0000-0000-0000221D0000}"/>
    <cellStyle name="Normal 25 4 4 2" xfId="12781" xr:uid="{00000000-0005-0000-0000-0000231D0000}"/>
    <cellStyle name="Normal 25 4 5" xfId="7945" xr:uid="{00000000-0005-0000-0000-0000241D0000}"/>
    <cellStyle name="Normal 25 5" xfId="1151" xr:uid="{00000000-0005-0000-0000-0000251D0000}"/>
    <cellStyle name="Normal 25 5 2" xfId="2890" xr:uid="{00000000-0005-0000-0000-0000261D0000}"/>
    <cellStyle name="Normal 25 5 2 2" xfId="5557" xr:uid="{00000000-0005-0000-0000-0000271D0000}"/>
    <cellStyle name="Normal 25 5 2 2 2" xfId="12786" xr:uid="{00000000-0005-0000-0000-0000281D0000}"/>
    <cellStyle name="Normal 25 5 2 3" xfId="10119" xr:uid="{00000000-0005-0000-0000-0000291D0000}"/>
    <cellStyle name="Normal 25 5 3" xfId="5556" xr:uid="{00000000-0005-0000-0000-00002A1D0000}"/>
    <cellStyle name="Normal 25 5 3 2" xfId="12785" xr:uid="{00000000-0005-0000-0000-00002B1D0000}"/>
    <cellStyle name="Normal 25 5 4" xfId="8381" xr:uid="{00000000-0005-0000-0000-00002C1D0000}"/>
    <cellStyle name="Normal 25 6" xfId="2023" xr:uid="{00000000-0005-0000-0000-00002D1D0000}"/>
    <cellStyle name="Normal 25 6 2" xfId="5558" xr:uid="{00000000-0005-0000-0000-00002E1D0000}"/>
    <cellStyle name="Normal 25 6 2 2" xfId="12787" xr:uid="{00000000-0005-0000-0000-00002F1D0000}"/>
    <cellStyle name="Normal 25 6 3" xfId="9252" xr:uid="{00000000-0005-0000-0000-0000301D0000}"/>
    <cellStyle name="Normal 25 7" xfId="5527" xr:uid="{00000000-0005-0000-0000-0000311D0000}"/>
    <cellStyle name="Normal 25 7 2" xfId="12756" xr:uid="{00000000-0005-0000-0000-0000321D0000}"/>
    <cellStyle name="Normal 25 8" xfId="7514" xr:uid="{00000000-0005-0000-0000-0000331D0000}"/>
    <cellStyle name="Normal 26" xfId="262" xr:uid="{00000000-0005-0000-0000-0000341D0000}"/>
    <cellStyle name="Normal 26 2" xfId="364" xr:uid="{00000000-0005-0000-0000-0000351D0000}"/>
    <cellStyle name="Normal 26 2 2" xfId="590" xr:uid="{00000000-0005-0000-0000-0000361D0000}"/>
    <cellStyle name="Normal 26 2 2 2" xfId="1036" xr:uid="{00000000-0005-0000-0000-0000371D0000}"/>
    <cellStyle name="Normal 26 2 2 2 2" xfId="1903" xr:uid="{00000000-0005-0000-0000-0000381D0000}"/>
    <cellStyle name="Normal 26 2 2 2 2 2" xfId="3642" xr:uid="{00000000-0005-0000-0000-0000391D0000}"/>
    <cellStyle name="Normal 26 2 2 2 2 2 2" xfId="5564" xr:uid="{00000000-0005-0000-0000-00003A1D0000}"/>
    <cellStyle name="Normal 26 2 2 2 2 2 2 2" xfId="12793" xr:uid="{00000000-0005-0000-0000-00003B1D0000}"/>
    <cellStyle name="Normal 26 2 2 2 2 2 3" xfId="10871" xr:uid="{00000000-0005-0000-0000-00003C1D0000}"/>
    <cellStyle name="Normal 26 2 2 2 2 3" xfId="5563" xr:uid="{00000000-0005-0000-0000-00003D1D0000}"/>
    <cellStyle name="Normal 26 2 2 2 2 3 2" xfId="12792" xr:uid="{00000000-0005-0000-0000-00003E1D0000}"/>
    <cellStyle name="Normal 26 2 2 2 2 4" xfId="9133" xr:uid="{00000000-0005-0000-0000-00003F1D0000}"/>
    <cellStyle name="Normal 26 2 2 2 3" xfId="2775" xr:uid="{00000000-0005-0000-0000-0000401D0000}"/>
    <cellStyle name="Normal 26 2 2 2 3 2" xfId="5565" xr:uid="{00000000-0005-0000-0000-0000411D0000}"/>
    <cellStyle name="Normal 26 2 2 2 3 2 2" xfId="12794" xr:uid="{00000000-0005-0000-0000-0000421D0000}"/>
    <cellStyle name="Normal 26 2 2 2 3 3" xfId="10004" xr:uid="{00000000-0005-0000-0000-0000431D0000}"/>
    <cellStyle name="Normal 26 2 2 2 4" xfId="5562" xr:uid="{00000000-0005-0000-0000-0000441D0000}"/>
    <cellStyle name="Normal 26 2 2 2 4 2" xfId="12791" xr:uid="{00000000-0005-0000-0000-0000451D0000}"/>
    <cellStyle name="Normal 26 2 2 2 5" xfId="8266" xr:uid="{00000000-0005-0000-0000-0000461D0000}"/>
    <cellStyle name="Normal 26 2 2 3" xfId="1472" xr:uid="{00000000-0005-0000-0000-0000471D0000}"/>
    <cellStyle name="Normal 26 2 2 3 2" xfId="3211" xr:uid="{00000000-0005-0000-0000-0000481D0000}"/>
    <cellStyle name="Normal 26 2 2 3 2 2" xfId="5567" xr:uid="{00000000-0005-0000-0000-0000491D0000}"/>
    <cellStyle name="Normal 26 2 2 3 2 2 2" xfId="12796" xr:uid="{00000000-0005-0000-0000-00004A1D0000}"/>
    <cellStyle name="Normal 26 2 2 3 2 3" xfId="10440" xr:uid="{00000000-0005-0000-0000-00004B1D0000}"/>
    <cellStyle name="Normal 26 2 2 3 3" xfId="5566" xr:uid="{00000000-0005-0000-0000-00004C1D0000}"/>
    <cellStyle name="Normal 26 2 2 3 3 2" xfId="12795" xr:uid="{00000000-0005-0000-0000-00004D1D0000}"/>
    <cellStyle name="Normal 26 2 2 3 4" xfId="8702" xr:uid="{00000000-0005-0000-0000-00004E1D0000}"/>
    <cellStyle name="Normal 26 2 2 4" xfId="2344" xr:uid="{00000000-0005-0000-0000-00004F1D0000}"/>
    <cellStyle name="Normal 26 2 2 4 2" xfId="5568" xr:uid="{00000000-0005-0000-0000-0000501D0000}"/>
    <cellStyle name="Normal 26 2 2 4 2 2" xfId="12797" xr:uid="{00000000-0005-0000-0000-0000511D0000}"/>
    <cellStyle name="Normal 26 2 2 4 3" xfId="9573" xr:uid="{00000000-0005-0000-0000-0000521D0000}"/>
    <cellStyle name="Normal 26 2 2 5" xfId="5561" xr:uid="{00000000-0005-0000-0000-0000531D0000}"/>
    <cellStyle name="Normal 26 2 2 5 2" xfId="12790" xr:uid="{00000000-0005-0000-0000-0000541D0000}"/>
    <cellStyle name="Normal 26 2 2 6" xfId="7835" xr:uid="{00000000-0005-0000-0000-0000551D0000}"/>
    <cellStyle name="Normal 26 2 3" xfId="812" xr:uid="{00000000-0005-0000-0000-0000561D0000}"/>
    <cellStyle name="Normal 26 2 3 2" xfId="1685" xr:uid="{00000000-0005-0000-0000-0000571D0000}"/>
    <cellStyle name="Normal 26 2 3 2 2" xfId="3424" xr:uid="{00000000-0005-0000-0000-0000581D0000}"/>
    <cellStyle name="Normal 26 2 3 2 2 2" xfId="5571" xr:uid="{00000000-0005-0000-0000-0000591D0000}"/>
    <cellStyle name="Normal 26 2 3 2 2 2 2" xfId="12800" xr:uid="{00000000-0005-0000-0000-00005A1D0000}"/>
    <cellStyle name="Normal 26 2 3 2 2 3" xfId="10653" xr:uid="{00000000-0005-0000-0000-00005B1D0000}"/>
    <cellStyle name="Normal 26 2 3 2 3" xfId="5570" xr:uid="{00000000-0005-0000-0000-00005C1D0000}"/>
    <cellStyle name="Normal 26 2 3 2 3 2" xfId="12799" xr:uid="{00000000-0005-0000-0000-00005D1D0000}"/>
    <cellStyle name="Normal 26 2 3 2 4" xfId="8915" xr:uid="{00000000-0005-0000-0000-00005E1D0000}"/>
    <cellStyle name="Normal 26 2 3 3" xfId="2557" xr:uid="{00000000-0005-0000-0000-00005F1D0000}"/>
    <cellStyle name="Normal 26 2 3 3 2" xfId="5572" xr:uid="{00000000-0005-0000-0000-0000601D0000}"/>
    <cellStyle name="Normal 26 2 3 3 2 2" xfId="12801" xr:uid="{00000000-0005-0000-0000-0000611D0000}"/>
    <cellStyle name="Normal 26 2 3 3 3" xfId="9786" xr:uid="{00000000-0005-0000-0000-0000621D0000}"/>
    <cellStyle name="Normal 26 2 3 4" xfId="5569" xr:uid="{00000000-0005-0000-0000-0000631D0000}"/>
    <cellStyle name="Normal 26 2 3 4 2" xfId="12798" xr:uid="{00000000-0005-0000-0000-0000641D0000}"/>
    <cellStyle name="Normal 26 2 3 5" xfId="8048" xr:uid="{00000000-0005-0000-0000-0000651D0000}"/>
    <cellStyle name="Normal 26 2 4" xfId="1254" xr:uid="{00000000-0005-0000-0000-0000661D0000}"/>
    <cellStyle name="Normal 26 2 4 2" xfId="2993" xr:uid="{00000000-0005-0000-0000-0000671D0000}"/>
    <cellStyle name="Normal 26 2 4 2 2" xfId="5574" xr:uid="{00000000-0005-0000-0000-0000681D0000}"/>
    <cellStyle name="Normal 26 2 4 2 2 2" xfId="12803" xr:uid="{00000000-0005-0000-0000-0000691D0000}"/>
    <cellStyle name="Normal 26 2 4 2 3" xfId="10222" xr:uid="{00000000-0005-0000-0000-00006A1D0000}"/>
    <cellStyle name="Normal 26 2 4 3" xfId="5573" xr:uid="{00000000-0005-0000-0000-00006B1D0000}"/>
    <cellStyle name="Normal 26 2 4 3 2" xfId="12802" xr:uid="{00000000-0005-0000-0000-00006C1D0000}"/>
    <cellStyle name="Normal 26 2 4 4" xfId="8484" xr:uid="{00000000-0005-0000-0000-00006D1D0000}"/>
    <cellStyle name="Normal 26 2 5" xfId="2126" xr:uid="{00000000-0005-0000-0000-00006E1D0000}"/>
    <cellStyle name="Normal 26 2 5 2" xfId="5575" xr:uid="{00000000-0005-0000-0000-00006F1D0000}"/>
    <cellStyle name="Normal 26 2 5 2 2" xfId="12804" xr:uid="{00000000-0005-0000-0000-0000701D0000}"/>
    <cellStyle name="Normal 26 2 5 3" xfId="9355" xr:uid="{00000000-0005-0000-0000-0000711D0000}"/>
    <cellStyle name="Normal 26 2 6" xfId="5560" xr:uid="{00000000-0005-0000-0000-0000721D0000}"/>
    <cellStyle name="Normal 26 2 6 2" xfId="12789" xr:uid="{00000000-0005-0000-0000-0000731D0000}"/>
    <cellStyle name="Normal 26 2 7" xfId="7617" xr:uid="{00000000-0005-0000-0000-0000741D0000}"/>
    <cellStyle name="Normal 26 3" xfId="488" xr:uid="{00000000-0005-0000-0000-0000751D0000}"/>
    <cellStyle name="Normal 26 3 2" xfId="934" xr:uid="{00000000-0005-0000-0000-0000761D0000}"/>
    <cellStyle name="Normal 26 3 2 2" xfId="1801" xr:uid="{00000000-0005-0000-0000-0000771D0000}"/>
    <cellStyle name="Normal 26 3 2 2 2" xfId="3540" xr:uid="{00000000-0005-0000-0000-0000781D0000}"/>
    <cellStyle name="Normal 26 3 2 2 2 2" xfId="5579" xr:uid="{00000000-0005-0000-0000-0000791D0000}"/>
    <cellStyle name="Normal 26 3 2 2 2 2 2" xfId="12808" xr:uid="{00000000-0005-0000-0000-00007A1D0000}"/>
    <cellStyle name="Normal 26 3 2 2 2 3" xfId="10769" xr:uid="{00000000-0005-0000-0000-00007B1D0000}"/>
    <cellStyle name="Normal 26 3 2 2 3" xfId="5578" xr:uid="{00000000-0005-0000-0000-00007C1D0000}"/>
    <cellStyle name="Normal 26 3 2 2 3 2" xfId="12807" xr:uid="{00000000-0005-0000-0000-00007D1D0000}"/>
    <cellStyle name="Normal 26 3 2 2 4" xfId="9031" xr:uid="{00000000-0005-0000-0000-00007E1D0000}"/>
    <cellStyle name="Normal 26 3 2 3" xfId="2673" xr:uid="{00000000-0005-0000-0000-00007F1D0000}"/>
    <cellStyle name="Normal 26 3 2 3 2" xfId="5580" xr:uid="{00000000-0005-0000-0000-0000801D0000}"/>
    <cellStyle name="Normal 26 3 2 3 2 2" xfId="12809" xr:uid="{00000000-0005-0000-0000-0000811D0000}"/>
    <cellStyle name="Normal 26 3 2 3 3" xfId="9902" xr:uid="{00000000-0005-0000-0000-0000821D0000}"/>
    <cellStyle name="Normal 26 3 2 4" xfId="5577" xr:uid="{00000000-0005-0000-0000-0000831D0000}"/>
    <cellStyle name="Normal 26 3 2 4 2" xfId="12806" xr:uid="{00000000-0005-0000-0000-0000841D0000}"/>
    <cellStyle name="Normal 26 3 2 5" xfId="8164" xr:uid="{00000000-0005-0000-0000-0000851D0000}"/>
    <cellStyle name="Normal 26 3 3" xfId="1370" xr:uid="{00000000-0005-0000-0000-0000861D0000}"/>
    <cellStyle name="Normal 26 3 3 2" xfId="3109" xr:uid="{00000000-0005-0000-0000-0000871D0000}"/>
    <cellStyle name="Normal 26 3 3 2 2" xfId="5582" xr:uid="{00000000-0005-0000-0000-0000881D0000}"/>
    <cellStyle name="Normal 26 3 3 2 2 2" xfId="12811" xr:uid="{00000000-0005-0000-0000-0000891D0000}"/>
    <cellStyle name="Normal 26 3 3 2 3" xfId="10338" xr:uid="{00000000-0005-0000-0000-00008A1D0000}"/>
    <cellStyle name="Normal 26 3 3 3" xfId="5581" xr:uid="{00000000-0005-0000-0000-00008B1D0000}"/>
    <cellStyle name="Normal 26 3 3 3 2" xfId="12810" xr:uid="{00000000-0005-0000-0000-00008C1D0000}"/>
    <cellStyle name="Normal 26 3 3 4" xfId="8600" xr:uid="{00000000-0005-0000-0000-00008D1D0000}"/>
    <cellStyle name="Normal 26 3 4" xfId="2242" xr:uid="{00000000-0005-0000-0000-00008E1D0000}"/>
    <cellStyle name="Normal 26 3 4 2" xfId="5583" xr:uid="{00000000-0005-0000-0000-00008F1D0000}"/>
    <cellStyle name="Normal 26 3 4 2 2" xfId="12812" xr:uid="{00000000-0005-0000-0000-0000901D0000}"/>
    <cellStyle name="Normal 26 3 4 3" xfId="9471" xr:uid="{00000000-0005-0000-0000-0000911D0000}"/>
    <cellStyle name="Normal 26 3 5" xfId="5576" xr:uid="{00000000-0005-0000-0000-0000921D0000}"/>
    <cellStyle name="Normal 26 3 5 2" xfId="12805" xr:uid="{00000000-0005-0000-0000-0000931D0000}"/>
    <cellStyle name="Normal 26 3 6" xfId="7733" xr:uid="{00000000-0005-0000-0000-0000941D0000}"/>
    <cellStyle name="Normal 26 4" xfId="710" xr:uid="{00000000-0005-0000-0000-0000951D0000}"/>
    <cellStyle name="Normal 26 4 2" xfId="1583" xr:uid="{00000000-0005-0000-0000-0000961D0000}"/>
    <cellStyle name="Normal 26 4 2 2" xfId="3322" xr:uid="{00000000-0005-0000-0000-0000971D0000}"/>
    <cellStyle name="Normal 26 4 2 2 2" xfId="5586" xr:uid="{00000000-0005-0000-0000-0000981D0000}"/>
    <cellStyle name="Normal 26 4 2 2 2 2" xfId="12815" xr:uid="{00000000-0005-0000-0000-0000991D0000}"/>
    <cellStyle name="Normal 26 4 2 2 3" xfId="10551" xr:uid="{00000000-0005-0000-0000-00009A1D0000}"/>
    <cellStyle name="Normal 26 4 2 3" xfId="5585" xr:uid="{00000000-0005-0000-0000-00009B1D0000}"/>
    <cellStyle name="Normal 26 4 2 3 2" xfId="12814" xr:uid="{00000000-0005-0000-0000-00009C1D0000}"/>
    <cellStyle name="Normal 26 4 2 4" xfId="8813" xr:uid="{00000000-0005-0000-0000-00009D1D0000}"/>
    <cellStyle name="Normal 26 4 3" xfId="2455" xr:uid="{00000000-0005-0000-0000-00009E1D0000}"/>
    <cellStyle name="Normal 26 4 3 2" xfId="5587" xr:uid="{00000000-0005-0000-0000-00009F1D0000}"/>
    <cellStyle name="Normal 26 4 3 2 2" xfId="12816" xr:uid="{00000000-0005-0000-0000-0000A01D0000}"/>
    <cellStyle name="Normal 26 4 3 3" xfId="9684" xr:uid="{00000000-0005-0000-0000-0000A11D0000}"/>
    <cellStyle name="Normal 26 4 4" xfId="5584" xr:uid="{00000000-0005-0000-0000-0000A21D0000}"/>
    <cellStyle name="Normal 26 4 4 2" xfId="12813" xr:uid="{00000000-0005-0000-0000-0000A31D0000}"/>
    <cellStyle name="Normal 26 4 5" xfId="7946" xr:uid="{00000000-0005-0000-0000-0000A41D0000}"/>
    <cellStyle name="Normal 26 5" xfId="1152" xr:uid="{00000000-0005-0000-0000-0000A51D0000}"/>
    <cellStyle name="Normal 26 5 2" xfId="2891" xr:uid="{00000000-0005-0000-0000-0000A61D0000}"/>
    <cellStyle name="Normal 26 5 2 2" xfId="5589" xr:uid="{00000000-0005-0000-0000-0000A71D0000}"/>
    <cellStyle name="Normal 26 5 2 2 2" xfId="12818" xr:uid="{00000000-0005-0000-0000-0000A81D0000}"/>
    <cellStyle name="Normal 26 5 2 3" xfId="10120" xr:uid="{00000000-0005-0000-0000-0000A91D0000}"/>
    <cellStyle name="Normal 26 5 3" xfId="5588" xr:uid="{00000000-0005-0000-0000-0000AA1D0000}"/>
    <cellStyle name="Normal 26 5 3 2" xfId="12817" xr:uid="{00000000-0005-0000-0000-0000AB1D0000}"/>
    <cellStyle name="Normal 26 5 4" xfId="8382" xr:uid="{00000000-0005-0000-0000-0000AC1D0000}"/>
    <cellStyle name="Normal 26 6" xfId="2024" xr:uid="{00000000-0005-0000-0000-0000AD1D0000}"/>
    <cellStyle name="Normal 26 6 2" xfId="5590" xr:uid="{00000000-0005-0000-0000-0000AE1D0000}"/>
    <cellStyle name="Normal 26 6 2 2" xfId="12819" xr:uid="{00000000-0005-0000-0000-0000AF1D0000}"/>
    <cellStyle name="Normal 26 6 3" xfId="9253" xr:uid="{00000000-0005-0000-0000-0000B01D0000}"/>
    <cellStyle name="Normal 26 7" xfId="5559" xr:uid="{00000000-0005-0000-0000-0000B11D0000}"/>
    <cellStyle name="Normal 26 7 2" xfId="12788" xr:uid="{00000000-0005-0000-0000-0000B21D0000}"/>
    <cellStyle name="Normal 26 8" xfId="7515" xr:uid="{00000000-0005-0000-0000-0000B31D0000}"/>
    <cellStyle name="Normal 27" xfId="365" xr:uid="{00000000-0005-0000-0000-0000B41D0000}"/>
    <cellStyle name="Normal 27 2" xfId="813" xr:uid="{00000000-0005-0000-0000-0000B51D0000}"/>
    <cellStyle name="Normal 27 2 2" xfId="1686" xr:uid="{00000000-0005-0000-0000-0000B61D0000}"/>
    <cellStyle name="Normal 27 2 2 2" xfId="3425" xr:uid="{00000000-0005-0000-0000-0000B71D0000}"/>
    <cellStyle name="Normal 27 2 2 2 2" xfId="5594" xr:uid="{00000000-0005-0000-0000-0000B81D0000}"/>
    <cellStyle name="Normal 27 2 2 2 2 2" xfId="12823" xr:uid="{00000000-0005-0000-0000-0000B91D0000}"/>
    <cellStyle name="Normal 27 2 2 2 3" xfId="10654" xr:uid="{00000000-0005-0000-0000-0000BA1D0000}"/>
    <cellStyle name="Normal 27 2 2 3" xfId="5593" xr:uid="{00000000-0005-0000-0000-0000BB1D0000}"/>
    <cellStyle name="Normal 27 2 2 3 2" xfId="12822" xr:uid="{00000000-0005-0000-0000-0000BC1D0000}"/>
    <cellStyle name="Normal 27 2 2 4" xfId="8916" xr:uid="{00000000-0005-0000-0000-0000BD1D0000}"/>
    <cellStyle name="Normal 27 2 3" xfId="2558" xr:uid="{00000000-0005-0000-0000-0000BE1D0000}"/>
    <cellStyle name="Normal 27 2 3 2" xfId="5595" xr:uid="{00000000-0005-0000-0000-0000BF1D0000}"/>
    <cellStyle name="Normal 27 2 3 2 2" xfId="12824" xr:uid="{00000000-0005-0000-0000-0000C01D0000}"/>
    <cellStyle name="Normal 27 2 3 3" xfId="9787" xr:uid="{00000000-0005-0000-0000-0000C11D0000}"/>
    <cellStyle name="Normal 27 2 4" xfId="5592" xr:uid="{00000000-0005-0000-0000-0000C21D0000}"/>
    <cellStyle name="Normal 27 2 4 2" xfId="12821" xr:uid="{00000000-0005-0000-0000-0000C31D0000}"/>
    <cellStyle name="Normal 27 2 5" xfId="8049" xr:uid="{00000000-0005-0000-0000-0000C41D0000}"/>
    <cellStyle name="Normal 27 3" xfId="1255" xr:uid="{00000000-0005-0000-0000-0000C51D0000}"/>
    <cellStyle name="Normal 27 3 2" xfId="2994" xr:uid="{00000000-0005-0000-0000-0000C61D0000}"/>
    <cellStyle name="Normal 27 3 2 2" xfId="5597" xr:uid="{00000000-0005-0000-0000-0000C71D0000}"/>
    <cellStyle name="Normal 27 3 2 2 2" xfId="12826" xr:uid="{00000000-0005-0000-0000-0000C81D0000}"/>
    <cellStyle name="Normal 27 3 2 3" xfId="10223" xr:uid="{00000000-0005-0000-0000-0000C91D0000}"/>
    <cellStyle name="Normal 27 3 3" xfId="5596" xr:uid="{00000000-0005-0000-0000-0000CA1D0000}"/>
    <cellStyle name="Normal 27 3 3 2" xfId="12825" xr:uid="{00000000-0005-0000-0000-0000CB1D0000}"/>
    <cellStyle name="Normal 27 3 4" xfId="8485" xr:uid="{00000000-0005-0000-0000-0000CC1D0000}"/>
    <cellStyle name="Normal 27 4" xfId="2127" xr:uid="{00000000-0005-0000-0000-0000CD1D0000}"/>
    <cellStyle name="Normal 27 4 2" xfId="5598" xr:uid="{00000000-0005-0000-0000-0000CE1D0000}"/>
    <cellStyle name="Normal 27 4 2 2" xfId="12827" xr:uid="{00000000-0005-0000-0000-0000CF1D0000}"/>
    <cellStyle name="Normal 27 4 3" xfId="9356" xr:uid="{00000000-0005-0000-0000-0000D01D0000}"/>
    <cellStyle name="Normal 27 5" xfId="5591" xr:uid="{00000000-0005-0000-0000-0000D11D0000}"/>
    <cellStyle name="Normal 27 5 2" xfId="12820" xr:uid="{00000000-0005-0000-0000-0000D21D0000}"/>
    <cellStyle name="Normal 27 6" xfId="7618" xr:uid="{00000000-0005-0000-0000-0000D31D0000}"/>
    <cellStyle name="Normal 28" xfId="376" xr:uid="{00000000-0005-0000-0000-0000D41D0000}"/>
    <cellStyle name="Normal 28 2" xfId="591" xr:uid="{00000000-0005-0000-0000-0000D51D0000}"/>
    <cellStyle name="Normal 28 2 2" xfId="1037" xr:uid="{00000000-0005-0000-0000-0000D61D0000}"/>
    <cellStyle name="Normal 28 2 2 2" xfId="1904" xr:uid="{00000000-0005-0000-0000-0000D71D0000}"/>
    <cellStyle name="Normal 28 2 2 2 2" xfId="3643" xr:uid="{00000000-0005-0000-0000-0000D81D0000}"/>
    <cellStyle name="Normal 28 2 2 2 2 2" xfId="5603" xr:uid="{00000000-0005-0000-0000-0000D91D0000}"/>
    <cellStyle name="Normal 28 2 2 2 2 2 2" xfId="12832" xr:uid="{00000000-0005-0000-0000-0000DA1D0000}"/>
    <cellStyle name="Normal 28 2 2 2 2 3" xfId="10872" xr:uid="{00000000-0005-0000-0000-0000DB1D0000}"/>
    <cellStyle name="Normal 28 2 2 2 3" xfId="5602" xr:uid="{00000000-0005-0000-0000-0000DC1D0000}"/>
    <cellStyle name="Normal 28 2 2 2 3 2" xfId="12831" xr:uid="{00000000-0005-0000-0000-0000DD1D0000}"/>
    <cellStyle name="Normal 28 2 2 2 4" xfId="9134" xr:uid="{00000000-0005-0000-0000-0000DE1D0000}"/>
    <cellStyle name="Normal 28 2 2 3" xfId="2776" xr:uid="{00000000-0005-0000-0000-0000DF1D0000}"/>
    <cellStyle name="Normal 28 2 2 3 2" xfId="5604" xr:uid="{00000000-0005-0000-0000-0000E01D0000}"/>
    <cellStyle name="Normal 28 2 2 3 2 2" xfId="12833" xr:uid="{00000000-0005-0000-0000-0000E11D0000}"/>
    <cellStyle name="Normal 28 2 2 3 3" xfId="10005" xr:uid="{00000000-0005-0000-0000-0000E21D0000}"/>
    <cellStyle name="Normal 28 2 2 4" xfId="5601" xr:uid="{00000000-0005-0000-0000-0000E31D0000}"/>
    <cellStyle name="Normal 28 2 2 4 2" xfId="12830" xr:uid="{00000000-0005-0000-0000-0000E41D0000}"/>
    <cellStyle name="Normal 28 2 2 5" xfId="8267" xr:uid="{00000000-0005-0000-0000-0000E51D0000}"/>
    <cellStyle name="Normal 28 2 3" xfId="1473" xr:uid="{00000000-0005-0000-0000-0000E61D0000}"/>
    <cellStyle name="Normal 28 2 3 2" xfId="3212" xr:uid="{00000000-0005-0000-0000-0000E71D0000}"/>
    <cellStyle name="Normal 28 2 3 2 2" xfId="5606" xr:uid="{00000000-0005-0000-0000-0000E81D0000}"/>
    <cellStyle name="Normal 28 2 3 2 2 2" xfId="12835" xr:uid="{00000000-0005-0000-0000-0000E91D0000}"/>
    <cellStyle name="Normal 28 2 3 2 3" xfId="10441" xr:uid="{00000000-0005-0000-0000-0000EA1D0000}"/>
    <cellStyle name="Normal 28 2 3 3" xfId="5605" xr:uid="{00000000-0005-0000-0000-0000EB1D0000}"/>
    <cellStyle name="Normal 28 2 3 3 2" xfId="12834" xr:uid="{00000000-0005-0000-0000-0000EC1D0000}"/>
    <cellStyle name="Normal 28 2 3 4" xfId="8703" xr:uid="{00000000-0005-0000-0000-0000ED1D0000}"/>
    <cellStyle name="Normal 28 2 4" xfId="2345" xr:uid="{00000000-0005-0000-0000-0000EE1D0000}"/>
    <cellStyle name="Normal 28 2 4 2" xfId="5607" xr:uid="{00000000-0005-0000-0000-0000EF1D0000}"/>
    <cellStyle name="Normal 28 2 4 2 2" xfId="12836" xr:uid="{00000000-0005-0000-0000-0000F01D0000}"/>
    <cellStyle name="Normal 28 2 4 3" xfId="9574" xr:uid="{00000000-0005-0000-0000-0000F11D0000}"/>
    <cellStyle name="Normal 28 2 5" xfId="5600" xr:uid="{00000000-0005-0000-0000-0000F21D0000}"/>
    <cellStyle name="Normal 28 2 5 2" xfId="12829" xr:uid="{00000000-0005-0000-0000-0000F31D0000}"/>
    <cellStyle name="Normal 28 2 6" xfId="7836" xr:uid="{00000000-0005-0000-0000-0000F41D0000}"/>
    <cellStyle name="Normal 28 3" xfId="822" xr:uid="{00000000-0005-0000-0000-0000F51D0000}"/>
    <cellStyle name="Normal 28 3 2" xfId="1689" xr:uid="{00000000-0005-0000-0000-0000F61D0000}"/>
    <cellStyle name="Normal 28 3 2 2" xfId="3428" xr:uid="{00000000-0005-0000-0000-0000F71D0000}"/>
    <cellStyle name="Normal 28 3 2 2 2" xfId="5610" xr:uid="{00000000-0005-0000-0000-0000F81D0000}"/>
    <cellStyle name="Normal 28 3 2 2 2 2" xfId="12839" xr:uid="{00000000-0005-0000-0000-0000F91D0000}"/>
    <cellStyle name="Normal 28 3 2 2 3" xfId="10657" xr:uid="{00000000-0005-0000-0000-0000FA1D0000}"/>
    <cellStyle name="Normal 28 3 2 3" xfId="5609" xr:uid="{00000000-0005-0000-0000-0000FB1D0000}"/>
    <cellStyle name="Normal 28 3 2 3 2" xfId="12838" xr:uid="{00000000-0005-0000-0000-0000FC1D0000}"/>
    <cellStyle name="Normal 28 3 2 4" xfId="8919" xr:uid="{00000000-0005-0000-0000-0000FD1D0000}"/>
    <cellStyle name="Normal 28 3 3" xfId="2561" xr:uid="{00000000-0005-0000-0000-0000FE1D0000}"/>
    <cellStyle name="Normal 28 3 3 2" xfId="5611" xr:uid="{00000000-0005-0000-0000-0000FF1D0000}"/>
    <cellStyle name="Normal 28 3 3 2 2" xfId="12840" xr:uid="{00000000-0005-0000-0000-0000001E0000}"/>
    <cellStyle name="Normal 28 3 3 3" xfId="9790" xr:uid="{00000000-0005-0000-0000-0000011E0000}"/>
    <cellStyle name="Normal 28 3 4" xfId="5608" xr:uid="{00000000-0005-0000-0000-0000021E0000}"/>
    <cellStyle name="Normal 28 3 4 2" xfId="12837" xr:uid="{00000000-0005-0000-0000-0000031E0000}"/>
    <cellStyle name="Normal 28 3 5" xfId="8052" xr:uid="{00000000-0005-0000-0000-0000041E0000}"/>
    <cellStyle name="Normal 28 4" xfId="1258" xr:uid="{00000000-0005-0000-0000-0000051E0000}"/>
    <cellStyle name="Normal 28 4 2" xfId="2997" xr:uid="{00000000-0005-0000-0000-0000061E0000}"/>
    <cellStyle name="Normal 28 4 2 2" xfId="5613" xr:uid="{00000000-0005-0000-0000-0000071E0000}"/>
    <cellStyle name="Normal 28 4 2 2 2" xfId="12842" xr:uid="{00000000-0005-0000-0000-0000081E0000}"/>
    <cellStyle name="Normal 28 4 2 3" xfId="10226" xr:uid="{00000000-0005-0000-0000-0000091E0000}"/>
    <cellStyle name="Normal 28 4 3" xfId="5612" xr:uid="{00000000-0005-0000-0000-00000A1E0000}"/>
    <cellStyle name="Normal 28 4 3 2" xfId="12841" xr:uid="{00000000-0005-0000-0000-00000B1E0000}"/>
    <cellStyle name="Normal 28 4 4" xfId="8488" xr:uid="{00000000-0005-0000-0000-00000C1E0000}"/>
    <cellStyle name="Normal 28 5" xfId="2130" xr:uid="{00000000-0005-0000-0000-00000D1E0000}"/>
    <cellStyle name="Normal 28 5 2" xfId="5614" xr:uid="{00000000-0005-0000-0000-00000E1E0000}"/>
    <cellStyle name="Normal 28 5 2 2" xfId="12843" xr:uid="{00000000-0005-0000-0000-00000F1E0000}"/>
    <cellStyle name="Normal 28 5 3" xfId="9359" xr:uid="{00000000-0005-0000-0000-0000101E0000}"/>
    <cellStyle name="Normal 28 6" xfId="5599" xr:uid="{00000000-0005-0000-0000-0000111E0000}"/>
    <cellStyle name="Normal 28 6 2" xfId="12828" xr:uid="{00000000-0005-0000-0000-0000121E0000}"/>
    <cellStyle name="Normal 28 7" xfId="7621" xr:uid="{00000000-0005-0000-0000-0000131E0000}"/>
    <cellStyle name="Normal 29" xfId="379" xr:uid="{00000000-0005-0000-0000-0000141E0000}"/>
    <cellStyle name="Normal 29 2" xfId="592" xr:uid="{00000000-0005-0000-0000-0000151E0000}"/>
    <cellStyle name="Normal 29 2 2" xfId="1038" xr:uid="{00000000-0005-0000-0000-0000161E0000}"/>
    <cellStyle name="Normal 29 2 2 2" xfId="1905" xr:uid="{00000000-0005-0000-0000-0000171E0000}"/>
    <cellStyle name="Normal 29 2 2 2 2" xfId="3644" xr:uid="{00000000-0005-0000-0000-0000181E0000}"/>
    <cellStyle name="Normal 29 2 2 2 2 2" xfId="5619" xr:uid="{00000000-0005-0000-0000-0000191E0000}"/>
    <cellStyle name="Normal 29 2 2 2 2 2 2" xfId="12848" xr:uid="{00000000-0005-0000-0000-00001A1E0000}"/>
    <cellStyle name="Normal 29 2 2 2 2 3" xfId="10873" xr:uid="{00000000-0005-0000-0000-00001B1E0000}"/>
    <cellStyle name="Normal 29 2 2 2 3" xfId="5618" xr:uid="{00000000-0005-0000-0000-00001C1E0000}"/>
    <cellStyle name="Normal 29 2 2 2 3 2" xfId="12847" xr:uid="{00000000-0005-0000-0000-00001D1E0000}"/>
    <cellStyle name="Normal 29 2 2 2 4" xfId="9135" xr:uid="{00000000-0005-0000-0000-00001E1E0000}"/>
    <cellStyle name="Normal 29 2 2 3" xfId="2777" xr:uid="{00000000-0005-0000-0000-00001F1E0000}"/>
    <cellStyle name="Normal 29 2 2 3 2" xfId="5620" xr:uid="{00000000-0005-0000-0000-0000201E0000}"/>
    <cellStyle name="Normal 29 2 2 3 2 2" xfId="12849" xr:uid="{00000000-0005-0000-0000-0000211E0000}"/>
    <cellStyle name="Normal 29 2 2 3 3" xfId="10006" xr:uid="{00000000-0005-0000-0000-0000221E0000}"/>
    <cellStyle name="Normal 29 2 2 4" xfId="5617" xr:uid="{00000000-0005-0000-0000-0000231E0000}"/>
    <cellStyle name="Normal 29 2 2 4 2" xfId="12846" xr:uid="{00000000-0005-0000-0000-0000241E0000}"/>
    <cellStyle name="Normal 29 2 2 5" xfId="8268" xr:uid="{00000000-0005-0000-0000-0000251E0000}"/>
    <cellStyle name="Normal 29 2 3" xfId="1474" xr:uid="{00000000-0005-0000-0000-0000261E0000}"/>
    <cellStyle name="Normal 29 2 3 2" xfId="3213" xr:uid="{00000000-0005-0000-0000-0000271E0000}"/>
    <cellStyle name="Normal 29 2 3 2 2" xfId="5622" xr:uid="{00000000-0005-0000-0000-0000281E0000}"/>
    <cellStyle name="Normal 29 2 3 2 2 2" xfId="12851" xr:uid="{00000000-0005-0000-0000-0000291E0000}"/>
    <cellStyle name="Normal 29 2 3 2 3" xfId="10442" xr:uid="{00000000-0005-0000-0000-00002A1E0000}"/>
    <cellStyle name="Normal 29 2 3 3" xfId="5621" xr:uid="{00000000-0005-0000-0000-00002B1E0000}"/>
    <cellStyle name="Normal 29 2 3 3 2" xfId="12850" xr:uid="{00000000-0005-0000-0000-00002C1E0000}"/>
    <cellStyle name="Normal 29 2 3 4" xfId="8704" xr:uid="{00000000-0005-0000-0000-00002D1E0000}"/>
    <cellStyle name="Normal 29 2 4" xfId="2346" xr:uid="{00000000-0005-0000-0000-00002E1E0000}"/>
    <cellStyle name="Normal 29 2 4 2" xfId="5623" xr:uid="{00000000-0005-0000-0000-00002F1E0000}"/>
    <cellStyle name="Normal 29 2 4 2 2" xfId="12852" xr:uid="{00000000-0005-0000-0000-0000301E0000}"/>
    <cellStyle name="Normal 29 2 4 3" xfId="9575" xr:uid="{00000000-0005-0000-0000-0000311E0000}"/>
    <cellStyle name="Normal 29 2 5" xfId="5616" xr:uid="{00000000-0005-0000-0000-0000321E0000}"/>
    <cellStyle name="Normal 29 2 5 2" xfId="12845" xr:uid="{00000000-0005-0000-0000-0000331E0000}"/>
    <cellStyle name="Normal 29 2 6" xfId="7837" xr:uid="{00000000-0005-0000-0000-0000341E0000}"/>
    <cellStyle name="Normal 29 3" xfId="825" xr:uid="{00000000-0005-0000-0000-0000351E0000}"/>
    <cellStyle name="Normal 29 3 2" xfId="1692" xr:uid="{00000000-0005-0000-0000-0000361E0000}"/>
    <cellStyle name="Normal 29 3 2 2" xfId="3431" xr:uid="{00000000-0005-0000-0000-0000371E0000}"/>
    <cellStyle name="Normal 29 3 2 2 2" xfId="5626" xr:uid="{00000000-0005-0000-0000-0000381E0000}"/>
    <cellStyle name="Normal 29 3 2 2 2 2" xfId="12855" xr:uid="{00000000-0005-0000-0000-0000391E0000}"/>
    <cellStyle name="Normal 29 3 2 2 3" xfId="10660" xr:uid="{00000000-0005-0000-0000-00003A1E0000}"/>
    <cellStyle name="Normal 29 3 2 3" xfId="5625" xr:uid="{00000000-0005-0000-0000-00003B1E0000}"/>
    <cellStyle name="Normal 29 3 2 3 2" xfId="12854" xr:uid="{00000000-0005-0000-0000-00003C1E0000}"/>
    <cellStyle name="Normal 29 3 2 4" xfId="8922" xr:uid="{00000000-0005-0000-0000-00003D1E0000}"/>
    <cellStyle name="Normal 29 3 3" xfId="2564" xr:uid="{00000000-0005-0000-0000-00003E1E0000}"/>
    <cellStyle name="Normal 29 3 3 2" xfId="5627" xr:uid="{00000000-0005-0000-0000-00003F1E0000}"/>
    <cellStyle name="Normal 29 3 3 2 2" xfId="12856" xr:uid="{00000000-0005-0000-0000-0000401E0000}"/>
    <cellStyle name="Normal 29 3 3 3" xfId="9793" xr:uid="{00000000-0005-0000-0000-0000411E0000}"/>
    <cellStyle name="Normal 29 3 4" xfId="5624" xr:uid="{00000000-0005-0000-0000-0000421E0000}"/>
    <cellStyle name="Normal 29 3 4 2" xfId="12853" xr:uid="{00000000-0005-0000-0000-0000431E0000}"/>
    <cellStyle name="Normal 29 3 5" xfId="8055" xr:uid="{00000000-0005-0000-0000-0000441E0000}"/>
    <cellStyle name="Normal 29 4" xfId="1261" xr:uid="{00000000-0005-0000-0000-0000451E0000}"/>
    <cellStyle name="Normal 29 4 2" xfId="3000" xr:uid="{00000000-0005-0000-0000-0000461E0000}"/>
    <cellStyle name="Normal 29 4 2 2" xfId="5629" xr:uid="{00000000-0005-0000-0000-0000471E0000}"/>
    <cellStyle name="Normal 29 4 2 2 2" xfId="12858" xr:uid="{00000000-0005-0000-0000-0000481E0000}"/>
    <cellStyle name="Normal 29 4 2 3" xfId="10229" xr:uid="{00000000-0005-0000-0000-0000491E0000}"/>
    <cellStyle name="Normal 29 4 3" xfId="5628" xr:uid="{00000000-0005-0000-0000-00004A1E0000}"/>
    <cellStyle name="Normal 29 4 3 2" xfId="12857" xr:uid="{00000000-0005-0000-0000-00004B1E0000}"/>
    <cellStyle name="Normal 29 4 4" xfId="8491" xr:uid="{00000000-0005-0000-0000-00004C1E0000}"/>
    <cellStyle name="Normal 29 5" xfId="2133" xr:uid="{00000000-0005-0000-0000-00004D1E0000}"/>
    <cellStyle name="Normal 29 5 2" xfId="5630" xr:uid="{00000000-0005-0000-0000-00004E1E0000}"/>
    <cellStyle name="Normal 29 5 2 2" xfId="12859" xr:uid="{00000000-0005-0000-0000-00004F1E0000}"/>
    <cellStyle name="Normal 29 5 3" xfId="9362" xr:uid="{00000000-0005-0000-0000-0000501E0000}"/>
    <cellStyle name="Normal 29 6" xfId="5615" xr:uid="{00000000-0005-0000-0000-0000511E0000}"/>
    <cellStyle name="Normal 29 6 2" xfId="12844" xr:uid="{00000000-0005-0000-0000-0000521E0000}"/>
    <cellStyle name="Normal 29 7" xfId="7624" xr:uid="{00000000-0005-0000-0000-0000531E0000}"/>
    <cellStyle name="Normal 3" xfId="14" xr:uid="{00000000-0005-0000-0000-0000541E0000}"/>
    <cellStyle name="Normal 3 10" xfId="259" xr:uid="{00000000-0005-0000-0000-0000551E0000}"/>
    <cellStyle name="Normal 3 10 2" xfId="361" xr:uid="{00000000-0005-0000-0000-0000561E0000}"/>
    <cellStyle name="Normal 3 10 2 2" xfId="587" xr:uid="{00000000-0005-0000-0000-0000571E0000}"/>
    <cellStyle name="Normal 3 10 2 2 2" xfId="1033" xr:uid="{00000000-0005-0000-0000-0000581E0000}"/>
    <cellStyle name="Normal 3 10 2 2 2 2" xfId="1900" xr:uid="{00000000-0005-0000-0000-0000591E0000}"/>
    <cellStyle name="Normal 3 10 2 2 2 2 2" xfId="3639" xr:uid="{00000000-0005-0000-0000-00005A1E0000}"/>
    <cellStyle name="Normal 3 10 2 2 2 2 2 2" xfId="5637" xr:uid="{00000000-0005-0000-0000-00005B1E0000}"/>
    <cellStyle name="Normal 3 10 2 2 2 2 2 2 2" xfId="12866" xr:uid="{00000000-0005-0000-0000-00005C1E0000}"/>
    <cellStyle name="Normal 3 10 2 2 2 2 2 3" xfId="10868" xr:uid="{00000000-0005-0000-0000-00005D1E0000}"/>
    <cellStyle name="Normal 3 10 2 2 2 2 3" xfId="5636" xr:uid="{00000000-0005-0000-0000-00005E1E0000}"/>
    <cellStyle name="Normal 3 10 2 2 2 2 3 2" xfId="12865" xr:uid="{00000000-0005-0000-0000-00005F1E0000}"/>
    <cellStyle name="Normal 3 10 2 2 2 2 4" xfId="9130" xr:uid="{00000000-0005-0000-0000-0000601E0000}"/>
    <cellStyle name="Normal 3 10 2 2 2 3" xfId="2772" xr:uid="{00000000-0005-0000-0000-0000611E0000}"/>
    <cellStyle name="Normal 3 10 2 2 2 3 2" xfId="5638" xr:uid="{00000000-0005-0000-0000-0000621E0000}"/>
    <cellStyle name="Normal 3 10 2 2 2 3 2 2" xfId="12867" xr:uid="{00000000-0005-0000-0000-0000631E0000}"/>
    <cellStyle name="Normal 3 10 2 2 2 3 3" xfId="10001" xr:uid="{00000000-0005-0000-0000-0000641E0000}"/>
    <cellStyle name="Normal 3 10 2 2 2 4" xfId="5635" xr:uid="{00000000-0005-0000-0000-0000651E0000}"/>
    <cellStyle name="Normal 3 10 2 2 2 4 2" xfId="12864" xr:uid="{00000000-0005-0000-0000-0000661E0000}"/>
    <cellStyle name="Normal 3 10 2 2 2 5" xfId="8263" xr:uid="{00000000-0005-0000-0000-0000671E0000}"/>
    <cellStyle name="Normal 3 10 2 2 3" xfId="1469" xr:uid="{00000000-0005-0000-0000-0000681E0000}"/>
    <cellStyle name="Normal 3 10 2 2 3 2" xfId="3208" xr:uid="{00000000-0005-0000-0000-0000691E0000}"/>
    <cellStyle name="Normal 3 10 2 2 3 2 2" xfId="5640" xr:uid="{00000000-0005-0000-0000-00006A1E0000}"/>
    <cellStyle name="Normal 3 10 2 2 3 2 2 2" xfId="12869" xr:uid="{00000000-0005-0000-0000-00006B1E0000}"/>
    <cellStyle name="Normal 3 10 2 2 3 2 3" xfId="10437" xr:uid="{00000000-0005-0000-0000-00006C1E0000}"/>
    <cellStyle name="Normal 3 10 2 2 3 3" xfId="5639" xr:uid="{00000000-0005-0000-0000-00006D1E0000}"/>
    <cellStyle name="Normal 3 10 2 2 3 3 2" xfId="12868" xr:uid="{00000000-0005-0000-0000-00006E1E0000}"/>
    <cellStyle name="Normal 3 10 2 2 3 4" xfId="8699" xr:uid="{00000000-0005-0000-0000-00006F1E0000}"/>
    <cellStyle name="Normal 3 10 2 2 4" xfId="2341" xr:uid="{00000000-0005-0000-0000-0000701E0000}"/>
    <cellStyle name="Normal 3 10 2 2 4 2" xfId="5641" xr:uid="{00000000-0005-0000-0000-0000711E0000}"/>
    <cellStyle name="Normal 3 10 2 2 4 2 2" xfId="12870" xr:uid="{00000000-0005-0000-0000-0000721E0000}"/>
    <cellStyle name="Normal 3 10 2 2 4 3" xfId="9570" xr:uid="{00000000-0005-0000-0000-0000731E0000}"/>
    <cellStyle name="Normal 3 10 2 2 5" xfId="5634" xr:uid="{00000000-0005-0000-0000-0000741E0000}"/>
    <cellStyle name="Normal 3 10 2 2 5 2" xfId="12863" xr:uid="{00000000-0005-0000-0000-0000751E0000}"/>
    <cellStyle name="Normal 3 10 2 2 6" xfId="7832" xr:uid="{00000000-0005-0000-0000-0000761E0000}"/>
    <cellStyle name="Normal 3 10 2 3" xfId="809" xr:uid="{00000000-0005-0000-0000-0000771E0000}"/>
    <cellStyle name="Normal 3 10 2 3 2" xfId="1682" xr:uid="{00000000-0005-0000-0000-0000781E0000}"/>
    <cellStyle name="Normal 3 10 2 3 2 2" xfId="3421" xr:uid="{00000000-0005-0000-0000-0000791E0000}"/>
    <cellStyle name="Normal 3 10 2 3 2 2 2" xfId="5644" xr:uid="{00000000-0005-0000-0000-00007A1E0000}"/>
    <cellStyle name="Normal 3 10 2 3 2 2 2 2" xfId="12873" xr:uid="{00000000-0005-0000-0000-00007B1E0000}"/>
    <cellStyle name="Normal 3 10 2 3 2 2 3" xfId="10650" xr:uid="{00000000-0005-0000-0000-00007C1E0000}"/>
    <cellStyle name="Normal 3 10 2 3 2 3" xfId="5643" xr:uid="{00000000-0005-0000-0000-00007D1E0000}"/>
    <cellStyle name="Normal 3 10 2 3 2 3 2" xfId="12872" xr:uid="{00000000-0005-0000-0000-00007E1E0000}"/>
    <cellStyle name="Normal 3 10 2 3 2 4" xfId="8912" xr:uid="{00000000-0005-0000-0000-00007F1E0000}"/>
    <cellStyle name="Normal 3 10 2 3 3" xfId="2554" xr:uid="{00000000-0005-0000-0000-0000801E0000}"/>
    <cellStyle name="Normal 3 10 2 3 3 2" xfId="5645" xr:uid="{00000000-0005-0000-0000-0000811E0000}"/>
    <cellStyle name="Normal 3 10 2 3 3 2 2" xfId="12874" xr:uid="{00000000-0005-0000-0000-0000821E0000}"/>
    <cellStyle name="Normal 3 10 2 3 3 3" xfId="9783" xr:uid="{00000000-0005-0000-0000-0000831E0000}"/>
    <cellStyle name="Normal 3 10 2 3 4" xfId="5642" xr:uid="{00000000-0005-0000-0000-0000841E0000}"/>
    <cellStyle name="Normal 3 10 2 3 4 2" xfId="12871" xr:uid="{00000000-0005-0000-0000-0000851E0000}"/>
    <cellStyle name="Normal 3 10 2 3 5" xfId="8045" xr:uid="{00000000-0005-0000-0000-0000861E0000}"/>
    <cellStyle name="Normal 3 10 2 4" xfId="1251" xr:uid="{00000000-0005-0000-0000-0000871E0000}"/>
    <cellStyle name="Normal 3 10 2 4 2" xfId="2990" xr:uid="{00000000-0005-0000-0000-0000881E0000}"/>
    <cellStyle name="Normal 3 10 2 4 2 2" xfId="5647" xr:uid="{00000000-0005-0000-0000-0000891E0000}"/>
    <cellStyle name="Normal 3 10 2 4 2 2 2" xfId="12876" xr:uid="{00000000-0005-0000-0000-00008A1E0000}"/>
    <cellStyle name="Normal 3 10 2 4 2 3" xfId="10219" xr:uid="{00000000-0005-0000-0000-00008B1E0000}"/>
    <cellStyle name="Normal 3 10 2 4 3" xfId="5646" xr:uid="{00000000-0005-0000-0000-00008C1E0000}"/>
    <cellStyle name="Normal 3 10 2 4 3 2" xfId="12875" xr:uid="{00000000-0005-0000-0000-00008D1E0000}"/>
    <cellStyle name="Normal 3 10 2 4 4" xfId="8481" xr:uid="{00000000-0005-0000-0000-00008E1E0000}"/>
    <cellStyle name="Normal 3 10 2 5" xfId="2123" xr:uid="{00000000-0005-0000-0000-00008F1E0000}"/>
    <cellStyle name="Normal 3 10 2 5 2" xfId="5648" xr:uid="{00000000-0005-0000-0000-0000901E0000}"/>
    <cellStyle name="Normal 3 10 2 5 2 2" xfId="12877" xr:uid="{00000000-0005-0000-0000-0000911E0000}"/>
    <cellStyle name="Normal 3 10 2 5 3" xfId="9352" xr:uid="{00000000-0005-0000-0000-0000921E0000}"/>
    <cellStyle name="Normal 3 10 2 6" xfId="5633" xr:uid="{00000000-0005-0000-0000-0000931E0000}"/>
    <cellStyle name="Normal 3 10 2 6 2" xfId="12862" xr:uid="{00000000-0005-0000-0000-0000941E0000}"/>
    <cellStyle name="Normal 3 10 2 7" xfId="7614" xr:uid="{00000000-0005-0000-0000-0000951E0000}"/>
    <cellStyle name="Normal 3 10 3" xfId="485" xr:uid="{00000000-0005-0000-0000-0000961E0000}"/>
    <cellStyle name="Normal 3 10 3 2" xfId="931" xr:uid="{00000000-0005-0000-0000-0000971E0000}"/>
    <cellStyle name="Normal 3 10 3 2 2" xfId="1798" xr:uid="{00000000-0005-0000-0000-0000981E0000}"/>
    <cellStyle name="Normal 3 10 3 2 2 2" xfId="3537" xr:uid="{00000000-0005-0000-0000-0000991E0000}"/>
    <cellStyle name="Normal 3 10 3 2 2 2 2" xfId="5652" xr:uid="{00000000-0005-0000-0000-00009A1E0000}"/>
    <cellStyle name="Normal 3 10 3 2 2 2 2 2" xfId="12881" xr:uid="{00000000-0005-0000-0000-00009B1E0000}"/>
    <cellStyle name="Normal 3 10 3 2 2 2 3" xfId="10766" xr:uid="{00000000-0005-0000-0000-00009C1E0000}"/>
    <cellStyle name="Normal 3 10 3 2 2 3" xfId="5651" xr:uid="{00000000-0005-0000-0000-00009D1E0000}"/>
    <cellStyle name="Normal 3 10 3 2 2 3 2" xfId="12880" xr:uid="{00000000-0005-0000-0000-00009E1E0000}"/>
    <cellStyle name="Normal 3 10 3 2 2 4" xfId="9028" xr:uid="{00000000-0005-0000-0000-00009F1E0000}"/>
    <cellStyle name="Normal 3 10 3 2 3" xfId="2670" xr:uid="{00000000-0005-0000-0000-0000A01E0000}"/>
    <cellStyle name="Normal 3 10 3 2 3 2" xfId="5653" xr:uid="{00000000-0005-0000-0000-0000A11E0000}"/>
    <cellStyle name="Normal 3 10 3 2 3 2 2" xfId="12882" xr:uid="{00000000-0005-0000-0000-0000A21E0000}"/>
    <cellStyle name="Normal 3 10 3 2 3 3" xfId="9899" xr:uid="{00000000-0005-0000-0000-0000A31E0000}"/>
    <cellStyle name="Normal 3 10 3 2 4" xfId="5650" xr:uid="{00000000-0005-0000-0000-0000A41E0000}"/>
    <cellStyle name="Normal 3 10 3 2 4 2" xfId="12879" xr:uid="{00000000-0005-0000-0000-0000A51E0000}"/>
    <cellStyle name="Normal 3 10 3 2 5" xfId="8161" xr:uid="{00000000-0005-0000-0000-0000A61E0000}"/>
    <cellStyle name="Normal 3 10 3 3" xfId="1367" xr:uid="{00000000-0005-0000-0000-0000A71E0000}"/>
    <cellStyle name="Normal 3 10 3 3 2" xfId="3106" xr:uid="{00000000-0005-0000-0000-0000A81E0000}"/>
    <cellStyle name="Normal 3 10 3 3 2 2" xfId="5655" xr:uid="{00000000-0005-0000-0000-0000A91E0000}"/>
    <cellStyle name="Normal 3 10 3 3 2 2 2" xfId="12884" xr:uid="{00000000-0005-0000-0000-0000AA1E0000}"/>
    <cellStyle name="Normal 3 10 3 3 2 3" xfId="10335" xr:uid="{00000000-0005-0000-0000-0000AB1E0000}"/>
    <cellStyle name="Normal 3 10 3 3 3" xfId="5654" xr:uid="{00000000-0005-0000-0000-0000AC1E0000}"/>
    <cellStyle name="Normal 3 10 3 3 3 2" xfId="12883" xr:uid="{00000000-0005-0000-0000-0000AD1E0000}"/>
    <cellStyle name="Normal 3 10 3 3 4" xfId="8597" xr:uid="{00000000-0005-0000-0000-0000AE1E0000}"/>
    <cellStyle name="Normal 3 10 3 4" xfId="2239" xr:uid="{00000000-0005-0000-0000-0000AF1E0000}"/>
    <cellStyle name="Normal 3 10 3 4 2" xfId="5656" xr:uid="{00000000-0005-0000-0000-0000B01E0000}"/>
    <cellStyle name="Normal 3 10 3 4 2 2" xfId="12885" xr:uid="{00000000-0005-0000-0000-0000B11E0000}"/>
    <cellStyle name="Normal 3 10 3 4 3" xfId="9468" xr:uid="{00000000-0005-0000-0000-0000B21E0000}"/>
    <cellStyle name="Normal 3 10 3 5" xfId="5649" xr:uid="{00000000-0005-0000-0000-0000B31E0000}"/>
    <cellStyle name="Normal 3 10 3 5 2" xfId="12878" xr:uid="{00000000-0005-0000-0000-0000B41E0000}"/>
    <cellStyle name="Normal 3 10 3 6" xfId="7730" xr:uid="{00000000-0005-0000-0000-0000B51E0000}"/>
    <cellStyle name="Normal 3 10 4" xfId="707" xr:uid="{00000000-0005-0000-0000-0000B61E0000}"/>
    <cellStyle name="Normal 3 10 4 2" xfId="1580" xr:uid="{00000000-0005-0000-0000-0000B71E0000}"/>
    <cellStyle name="Normal 3 10 4 2 2" xfId="3319" xr:uid="{00000000-0005-0000-0000-0000B81E0000}"/>
    <cellStyle name="Normal 3 10 4 2 2 2" xfId="5659" xr:uid="{00000000-0005-0000-0000-0000B91E0000}"/>
    <cellStyle name="Normal 3 10 4 2 2 2 2" xfId="12888" xr:uid="{00000000-0005-0000-0000-0000BA1E0000}"/>
    <cellStyle name="Normal 3 10 4 2 2 3" xfId="10548" xr:uid="{00000000-0005-0000-0000-0000BB1E0000}"/>
    <cellStyle name="Normal 3 10 4 2 3" xfId="5658" xr:uid="{00000000-0005-0000-0000-0000BC1E0000}"/>
    <cellStyle name="Normal 3 10 4 2 3 2" xfId="12887" xr:uid="{00000000-0005-0000-0000-0000BD1E0000}"/>
    <cellStyle name="Normal 3 10 4 2 4" xfId="8810" xr:uid="{00000000-0005-0000-0000-0000BE1E0000}"/>
    <cellStyle name="Normal 3 10 4 3" xfId="2452" xr:uid="{00000000-0005-0000-0000-0000BF1E0000}"/>
    <cellStyle name="Normal 3 10 4 3 2" xfId="5660" xr:uid="{00000000-0005-0000-0000-0000C01E0000}"/>
    <cellStyle name="Normal 3 10 4 3 2 2" xfId="12889" xr:uid="{00000000-0005-0000-0000-0000C11E0000}"/>
    <cellStyle name="Normal 3 10 4 3 3" xfId="9681" xr:uid="{00000000-0005-0000-0000-0000C21E0000}"/>
    <cellStyle name="Normal 3 10 4 4" xfId="5657" xr:uid="{00000000-0005-0000-0000-0000C31E0000}"/>
    <cellStyle name="Normal 3 10 4 4 2" xfId="12886" xr:uid="{00000000-0005-0000-0000-0000C41E0000}"/>
    <cellStyle name="Normal 3 10 4 5" xfId="7943" xr:uid="{00000000-0005-0000-0000-0000C51E0000}"/>
    <cellStyle name="Normal 3 10 5" xfId="1149" xr:uid="{00000000-0005-0000-0000-0000C61E0000}"/>
    <cellStyle name="Normal 3 10 5 2" xfId="2888" xr:uid="{00000000-0005-0000-0000-0000C71E0000}"/>
    <cellStyle name="Normal 3 10 5 2 2" xfId="5662" xr:uid="{00000000-0005-0000-0000-0000C81E0000}"/>
    <cellStyle name="Normal 3 10 5 2 2 2" xfId="12891" xr:uid="{00000000-0005-0000-0000-0000C91E0000}"/>
    <cellStyle name="Normal 3 10 5 2 3" xfId="10117" xr:uid="{00000000-0005-0000-0000-0000CA1E0000}"/>
    <cellStyle name="Normal 3 10 5 3" xfId="5661" xr:uid="{00000000-0005-0000-0000-0000CB1E0000}"/>
    <cellStyle name="Normal 3 10 5 3 2" xfId="12890" xr:uid="{00000000-0005-0000-0000-0000CC1E0000}"/>
    <cellStyle name="Normal 3 10 5 4" xfId="8379" xr:uid="{00000000-0005-0000-0000-0000CD1E0000}"/>
    <cellStyle name="Normal 3 10 6" xfId="2021" xr:uid="{00000000-0005-0000-0000-0000CE1E0000}"/>
    <cellStyle name="Normal 3 10 6 2" xfId="5663" xr:uid="{00000000-0005-0000-0000-0000CF1E0000}"/>
    <cellStyle name="Normal 3 10 6 2 2" xfId="12892" xr:uid="{00000000-0005-0000-0000-0000D01E0000}"/>
    <cellStyle name="Normal 3 10 6 3" xfId="9250" xr:uid="{00000000-0005-0000-0000-0000D11E0000}"/>
    <cellStyle name="Normal 3 10 7" xfId="5632" xr:uid="{00000000-0005-0000-0000-0000D21E0000}"/>
    <cellStyle name="Normal 3 10 7 2" xfId="12861" xr:uid="{00000000-0005-0000-0000-0000D31E0000}"/>
    <cellStyle name="Normal 3 10 8" xfId="7512" xr:uid="{00000000-0005-0000-0000-0000D41E0000}"/>
    <cellStyle name="Normal 3 11" xfId="263" xr:uid="{00000000-0005-0000-0000-0000D51E0000}"/>
    <cellStyle name="Normal 3 11 2" xfId="489" xr:uid="{00000000-0005-0000-0000-0000D61E0000}"/>
    <cellStyle name="Normal 3 11 2 2" xfId="935" xr:uid="{00000000-0005-0000-0000-0000D71E0000}"/>
    <cellStyle name="Normal 3 11 2 2 2" xfId="1802" xr:uid="{00000000-0005-0000-0000-0000D81E0000}"/>
    <cellStyle name="Normal 3 11 2 2 2 2" xfId="3541" xr:uid="{00000000-0005-0000-0000-0000D91E0000}"/>
    <cellStyle name="Normal 3 11 2 2 2 2 2" xfId="5668" xr:uid="{00000000-0005-0000-0000-0000DA1E0000}"/>
    <cellStyle name="Normal 3 11 2 2 2 2 2 2" xfId="12897" xr:uid="{00000000-0005-0000-0000-0000DB1E0000}"/>
    <cellStyle name="Normal 3 11 2 2 2 2 3" xfId="10770" xr:uid="{00000000-0005-0000-0000-0000DC1E0000}"/>
    <cellStyle name="Normal 3 11 2 2 2 3" xfId="5667" xr:uid="{00000000-0005-0000-0000-0000DD1E0000}"/>
    <cellStyle name="Normal 3 11 2 2 2 3 2" xfId="12896" xr:uid="{00000000-0005-0000-0000-0000DE1E0000}"/>
    <cellStyle name="Normal 3 11 2 2 2 4" xfId="9032" xr:uid="{00000000-0005-0000-0000-0000DF1E0000}"/>
    <cellStyle name="Normal 3 11 2 2 3" xfId="2674" xr:uid="{00000000-0005-0000-0000-0000E01E0000}"/>
    <cellStyle name="Normal 3 11 2 2 3 2" xfId="5669" xr:uid="{00000000-0005-0000-0000-0000E11E0000}"/>
    <cellStyle name="Normal 3 11 2 2 3 2 2" xfId="12898" xr:uid="{00000000-0005-0000-0000-0000E21E0000}"/>
    <cellStyle name="Normal 3 11 2 2 3 3" xfId="9903" xr:uid="{00000000-0005-0000-0000-0000E31E0000}"/>
    <cellStyle name="Normal 3 11 2 2 4" xfId="5666" xr:uid="{00000000-0005-0000-0000-0000E41E0000}"/>
    <cellStyle name="Normal 3 11 2 2 4 2" xfId="12895" xr:uid="{00000000-0005-0000-0000-0000E51E0000}"/>
    <cellStyle name="Normal 3 11 2 2 5" xfId="8165" xr:uid="{00000000-0005-0000-0000-0000E61E0000}"/>
    <cellStyle name="Normal 3 11 2 3" xfId="1371" xr:uid="{00000000-0005-0000-0000-0000E71E0000}"/>
    <cellStyle name="Normal 3 11 2 3 2" xfId="3110" xr:uid="{00000000-0005-0000-0000-0000E81E0000}"/>
    <cellStyle name="Normal 3 11 2 3 2 2" xfId="5671" xr:uid="{00000000-0005-0000-0000-0000E91E0000}"/>
    <cellStyle name="Normal 3 11 2 3 2 2 2" xfId="12900" xr:uid="{00000000-0005-0000-0000-0000EA1E0000}"/>
    <cellStyle name="Normal 3 11 2 3 2 3" xfId="10339" xr:uid="{00000000-0005-0000-0000-0000EB1E0000}"/>
    <cellStyle name="Normal 3 11 2 3 3" xfId="5670" xr:uid="{00000000-0005-0000-0000-0000EC1E0000}"/>
    <cellStyle name="Normal 3 11 2 3 3 2" xfId="12899" xr:uid="{00000000-0005-0000-0000-0000ED1E0000}"/>
    <cellStyle name="Normal 3 11 2 3 4" xfId="8601" xr:uid="{00000000-0005-0000-0000-0000EE1E0000}"/>
    <cellStyle name="Normal 3 11 2 4" xfId="2243" xr:uid="{00000000-0005-0000-0000-0000EF1E0000}"/>
    <cellStyle name="Normal 3 11 2 4 2" xfId="5672" xr:uid="{00000000-0005-0000-0000-0000F01E0000}"/>
    <cellStyle name="Normal 3 11 2 4 2 2" xfId="12901" xr:uid="{00000000-0005-0000-0000-0000F11E0000}"/>
    <cellStyle name="Normal 3 11 2 4 3" xfId="9472" xr:uid="{00000000-0005-0000-0000-0000F21E0000}"/>
    <cellStyle name="Normal 3 11 2 5" xfId="5665" xr:uid="{00000000-0005-0000-0000-0000F31E0000}"/>
    <cellStyle name="Normal 3 11 2 5 2" xfId="12894" xr:uid="{00000000-0005-0000-0000-0000F41E0000}"/>
    <cellStyle name="Normal 3 11 2 6" xfId="7734" xr:uid="{00000000-0005-0000-0000-0000F51E0000}"/>
    <cellStyle name="Normal 3 11 3" xfId="711" xr:uid="{00000000-0005-0000-0000-0000F61E0000}"/>
    <cellStyle name="Normal 3 11 3 2" xfId="1584" xr:uid="{00000000-0005-0000-0000-0000F71E0000}"/>
    <cellStyle name="Normal 3 11 3 2 2" xfId="3323" xr:uid="{00000000-0005-0000-0000-0000F81E0000}"/>
    <cellStyle name="Normal 3 11 3 2 2 2" xfId="5675" xr:uid="{00000000-0005-0000-0000-0000F91E0000}"/>
    <cellStyle name="Normal 3 11 3 2 2 2 2" xfId="12904" xr:uid="{00000000-0005-0000-0000-0000FA1E0000}"/>
    <cellStyle name="Normal 3 11 3 2 2 3" xfId="10552" xr:uid="{00000000-0005-0000-0000-0000FB1E0000}"/>
    <cellStyle name="Normal 3 11 3 2 3" xfId="5674" xr:uid="{00000000-0005-0000-0000-0000FC1E0000}"/>
    <cellStyle name="Normal 3 11 3 2 3 2" xfId="12903" xr:uid="{00000000-0005-0000-0000-0000FD1E0000}"/>
    <cellStyle name="Normal 3 11 3 2 4" xfId="8814" xr:uid="{00000000-0005-0000-0000-0000FE1E0000}"/>
    <cellStyle name="Normal 3 11 3 3" xfId="2456" xr:uid="{00000000-0005-0000-0000-0000FF1E0000}"/>
    <cellStyle name="Normal 3 11 3 3 2" xfId="5676" xr:uid="{00000000-0005-0000-0000-0000001F0000}"/>
    <cellStyle name="Normal 3 11 3 3 2 2" xfId="12905" xr:uid="{00000000-0005-0000-0000-0000011F0000}"/>
    <cellStyle name="Normal 3 11 3 3 3" xfId="9685" xr:uid="{00000000-0005-0000-0000-0000021F0000}"/>
    <cellStyle name="Normal 3 11 3 4" xfId="5673" xr:uid="{00000000-0005-0000-0000-0000031F0000}"/>
    <cellStyle name="Normal 3 11 3 4 2" xfId="12902" xr:uid="{00000000-0005-0000-0000-0000041F0000}"/>
    <cellStyle name="Normal 3 11 3 5" xfId="7947" xr:uid="{00000000-0005-0000-0000-0000051F0000}"/>
    <cellStyle name="Normal 3 11 4" xfId="1153" xr:uid="{00000000-0005-0000-0000-0000061F0000}"/>
    <cellStyle name="Normal 3 11 4 2" xfId="2892" xr:uid="{00000000-0005-0000-0000-0000071F0000}"/>
    <cellStyle name="Normal 3 11 4 2 2" xfId="5678" xr:uid="{00000000-0005-0000-0000-0000081F0000}"/>
    <cellStyle name="Normal 3 11 4 2 2 2" xfId="12907" xr:uid="{00000000-0005-0000-0000-0000091F0000}"/>
    <cellStyle name="Normal 3 11 4 2 3" xfId="10121" xr:uid="{00000000-0005-0000-0000-00000A1F0000}"/>
    <cellStyle name="Normal 3 11 4 3" xfId="5677" xr:uid="{00000000-0005-0000-0000-00000B1F0000}"/>
    <cellStyle name="Normal 3 11 4 3 2" xfId="12906" xr:uid="{00000000-0005-0000-0000-00000C1F0000}"/>
    <cellStyle name="Normal 3 11 4 4" xfId="8383" xr:uid="{00000000-0005-0000-0000-00000D1F0000}"/>
    <cellStyle name="Normal 3 11 5" xfId="2025" xr:uid="{00000000-0005-0000-0000-00000E1F0000}"/>
    <cellStyle name="Normal 3 11 5 2" xfId="5679" xr:uid="{00000000-0005-0000-0000-00000F1F0000}"/>
    <cellStyle name="Normal 3 11 5 2 2" xfId="12908" xr:uid="{00000000-0005-0000-0000-0000101F0000}"/>
    <cellStyle name="Normal 3 11 5 3" xfId="9254" xr:uid="{00000000-0005-0000-0000-0000111F0000}"/>
    <cellStyle name="Normal 3 11 6" xfId="5664" xr:uid="{00000000-0005-0000-0000-0000121F0000}"/>
    <cellStyle name="Normal 3 11 6 2" xfId="12893" xr:uid="{00000000-0005-0000-0000-0000131F0000}"/>
    <cellStyle name="Normal 3 11 7" xfId="7516" xr:uid="{00000000-0005-0000-0000-0000141F0000}"/>
    <cellStyle name="Normal 3 12" xfId="387" xr:uid="{00000000-0005-0000-0000-0000151F0000}"/>
    <cellStyle name="Normal 3 12 2" xfId="833" xr:uid="{00000000-0005-0000-0000-0000161F0000}"/>
    <cellStyle name="Normal 3 12 2 2" xfId="1700" xr:uid="{00000000-0005-0000-0000-0000171F0000}"/>
    <cellStyle name="Normal 3 12 2 2 2" xfId="3439" xr:uid="{00000000-0005-0000-0000-0000181F0000}"/>
    <cellStyle name="Normal 3 12 2 2 2 2" xfId="5683" xr:uid="{00000000-0005-0000-0000-0000191F0000}"/>
    <cellStyle name="Normal 3 12 2 2 2 2 2" xfId="12912" xr:uid="{00000000-0005-0000-0000-00001A1F0000}"/>
    <cellStyle name="Normal 3 12 2 2 2 3" xfId="10668" xr:uid="{00000000-0005-0000-0000-00001B1F0000}"/>
    <cellStyle name="Normal 3 12 2 2 3" xfId="5682" xr:uid="{00000000-0005-0000-0000-00001C1F0000}"/>
    <cellStyle name="Normal 3 12 2 2 3 2" xfId="12911" xr:uid="{00000000-0005-0000-0000-00001D1F0000}"/>
    <cellStyle name="Normal 3 12 2 2 4" xfId="8930" xr:uid="{00000000-0005-0000-0000-00001E1F0000}"/>
    <cellStyle name="Normal 3 12 2 3" xfId="2572" xr:uid="{00000000-0005-0000-0000-00001F1F0000}"/>
    <cellStyle name="Normal 3 12 2 3 2" xfId="5684" xr:uid="{00000000-0005-0000-0000-0000201F0000}"/>
    <cellStyle name="Normal 3 12 2 3 2 2" xfId="12913" xr:uid="{00000000-0005-0000-0000-0000211F0000}"/>
    <cellStyle name="Normal 3 12 2 3 3" xfId="9801" xr:uid="{00000000-0005-0000-0000-0000221F0000}"/>
    <cellStyle name="Normal 3 12 2 4" xfId="5681" xr:uid="{00000000-0005-0000-0000-0000231F0000}"/>
    <cellStyle name="Normal 3 12 2 4 2" xfId="12910" xr:uid="{00000000-0005-0000-0000-0000241F0000}"/>
    <cellStyle name="Normal 3 12 2 5" xfId="8063" xr:uid="{00000000-0005-0000-0000-0000251F0000}"/>
    <cellStyle name="Normal 3 12 3" xfId="1269" xr:uid="{00000000-0005-0000-0000-0000261F0000}"/>
    <cellStyle name="Normal 3 12 3 2" xfId="3008" xr:uid="{00000000-0005-0000-0000-0000271F0000}"/>
    <cellStyle name="Normal 3 12 3 2 2" xfId="5686" xr:uid="{00000000-0005-0000-0000-0000281F0000}"/>
    <cellStyle name="Normal 3 12 3 2 2 2" xfId="12915" xr:uid="{00000000-0005-0000-0000-0000291F0000}"/>
    <cellStyle name="Normal 3 12 3 2 3" xfId="10237" xr:uid="{00000000-0005-0000-0000-00002A1F0000}"/>
    <cellStyle name="Normal 3 12 3 3" xfId="5685" xr:uid="{00000000-0005-0000-0000-00002B1F0000}"/>
    <cellStyle name="Normal 3 12 3 3 2" xfId="12914" xr:uid="{00000000-0005-0000-0000-00002C1F0000}"/>
    <cellStyle name="Normal 3 12 3 4" xfId="8499" xr:uid="{00000000-0005-0000-0000-00002D1F0000}"/>
    <cellStyle name="Normal 3 12 4" xfId="2141" xr:uid="{00000000-0005-0000-0000-00002E1F0000}"/>
    <cellStyle name="Normal 3 12 4 2" xfId="5687" xr:uid="{00000000-0005-0000-0000-00002F1F0000}"/>
    <cellStyle name="Normal 3 12 4 2 2" xfId="12916" xr:uid="{00000000-0005-0000-0000-0000301F0000}"/>
    <cellStyle name="Normal 3 12 4 3" xfId="9370" xr:uid="{00000000-0005-0000-0000-0000311F0000}"/>
    <cellStyle name="Normal 3 12 5" xfId="5680" xr:uid="{00000000-0005-0000-0000-0000321F0000}"/>
    <cellStyle name="Normal 3 12 5 2" xfId="12909" xr:uid="{00000000-0005-0000-0000-0000331F0000}"/>
    <cellStyle name="Normal 3 12 6" xfId="7632" xr:uid="{00000000-0005-0000-0000-0000341F0000}"/>
    <cellStyle name="Normal 3 13" xfId="604" xr:uid="{00000000-0005-0000-0000-0000351F0000}"/>
    <cellStyle name="Normal 3 13 2" xfId="1482" xr:uid="{00000000-0005-0000-0000-0000361F0000}"/>
    <cellStyle name="Normal 3 13 2 2" xfId="3221" xr:uid="{00000000-0005-0000-0000-0000371F0000}"/>
    <cellStyle name="Normal 3 13 2 2 2" xfId="5690" xr:uid="{00000000-0005-0000-0000-0000381F0000}"/>
    <cellStyle name="Normal 3 13 2 2 2 2" xfId="12919" xr:uid="{00000000-0005-0000-0000-0000391F0000}"/>
    <cellStyle name="Normal 3 13 2 2 3" xfId="10450" xr:uid="{00000000-0005-0000-0000-00003A1F0000}"/>
    <cellStyle name="Normal 3 13 2 3" xfId="5689" xr:uid="{00000000-0005-0000-0000-00003B1F0000}"/>
    <cellStyle name="Normal 3 13 2 3 2" xfId="12918" xr:uid="{00000000-0005-0000-0000-00003C1F0000}"/>
    <cellStyle name="Normal 3 13 2 4" xfId="8712" xr:uid="{00000000-0005-0000-0000-00003D1F0000}"/>
    <cellStyle name="Normal 3 13 3" xfId="2354" xr:uid="{00000000-0005-0000-0000-00003E1F0000}"/>
    <cellStyle name="Normal 3 13 3 2" xfId="5691" xr:uid="{00000000-0005-0000-0000-00003F1F0000}"/>
    <cellStyle name="Normal 3 13 3 2 2" xfId="12920" xr:uid="{00000000-0005-0000-0000-0000401F0000}"/>
    <cellStyle name="Normal 3 13 3 3" xfId="9583" xr:uid="{00000000-0005-0000-0000-0000411F0000}"/>
    <cellStyle name="Normal 3 13 4" xfId="5688" xr:uid="{00000000-0005-0000-0000-0000421F0000}"/>
    <cellStyle name="Normal 3 13 4 2" xfId="12917" xr:uid="{00000000-0005-0000-0000-0000431F0000}"/>
    <cellStyle name="Normal 3 13 5" xfId="7845" xr:uid="{00000000-0005-0000-0000-0000441F0000}"/>
    <cellStyle name="Normal 3 14" xfId="1051" xr:uid="{00000000-0005-0000-0000-0000451F0000}"/>
    <cellStyle name="Normal 3 14 2" xfId="2790" xr:uid="{00000000-0005-0000-0000-0000461F0000}"/>
    <cellStyle name="Normal 3 14 2 2" xfId="5693" xr:uid="{00000000-0005-0000-0000-0000471F0000}"/>
    <cellStyle name="Normal 3 14 2 2 2" xfId="12922" xr:uid="{00000000-0005-0000-0000-0000481F0000}"/>
    <cellStyle name="Normal 3 14 2 3" xfId="10019" xr:uid="{00000000-0005-0000-0000-0000491F0000}"/>
    <cellStyle name="Normal 3 14 3" xfId="5692" xr:uid="{00000000-0005-0000-0000-00004A1F0000}"/>
    <cellStyle name="Normal 3 14 3 2" xfId="12921" xr:uid="{00000000-0005-0000-0000-00004B1F0000}"/>
    <cellStyle name="Normal 3 14 4" xfId="8281" xr:uid="{00000000-0005-0000-0000-00004C1F0000}"/>
    <cellStyle name="Normal 3 15" xfId="1923" xr:uid="{00000000-0005-0000-0000-00004D1F0000}"/>
    <cellStyle name="Normal 3 15 2" xfId="5694" xr:uid="{00000000-0005-0000-0000-00004E1F0000}"/>
    <cellStyle name="Normal 3 15 2 2" xfId="12923" xr:uid="{00000000-0005-0000-0000-00004F1F0000}"/>
    <cellStyle name="Normal 3 15 3" xfId="9152" xr:uid="{00000000-0005-0000-0000-0000501F0000}"/>
    <cellStyle name="Normal 3 16" xfId="5631" xr:uid="{00000000-0005-0000-0000-0000511F0000}"/>
    <cellStyle name="Normal 3 16 2" xfId="12860" xr:uid="{00000000-0005-0000-0000-0000521F0000}"/>
    <cellStyle name="Normal 3 17" xfId="7408" xr:uid="{00000000-0005-0000-0000-0000531F0000}"/>
    <cellStyle name="Normal 3 17 2" xfId="14607" xr:uid="{00000000-0005-0000-0000-0000541F0000}"/>
    <cellStyle name="Normal 3 18" xfId="7412" xr:uid="{00000000-0005-0000-0000-0000551F0000}"/>
    <cellStyle name="Normal 3 2" xfId="15" xr:uid="{00000000-0005-0000-0000-0000561F0000}"/>
    <cellStyle name="Normal 3 2 10" xfId="1052" xr:uid="{00000000-0005-0000-0000-0000571F0000}"/>
    <cellStyle name="Normal 3 2 10 2" xfId="2791" xr:uid="{00000000-0005-0000-0000-0000581F0000}"/>
    <cellStyle name="Normal 3 2 10 2 2" xfId="5697" xr:uid="{00000000-0005-0000-0000-0000591F0000}"/>
    <cellStyle name="Normal 3 2 10 2 2 2" xfId="12926" xr:uid="{00000000-0005-0000-0000-00005A1F0000}"/>
    <cellStyle name="Normal 3 2 10 2 3" xfId="10020" xr:uid="{00000000-0005-0000-0000-00005B1F0000}"/>
    <cellStyle name="Normal 3 2 10 3" xfId="5696" xr:uid="{00000000-0005-0000-0000-00005C1F0000}"/>
    <cellStyle name="Normal 3 2 10 3 2" xfId="12925" xr:uid="{00000000-0005-0000-0000-00005D1F0000}"/>
    <cellStyle name="Normal 3 2 10 4" xfId="8282" xr:uid="{00000000-0005-0000-0000-00005E1F0000}"/>
    <cellStyle name="Normal 3 2 11" xfId="1924" xr:uid="{00000000-0005-0000-0000-00005F1F0000}"/>
    <cellStyle name="Normal 3 2 11 2" xfId="5698" xr:uid="{00000000-0005-0000-0000-0000601F0000}"/>
    <cellStyle name="Normal 3 2 11 2 2" xfId="12927" xr:uid="{00000000-0005-0000-0000-0000611F0000}"/>
    <cellStyle name="Normal 3 2 11 3" xfId="9153" xr:uid="{00000000-0005-0000-0000-0000621F0000}"/>
    <cellStyle name="Normal 3 2 12" xfId="5695" xr:uid="{00000000-0005-0000-0000-0000631F0000}"/>
    <cellStyle name="Normal 3 2 12 2" xfId="12924" xr:uid="{00000000-0005-0000-0000-0000641F0000}"/>
    <cellStyle name="Normal 3 2 13" xfId="7413" xr:uid="{00000000-0005-0000-0000-0000651F0000}"/>
    <cellStyle name="Normal 3 2 2" xfId="48" xr:uid="{00000000-0005-0000-0000-0000661F0000}"/>
    <cellStyle name="Normal 3 2 2 10" xfId="5699" xr:uid="{00000000-0005-0000-0000-0000671F0000}"/>
    <cellStyle name="Normal 3 2 2 10 2" xfId="12928" xr:uid="{00000000-0005-0000-0000-0000681F0000}"/>
    <cellStyle name="Normal 3 2 2 11" xfId="7427" xr:uid="{00000000-0005-0000-0000-0000691F0000}"/>
    <cellStyle name="Normal 3 2 2 2" xfId="104" xr:uid="{00000000-0005-0000-0000-00006A1F0000}"/>
    <cellStyle name="Normal 3 2 2 2 2" xfId="311" xr:uid="{00000000-0005-0000-0000-00006B1F0000}"/>
    <cellStyle name="Normal 3 2 2 2 2 2" xfId="537" xr:uid="{00000000-0005-0000-0000-00006C1F0000}"/>
    <cellStyle name="Normal 3 2 2 2 2 2 2" xfId="983" xr:uid="{00000000-0005-0000-0000-00006D1F0000}"/>
    <cellStyle name="Normal 3 2 2 2 2 2 2 2" xfId="1850" xr:uid="{00000000-0005-0000-0000-00006E1F0000}"/>
    <cellStyle name="Normal 3 2 2 2 2 2 2 2 2" xfId="3589" xr:uid="{00000000-0005-0000-0000-00006F1F0000}"/>
    <cellStyle name="Normal 3 2 2 2 2 2 2 2 2 2" xfId="5705" xr:uid="{00000000-0005-0000-0000-0000701F0000}"/>
    <cellStyle name="Normal 3 2 2 2 2 2 2 2 2 2 2" xfId="12934" xr:uid="{00000000-0005-0000-0000-0000711F0000}"/>
    <cellStyle name="Normal 3 2 2 2 2 2 2 2 2 3" xfId="10818" xr:uid="{00000000-0005-0000-0000-0000721F0000}"/>
    <cellStyle name="Normal 3 2 2 2 2 2 2 2 3" xfId="5704" xr:uid="{00000000-0005-0000-0000-0000731F0000}"/>
    <cellStyle name="Normal 3 2 2 2 2 2 2 2 3 2" xfId="12933" xr:uid="{00000000-0005-0000-0000-0000741F0000}"/>
    <cellStyle name="Normal 3 2 2 2 2 2 2 2 4" xfId="9080" xr:uid="{00000000-0005-0000-0000-0000751F0000}"/>
    <cellStyle name="Normal 3 2 2 2 2 2 2 3" xfId="2722" xr:uid="{00000000-0005-0000-0000-0000761F0000}"/>
    <cellStyle name="Normal 3 2 2 2 2 2 2 3 2" xfId="5706" xr:uid="{00000000-0005-0000-0000-0000771F0000}"/>
    <cellStyle name="Normal 3 2 2 2 2 2 2 3 2 2" xfId="12935" xr:uid="{00000000-0005-0000-0000-0000781F0000}"/>
    <cellStyle name="Normal 3 2 2 2 2 2 2 3 3" xfId="9951" xr:uid="{00000000-0005-0000-0000-0000791F0000}"/>
    <cellStyle name="Normal 3 2 2 2 2 2 2 4" xfId="5703" xr:uid="{00000000-0005-0000-0000-00007A1F0000}"/>
    <cellStyle name="Normal 3 2 2 2 2 2 2 4 2" xfId="12932" xr:uid="{00000000-0005-0000-0000-00007B1F0000}"/>
    <cellStyle name="Normal 3 2 2 2 2 2 2 5" xfId="8213" xr:uid="{00000000-0005-0000-0000-00007C1F0000}"/>
    <cellStyle name="Normal 3 2 2 2 2 2 3" xfId="1419" xr:uid="{00000000-0005-0000-0000-00007D1F0000}"/>
    <cellStyle name="Normal 3 2 2 2 2 2 3 2" xfId="3158" xr:uid="{00000000-0005-0000-0000-00007E1F0000}"/>
    <cellStyle name="Normal 3 2 2 2 2 2 3 2 2" xfId="5708" xr:uid="{00000000-0005-0000-0000-00007F1F0000}"/>
    <cellStyle name="Normal 3 2 2 2 2 2 3 2 2 2" xfId="12937" xr:uid="{00000000-0005-0000-0000-0000801F0000}"/>
    <cellStyle name="Normal 3 2 2 2 2 2 3 2 3" xfId="10387" xr:uid="{00000000-0005-0000-0000-0000811F0000}"/>
    <cellStyle name="Normal 3 2 2 2 2 2 3 3" xfId="5707" xr:uid="{00000000-0005-0000-0000-0000821F0000}"/>
    <cellStyle name="Normal 3 2 2 2 2 2 3 3 2" xfId="12936" xr:uid="{00000000-0005-0000-0000-0000831F0000}"/>
    <cellStyle name="Normal 3 2 2 2 2 2 3 4" xfId="8649" xr:uid="{00000000-0005-0000-0000-0000841F0000}"/>
    <cellStyle name="Normal 3 2 2 2 2 2 4" xfId="2291" xr:uid="{00000000-0005-0000-0000-0000851F0000}"/>
    <cellStyle name="Normal 3 2 2 2 2 2 4 2" xfId="5709" xr:uid="{00000000-0005-0000-0000-0000861F0000}"/>
    <cellStyle name="Normal 3 2 2 2 2 2 4 2 2" xfId="12938" xr:uid="{00000000-0005-0000-0000-0000871F0000}"/>
    <cellStyle name="Normal 3 2 2 2 2 2 4 3" xfId="9520" xr:uid="{00000000-0005-0000-0000-0000881F0000}"/>
    <cellStyle name="Normal 3 2 2 2 2 2 5" xfId="5702" xr:uid="{00000000-0005-0000-0000-0000891F0000}"/>
    <cellStyle name="Normal 3 2 2 2 2 2 5 2" xfId="12931" xr:uid="{00000000-0005-0000-0000-00008A1F0000}"/>
    <cellStyle name="Normal 3 2 2 2 2 2 6" xfId="7782" xr:uid="{00000000-0005-0000-0000-00008B1F0000}"/>
    <cellStyle name="Normal 3 2 2 2 2 3" xfId="759" xr:uid="{00000000-0005-0000-0000-00008C1F0000}"/>
    <cellStyle name="Normal 3 2 2 2 2 3 2" xfId="1632" xr:uid="{00000000-0005-0000-0000-00008D1F0000}"/>
    <cellStyle name="Normal 3 2 2 2 2 3 2 2" xfId="3371" xr:uid="{00000000-0005-0000-0000-00008E1F0000}"/>
    <cellStyle name="Normal 3 2 2 2 2 3 2 2 2" xfId="5712" xr:uid="{00000000-0005-0000-0000-00008F1F0000}"/>
    <cellStyle name="Normal 3 2 2 2 2 3 2 2 2 2" xfId="12941" xr:uid="{00000000-0005-0000-0000-0000901F0000}"/>
    <cellStyle name="Normal 3 2 2 2 2 3 2 2 3" xfId="10600" xr:uid="{00000000-0005-0000-0000-0000911F0000}"/>
    <cellStyle name="Normal 3 2 2 2 2 3 2 3" xfId="5711" xr:uid="{00000000-0005-0000-0000-0000921F0000}"/>
    <cellStyle name="Normal 3 2 2 2 2 3 2 3 2" xfId="12940" xr:uid="{00000000-0005-0000-0000-0000931F0000}"/>
    <cellStyle name="Normal 3 2 2 2 2 3 2 4" xfId="8862" xr:uid="{00000000-0005-0000-0000-0000941F0000}"/>
    <cellStyle name="Normal 3 2 2 2 2 3 3" xfId="2504" xr:uid="{00000000-0005-0000-0000-0000951F0000}"/>
    <cellStyle name="Normal 3 2 2 2 2 3 3 2" xfId="5713" xr:uid="{00000000-0005-0000-0000-0000961F0000}"/>
    <cellStyle name="Normal 3 2 2 2 2 3 3 2 2" xfId="12942" xr:uid="{00000000-0005-0000-0000-0000971F0000}"/>
    <cellStyle name="Normal 3 2 2 2 2 3 3 3" xfId="9733" xr:uid="{00000000-0005-0000-0000-0000981F0000}"/>
    <cellStyle name="Normal 3 2 2 2 2 3 4" xfId="5710" xr:uid="{00000000-0005-0000-0000-0000991F0000}"/>
    <cellStyle name="Normal 3 2 2 2 2 3 4 2" xfId="12939" xr:uid="{00000000-0005-0000-0000-00009A1F0000}"/>
    <cellStyle name="Normal 3 2 2 2 2 3 5" xfId="7995" xr:uid="{00000000-0005-0000-0000-00009B1F0000}"/>
    <cellStyle name="Normal 3 2 2 2 2 4" xfId="1201" xr:uid="{00000000-0005-0000-0000-00009C1F0000}"/>
    <cellStyle name="Normal 3 2 2 2 2 4 2" xfId="2940" xr:uid="{00000000-0005-0000-0000-00009D1F0000}"/>
    <cellStyle name="Normal 3 2 2 2 2 4 2 2" xfId="5715" xr:uid="{00000000-0005-0000-0000-00009E1F0000}"/>
    <cellStyle name="Normal 3 2 2 2 2 4 2 2 2" xfId="12944" xr:uid="{00000000-0005-0000-0000-00009F1F0000}"/>
    <cellStyle name="Normal 3 2 2 2 2 4 2 3" xfId="10169" xr:uid="{00000000-0005-0000-0000-0000A01F0000}"/>
    <cellStyle name="Normal 3 2 2 2 2 4 3" xfId="5714" xr:uid="{00000000-0005-0000-0000-0000A11F0000}"/>
    <cellStyle name="Normal 3 2 2 2 2 4 3 2" xfId="12943" xr:uid="{00000000-0005-0000-0000-0000A21F0000}"/>
    <cellStyle name="Normal 3 2 2 2 2 4 4" xfId="8431" xr:uid="{00000000-0005-0000-0000-0000A31F0000}"/>
    <cellStyle name="Normal 3 2 2 2 2 5" xfId="2073" xr:uid="{00000000-0005-0000-0000-0000A41F0000}"/>
    <cellStyle name="Normal 3 2 2 2 2 5 2" xfId="5716" xr:uid="{00000000-0005-0000-0000-0000A51F0000}"/>
    <cellStyle name="Normal 3 2 2 2 2 5 2 2" xfId="12945" xr:uid="{00000000-0005-0000-0000-0000A61F0000}"/>
    <cellStyle name="Normal 3 2 2 2 2 5 3" xfId="9302" xr:uid="{00000000-0005-0000-0000-0000A71F0000}"/>
    <cellStyle name="Normal 3 2 2 2 2 6" xfId="5701" xr:uid="{00000000-0005-0000-0000-0000A81F0000}"/>
    <cellStyle name="Normal 3 2 2 2 2 6 2" xfId="12930" xr:uid="{00000000-0005-0000-0000-0000A91F0000}"/>
    <cellStyle name="Normal 3 2 2 2 2 7" xfId="7564" xr:uid="{00000000-0005-0000-0000-0000AA1F0000}"/>
    <cellStyle name="Normal 3 2 2 2 3" xfId="435" xr:uid="{00000000-0005-0000-0000-0000AB1F0000}"/>
    <cellStyle name="Normal 3 2 2 2 3 2" xfId="881" xr:uid="{00000000-0005-0000-0000-0000AC1F0000}"/>
    <cellStyle name="Normal 3 2 2 2 3 2 2" xfId="1748" xr:uid="{00000000-0005-0000-0000-0000AD1F0000}"/>
    <cellStyle name="Normal 3 2 2 2 3 2 2 2" xfId="3487" xr:uid="{00000000-0005-0000-0000-0000AE1F0000}"/>
    <cellStyle name="Normal 3 2 2 2 3 2 2 2 2" xfId="5720" xr:uid="{00000000-0005-0000-0000-0000AF1F0000}"/>
    <cellStyle name="Normal 3 2 2 2 3 2 2 2 2 2" xfId="12949" xr:uid="{00000000-0005-0000-0000-0000B01F0000}"/>
    <cellStyle name="Normal 3 2 2 2 3 2 2 2 3" xfId="10716" xr:uid="{00000000-0005-0000-0000-0000B11F0000}"/>
    <cellStyle name="Normal 3 2 2 2 3 2 2 3" xfId="5719" xr:uid="{00000000-0005-0000-0000-0000B21F0000}"/>
    <cellStyle name="Normal 3 2 2 2 3 2 2 3 2" xfId="12948" xr:uid="{00000000-0005-0000-0000-0000B31F0000}"/>
    <cellStyle name="Normal 3 2 2 2 3 2 2 4" xfId="8978" xr:uid="{00000000-0005-0000-0000-0000B41F0000}"/>
    <cellStyle name="Normal 3 2 2 2 3 2 3" xfId="2620" xr:uid="{00000000-0005-0000-0000-0000B51F0000}"/>
    <cellStyle name="Normal 3 2 2 2 3 2 3 2" xfId="5721" xr:uid="{00000000-0005-0000-0000-0000B61F0000}"/>
    <cellStyle name="Normal 3 2 2 2 3 2 3 2 2" xfId="12950" xr:uid="{00000000-0005-0000-0000-0000B71F0000}"/>
    <cellStyle name="Normal 3 2 2 2 3 2 3 3" xfId="9849" xr:uid="{00000000-0005-0000-0000-0000B81F0000}"/>
    <cellStyle name="Normal 3 2 2 2 3 2 4" xfId="5718" xr:uid="{00000000-0005-0000-0000-0000B91F0000}"/>
    <cellStyle name="Normal 3 2 2 2 3 2 4 2" xfId="12947" xr:uid="{00000000-0005-0000-0000-0000BA1F0000}"/>
    <cellStyle name="Normal 3 2 2 2 3 2 5" xfId="8111" xr:uid="{00000000-0005-0000-0000-0000BB1F0000}"/>
    <cellStyle name="Normal 3 2 2 2 3 3" xfId="1317" xr:uid="{00000000-0005-0000-0000-0000BC1F0000}"/>
    <cellStyle name="Normal 3 2 2 2 3 3 2" xfId="3056" xr:uid="{00000000-0005-0000-0000-0000BD1F0000}"/>
    <cellStyle name="Normal 3 2 2 2 3 3 2 2" xfId="5723" xr:uid="{00000000-0005-0000-0000-0000BE1F0000}"/>
    <cellStyle name="Normal 3 2 2 2 3 3 2 2 2" xfId="12952" xr:uid="{00000000-0005-0000-0000-0000BF1F0000}"/>
    <cellStyle name="Normal 3 2 2 2 3 3 2 3" xfId="10285" xr:uid="{00000000-0005-0000-0000-0000C01F0000}"/>
    <cellStyle name="Normal 3 2 2 2 3 3 3" xfId="5722" xr:uid="{00000000-0005-0000-0000-0000C11F0000}"/>
    <cellStyle name="Normal 3 2 2 2 3 3 3 2" xfId="12951" xr:uid="{00000000-0005-0000-0000-0000C21F0000}"/>
    <cellStyle name="Normal 3 2 2 2 3 3 4" xfId="8547" xr:uid="{00000000-0005-0000-0000-0000C31F0000}"/>
    <cellStyle name="Normal 3 2 2 2 3 4" xfId="2189" xr:uid="{00000000-0005-0000-0000-0000C41F0000}"/>
    <cellStyle name="Normal 3 2 2 2 3 4 2" xfId="5724" xr:uid="{00000000-0005-0000-0000-0000C51F0000}"/>
    <cellStyle name="Normal 3 2 2 2 3 4 2 2" xfId="12953" xr:uid="{00000000-0005-0000-0000-0000C61F0000}"/>
    <cellStyle name="Normal 3 2 2 2 3 4 3" xfId="9418" xr:uid="{00000000-0005-0000-0000-0000C71F0000}"/>
    <cellStyle name="Normal 3 2 2 2 3 5" xfId="5717" xr:uid="{00000000-0005-0000-0000-0000C81F0000}"/>
    <cellStyle name="Normal 3 2 2 2 3 5 2" xfId="12946" xr:uid="{00000000-0005-0000-0000-0000C91F0000}"/>
    <cellStyle name="Normal 3 2 2 2 3 6" xfId="7680" xr:uid="{00000000-0005-0000-0000-0000CA1F0000}"/>
    <cellStyle name="Normal 3 2 2 2 4" xfId="654" xr:uid="{00000000-0005-0000-0000-0000CB1F0000}"/>
    <cellStyle name="Normal 3 2 2 2 4 2" xfId="1530" xr:uid="{00000000-0005-0000-0000-0000CC1F0000}"/>
    <cellStyle name="Normal 3 2 2 2 4 2 2" xfId="3269" xr:uid="{00000000-0005-0000-0000-0000CD1F0000}"/>
    <cellStyle name="Normal 3 2 2 2 4 2 2 2" xfId="5727" xr:uid="{00000000-0005-0000-0000-0000CE1F0000}"/>
    <cellStyle name="Normal 3 2 2 2 4 2 2 2 2" xfId="12956" xr:uid="{00000000-0005-0000-0000-0000CF1F0000}"/>
    <cellStyle name="Normal 3 2 2 2 4 2 2 3" xfId="10498" xr:uid="{00000000-0005-0000-0000-0000D01F0000}"/>
    <cellStyle name="Normal 3 2 2 2 4 2 3" xfId="5726" xr:uid="{00000000-0005-0000-0000-0000D11F0000}"/>
    <cellStyle name="Normal 3 2 2 2 4 2 3 2" xfId="12955" xr:uid="{00000000-0005-0000-0000-0000D21F0000}"/>
    <cellStyle name="Normal 3 2 2 2 4 2 4" xfId="8760" xr:uid="{00000000-0005-0000-0000-0000D31F0000}"/>
    <cellStyle name="Normal 3 2 2 2 4 3" xfId="2402" xr:uid="{00000000-0005-0000-0000-0000D41F0000}"/>
    <cellStyle name="Normal 3 2 2 2 4 3 2" xfId="5728" xr:uid="{00000000-0005-0000-0000-0000D51F0000}"/>
    <cellStyle name="Normal 3 2 2 2 4 3 2 2" xfId="12957" xr:uid="{00000000-0005-0000-0000-0000D61F0000}"/>
    <cellStyle name="Normal 3 2 2 2 4 3 3" xfId="9631" xr:uid="{00000000-0005-0000-0000-0000D71F0000}"/>
    <cellStyle name="Normal 3 2 2 2 4 4" xfId="5725" xr:uid="{00000000-0005-0000-0000-0000D81F0000}"/>
    <cellStyle name="Normal 3 2 2 2 4 4 2" xfId="12954" xr:uid="{00000000-0005-0000-0000-0000D91F0000}"/>
    <cellStyle name="Normal 3 2 2 2 4 5" xfId="7893" xr:uid="{00000000-0005-0000-0000-0000DA1F0000}"/>
    <cellStyle name="Normal 3 2 2 2 5" xfId="1099" xr:uid="{00000000-0005-0000-0000-0000DB1F0000}"/>
    <cellStyle name="Normal 3 2 2 2 5 2" xfId="2838" xr:uid="{00000000-0005-0000-0000-0000DC1F0000}"/>
    <cellStyle name="Normal 3 2 2 2 5 2 2" xfId="5730" xr:uid="{00000000-0005-0000-0000-0000DD1F0000}"/>
    <cellStyle name="Normal 3 2 2 2 5 2 2 2" xfId="12959" xr:uid="{00000000-0005-0000-0000-0000DE1F0000}"/>
    <cellStyle name="Normal 3 2 2 2 5 2 3" xfId="10067" xr:uid="{00000000-0005-0000-0000-0000DF1F0000}"/>
    <cellStyle name="Normal 3 2 2 2 5 3" xfId="5729" xr:uid="{00000000-0005-0000-0000-0000E01F0000}"/>
    <cellStyle name="Normal 3 2 2 2 5 3 2" xfId="12958" xr:uid="{00000000-0005-0000-0000-0000E11F0000}"/>
    <cellStyle name="Normal 3 2 2 2 5 4" xfId="8329" xr:uid="{00000000-0005-0000-0000-0000E21F0000}"/>
    <cellStyle name="Normal 3 2 2 2 6" xfId="1971" xr:uid="{00000000-0005-0000-0000-0000E31F0000}"/>
    <cellStyle name="Normal 3 2 2 2 6 2" xfId="5731" xr:uid="{00000000-0005-0000-0000-0000E41F0000}"/>
    <cellStyle name="Normal 3 2 2 2 6 2 2" xfId="12960" xr:uid="{00000000-0005-0000-0000-0000E51F0000}"/>
    <cellStyle name="Normal 3 2 2 2 6 3" xfId="9200" xr:uid="{00000000-0005-0000-0000-0000E61F0000}"/>
    <cellStyle name="Normal 3 2 2 2 7" xfId="5700" xr:uid="{00000000-0005-0000-0000-0000E71F0000}"/>
    <cellStyle name="Normal 3 2 2 2 7 2" xfId="12929" xr:uid="{00000000-0005-0000-0000-0000E81F0000}"/>
    <cellStyle name="Normal 3 2 2 2 8" xfId="7460" xr:uid="{00000000-0005-0000-0000-0000E91F0000}"/>
    <cellStyle name="Normal 3 2 2 3" xfId="220" xr:uid="{00000000-0005-0000-0000-0000EA1F0000}"/>
    <cellStyle name="Normal 3 2 2 3 2" xfId="344" xr:uid="{00000000-0005-0000-0000-0000EB1F0000}"/>
    <cellStyle name="Normal 3 2 2 3 2 2" xfId="570" xr:uid="{00000000-0005-0000-0000-0000EC1F0000}"/>
    <cellStyle name="Normal 3 2 2 3 2 2 2" xfId="1016" xr:uid="{00000000-0005-0000-0000-0000ED1F0000}"/>
    <cellStyle name="Normal 3 2 2 3 2 2 2 2" xfId="1883" xr:uid="{00000000-0005-0000-0000-0000EE1F0000}"/>
    <cellStyle name="Normal 3 2 2 3 2 2 2 2 2" xfId="3622" xr:uid="{00000000-0005-0000-0000-0000EF1F0000}"/>
    <cellStyle name="Normal 3 2 2 3 2 2 2 2 2 2" xfId="5737" xr:uid="{00000000-0005-0000-0000-0000F01F0000}"/>
    <cellStyle name="Normal 3 2 2 3 2 2 2 2 2 2 2" xfId="12966" xr:uid="{00000000-0005-0000-0000-0000F11F0000}"/>
    <cellStyle name="Normal 3 2 2 3 2 2 2 2 2 3" xfId="10851" xr:uid="{00000000-0005-0000-0000-0000F21F0000}"/>
    <cellStyle name="Normal 3 2 2 3 2 2 2 2 3" xfId="5736" xr:uid="{00000000-0005-0000-0000-0000F31F0000}"/>
    <cellStyle name="Normal 3 2 2 3 2 2 2 2 3 2" xfId="12965" xr:uid="{00000000-0005-0000-0000-0000F41F0000}"/>
    <cellStyle name="Normal 3 2 2 3 2 2 2 2 4" xfId="9113" xr:uid="{00000000-0005-0000-0000-0000F51F0000}"/>
    <cellStyle name="Normal 3 2 2 3 2 2 2 3" xfId="2755" xr:uid="{00000000-0005-0000-0000-0000F61F0000}"/>
    <cellStyle name="Normal 3 2 2 3 2 2 2 3 2" xfId="5738" xr:uid="{00000000-0005-0000-0000-0000F71F0000}"/>
    <cellStyle name="Normal 3 2 2 3 2 2 2 3 2 2" xfId="12967" xr:uid="{00000000-0005-0000-0000-0000F81F0000}"/>
    <cellStyle name="Normal 3 2 2 3 2 2 2 3 3" xfId="9984" xr:uid="{00000000-0005-0000-0000-0000F91F0000}"/>
    <cellStyle name="Normal 3 2 2 3 2 2 2 4" xfId="5735" xr:uid="{00000000-0005-0000-0000-0000FA1F0000}"/>
    <cellStyle name="Normal 3 2 2 3 2 2 2 4 2" xfId="12964" xr:uid="{00000000-0005-0000-0000-0000FB1F0000}"/>
    <cellStyle name="Normal 3 2 2 3 2 2 2 5" xfId="8246" xr:uid="{00000000-0005-0000-0000-0000FC1F0000}"/>
    <cellStyle name="Normal 3 2 2 3 2 2 3" xfId="1452" xr:uid="{00000000-0005-0000-0000-0000FD1F0000}"/>
    <cellStyle name="Normal 3 2 2 3 2 2 3 2" xfId="3191" xr:uid="{00000000-0005-0000-0000-0000FE1F0000}"/>
    <cellStyle name="Normal 3 2 2 3 2 2 3 2 2" xfId="5740" xr:uid="{00000000-0005-0000-0000-0000FF1F0000}"/>
    <cellStyle name="Normal 3 2 2 3 2 2 3 2 2 2" xfId="12969" xr:uid="{00000000-0005-0000-0000-000000200000}"/>
    <cellStyle name="Normal 3 2 2 3 2 2 3 2 3" xfId="10420" xr:uid="{00000000-0005-0000-0000-000001200000}"/>
    <cellStyle name="Normal 3 2 2 3 2 2 3 3" xfId="5739" xr:uid="{00000000-0005-0000-0000-000002200000}"/>
    <cellStyle name="Normal 3 2 2 3 2 2 3 3 2" xfId="12968" xr:uid="{00000000-0005-0000-0000-000003200000}"/>
    <cellStyle name="Normal 3 2 2 3 2 2 3 4" xfId="8682" xr:uid="{00000000-0005-0000-0000-000004200000}"/>
    <cellStyle name="Normal 3 2 2 3 2 2 4" xfId="2324" xr:uid="{00000000-0005-0000-0000-000005200000}"/>
    <cellStyle name="Normal 3 2 2 3 2 2 4 2" xfId="5741" xr:uid="{00000000-0005-0000-0000-000006200000}"/>
    <cellStyle name="Normal 3 2 2 3 2 2 4 2 2" xfId="12970" xr:uid="{00000000-0005-0000-0000-000007200000}"/>
    <cellStyle name="Normal 3 2 2 3 2 2 4 3" xfId="9553" xr:uid="{00000000-0005-0000-0000-000008200000}"/>
    <cellStyle name="Normal 3 2 2 3 2 2 5" xfId="5734" xr:uid="{00000000-0005-0000-0000-000009200000}"/>
    <cellStyle name="Normal 3 2 2 3 2 2 5 2" xfId="12963" xr:uid="{00000000-0005-0000-0000-00000A200000}"/>
    <cellStyle name="Normal 3 2 2 3 2 2 6" xfId="7815" xr:uid="{00000000-0005-0000-0000-00000B200000}"/>
    <cellStyle name="Normal 3 2 2 3 2 3" xfId="792" xr:uid="{00000000-0005-0000-0000-00000C200000}"/>
    <cellStyle name="Normal 3 2 2 3 2 3 2" xfId="1665" xr:uid="{00000000-0005-0000-0000-00000D200000}"/>
    <cellStyle name="Normal 3 2 2 3 2 3 2 2" xfId="3404" xr:uid="{00000000-0005-0000-0000-00000E200000}"/>
    <cellStyle name="Normal 3 2 2 3 2 3 2 2 2" xfId="5744" xr:uid="{00000000-0005-0000-0000-00000F200000}"/>
    <cellStyle name="Normal 3 2 2 3 2 3 2 2 2 2" xfId="12973" xr:uid="{00000000-0005-0000-0000-000010200000}"/>
    <cellStyle name="Normal 3 2 2 3 2 3 2 2 3" xfId="10633" xr:uid="{00000000-0005-0000-0000-000011200000}"/>
    <cellStyle name="Normal 3 2 2 3 2 3 2 3" xfId="5743" xr:uid="{00000000-0005-0000-0000-000012200000}"/>
    <cellStyle name="Normal 3 2 2 3 2 3 2 3 2" xfId="12972" xr:uid="{00000000-0005-0000-0000-000013200000}"/>
    <cellStyle name="Normal 3 2 2 3 2 3 2 4" xfId="8895" xr:uid="{00000000-0005-0000-0000-000014200000}"/>
    <cellStyle name="Normal 3 2 2 3 2 3 3" xfId="2537" xr:uid="{00000000-0005-0000-0000-000015200000}"/>
    <cellStyle name="Normal 3 2 2 3 2 3 3 2" xfId="5745" xr:uid="{00000000-0005-0000-0000-000016200000}"/>
    <cellStyle name="Normal 3 2 2 3 2 3 3 2 2" xfId="12974" xr:uid="{00000000-0005-0000-0000-000017200000}"/>
    <cellStyle name="Normal 3 2 2 3 2 3 3 3" xfId="9766" xr:uid="{00000000-0005-0000-0000-000018200000}"/>
    <cellStyle name="Normal 3 2 2 3 2 3 4" xfId="5742" xr:uid="{00000000-0005-0000-0000-000019200000}"/>
    <cellStyle name="Normal 3 2 2 3 2 3 4 2" xfId="12971" xr:uid="{00000000-0005-0000-0000-00001A200000}"/>
    <cellStyle name="Normal 3 2 2 3 2 3 5" xfId="8028" xr:uid="{00000000-0005-0000-0000-00001B200000}"/>
    <cellStyle name="Normal 3 2 2 3 2 4" xfId="1234" xr:uid="{00000000-0005-0000-0000-00001C200000}"/>
    <cellStyle name="Normal 3 2 2 3 2 4 2" xfId="2973" xr:uid="{00000000-0005-0000-0000-00001D200000}"/>
    <cellStyle name="Normal 3 2 2 3 2 4 2 2" xfId="5747" xr:uid="{00000000-0005-0000-0000-00001E200000}"/>
    <cellStyle name="Normal 3 2 2 3 2 4 2 2 2" xfId="12976" xr:uid="{00000000-0005-0000-0000-00001F200000}"/>
    <cellStyle name="Normal 3 2 2 3 2 4 2 3" xfId="10202" xr:uid="{00000000-0005-0000-0000-000020200000}"/>
    <cellStyle name="Normal 3 2 2 3 2 4 3" xfId="5746" xr:uid="{00000000-0005-0000-0000-000021200000}"/>
    <cellStyle name="Normal 3 2 2 3 2 4 3 2" xfId="12975" xr:uid="{00000000-0005-0000-0000-000022200000}"/>
    <cellStyle name="Normal 3 2 2 3 2 4 4" xfId="8464" xr:uid="{00000000-0005-0000-0000-000023200000}"/>
    <cellStyle name="Normal 3 2 2 3 2 5" xfId="2106" xr:uid="{00000000-0005-0000-0000-000024200000}"/>
    <cellStyle name="Normal 3 2 2 3 2 5 2" xfId="5748" xr:uid="{00000000-0005-0000-0000-000025200000}"/>
    <cellStyle name="Normal 3 2 2 3 2 5 2 2" xfId="12977" xr:uid="{00000000-0005-0000-0000-000026200000}"/>
    <cellStyle name="Normal 3 2 2 3 2 5 3" xfId="9335" xr:uid="{00000000-0005-0000-0000-000027200000}"/>
    <cellStyle name="Normal 3 2 2 3 2 6" xfId="5733" xr:uid="{00000000-0005-0000-0000-000028200000}"/>
    <cellStyle name="Normal 3 2 2 3 2 6 2" xfId="12962" xr:uid="{00000000-0005-0000-0000-000029200000}"/>
    <cellStyle name="Normal 3 2 2 3 2 7" xfId="7597" xr:uid="{00000000-0005-0000-0000-00002A200000}"/>
    <cellStyle name="Normal 3 2 2 3 3" xfId="468" xr:uid="{00000000-0005-0000-0000-00002B200000}"/>
    <cellStyle name="Normal 3 2 2 3 3 2" xfId="914" xr:uid="{00000000-0005-0000-0000-00002C200000}"/>
    <cellStyle name="Normal 3 2 2 3 3 2 2" xfId="1781" xr:uid="{00000000-0005-0000-0000-00002D200000}"/>
    <cellStyle name="Normal 3 2 2 3 3 2 2 2" xfId="3520" xr:uid="{00000000-0005-0000-0000-00002E200000}"/>
    <cellStyle name="Normal 3 2 2 3 3 2 2 2 2" xfId="5752" xr:uid="{00000000-0005-0000-0000-00002F200000}"/>
    <cellStyle name="Normal 3 2 2 3 3 2 2 2 2 2" xfId="12981" xr:uid="{00000000-0005-0000-0000-000030200000}"/>
    <cellStyle name="Normal 3 2 2 3 3 2 2 2 3" xfId="10749" xr:uid="{00000000-0005-0000-0000-000031200000}"/>
    <cellStyle name="Normal 3 2 2 3 3 2 2 3" xfId="5751" xr:uid="{00000000-0005-0000-0000-000032200000}"/>
    <cellStyle name="Normal 3 2 2 3 3 2 2 3 2" xfId="12980" xr:uid="{00000000-0005-0000-0000-000033200000}"/>
    <cellStyle name="Normal 3 2 2 3 3 2 2 4" xfId="9011" xr:uid="{00000000-0005-0000-0000-000034200000}"/>
    <cellStyle name="Normal 3 2 2 3 3 2 3" xfId="2653" xr:uid="{00000000-0005-0000-0000-000035200000}"/>
    <cellStyle name="Normal 3 2 2 3 3 2 3 2" xfId="5753" xr:uid="{00000000-0005-0000-0000-000036200000}"/>
    <cellStyle name="Normal 3 2 2 3 3 2 3 2 2" xfId="12982" xr:uid="{00000000-0005-0000-0000-000037200000}"/>
    <cellStyle name="Normal 3 2 2 3 3 2 3 3" xfId="9882" xr:uid="{00000000-0005-0000-0000-000038200000}"/>
    <cellStyle name="Normal 3 2 2 3 3 2 4" xfId="5750" xr:uid="{00000000-0005-0000-0000-000039200000}"/>
    <cellStyle name="Normal 3 2 2 3 3 2 4 2" xfId="12979" xr:uid="{00000000-0005-0000-0000-00003A200000}"/>
    <cellStyle name="Normal 3 2 2 3 3 2 5" xfId="8144" xr:uid="{00000000-0005-0000-0000-00003B200000}"/>
    <cellStyle name="Normal 3 2 2 3 3 3" xfId="1350" xr:uid="{00000000-0005-0000-0000-00003C200000}"/>
    <cellStyle name="Normal 3 2 2 3 3 3 2" xfId="3089" xr:uid="{00000000-0005-0000-0000-00003D200000}"/>
    <cellStyle name="Normal 3 2 2 3 3 3 2 2" xfId="5755" xr:uid="{00000000-0005-0000-0000-00003E200000}"/>
    <cellStyle name="Normal 3 2 2 3 3 3 2 2 2" xfId="12984" xr:uid="{00000000-0005-0000-0000-00003F200000}"/>
    <cellStyle name="Normal 3 2 2 3 3 3 2 3" xfId="10318" xr:uid="{00000000-0005-0000-0000-000040200000}"/>
    <cellStyle name="Normal 3 2 2 3 3 3 3" xfId="5754" xr:uid="{00000000-0005-0000-0000-000041200000}"/>
    <cellStyle name="Normal 3 2 2 3 3 3 3 2" xfId="12983" xr:uid="{00000000-0005-0000-0000-000042200000}"/>
    <cellStyle name="Normal 3 2 2 3 3 3 4" xfId="8580" xr:uid="{00000000-0005-0000-0000-000043200000}"/>
    <cellStyle name="Normal 3 2 2 3 3 4" xfId="2222" xr:uid="{00000000-0005-0000-0000-000044200000}"/>
    <cellStyle name="Normal 3 2 2 3 3 4 2" xfId="5756" xr:uid="{00000000-0005-0000-0000-000045200000}"/>
    <cellStyle name="Normal 3 2 2 3 3 4 2 2" xfId="12985" xr:uid="{00000000-0005-0000-0000-000046200000}"/>
    <cellStyle name="Normal 3 2 2 3 3 4 3" xfId="9451" xr:uid="{00000000-0005-0000-0000-000047200000}"/>
    <cellStyle name="Normal 3 2 2 3 3 5" xfId="5749" xr:uid="{00000000-0005-0000-0000-000048200000}"/>
    <cellStyle name="Normal 3 2 2 3 3 5 2" xfId="12978" xr:uid="{00000000-0005-0000-0000-000049200000}"/>
    <cellStyle name="Normal 3 2 2 3 3 6" xfId="7713" xr:uid="{00000000-0005-0000-0000-00004A200000}"/>
    <cellStyle name="Normal 3 2 2 3 4" xfId="690" xr:uid="{00000000-0005-0000-0000-00004B200000}"/>
    <cellStyle name="Normal 3 2 2 3 4 2" xfId="1563" xr:uid="{00000000-0005-0000-0000-00004C200000}"/>
    <cellStyle name="Normal 3 2 2 3 4 2 2" xfId="3302" xr:uid="{00000000-0005-0000-0000-00004D200000}"/>
    <cellStyle name="Normal 3 2 2 3 4 2 2 2" xfId="5759" xr:uid="{00000000-0005-0000-0000-00004E200000}"/>
    <cellStyle name="Normal 3 2 2 3 4 2 2 2 2" xfId="12988" xr:uid="{00000000-0005-0000-0000-00004F200000}"/>
    <cellStyle name="Normal 3 2 2 3 4 2 2 3" xfId="10531" xr:uid="{00000000-0005-0000-0000-000050200000}"/>
    <cellStyle name="Normal 3 2 2 3 4 2 3" xfId="5758" xr:uid="{00000000-0005-0000-0000-000051200000}"/>
    <cellStyle name="Normal 3 2 2 3 4 2 3 2" xfId="12987" xr:uid="{00000000-0005-0000-0000-000052200000}"/>
    <cellStyle name="Normal 3 2 2 3 4 2 4" xfId="8793" xr:uid="{00000000-0005-0000-0000-000053200000}"/>
    <cellStyle name="Normal 3 2 2 3 4 3" xfId="2435" xr:uid="{00000000-0005-0000-0000-000054200000}"/>
    <cellStyle name="Normal 3 2 2 3 4 3 2" xfId="5760" xr:uid="{00000000-0005-0000-0000-000055200000}"/>
    <cellStyle name="Normal 3 2 2 3 4 3 2 2" xfId="12989" xr:uid="{00000000-0005-0000-0000-000056200000}"/>
    <cellStyle name="Normal 3 2 2 3 4 3 3" xfId="9664" xr:uid="{00000000-0005-0000-0000-000057200000}"/>
    <cellStyle name="Normal 3 2 2 3 4 4" xfId="5757" xr:uid="{00000000-0005-0000-0000-000058200000}"/>
    <cellStyle name="Normal 3 2 2 3 4 4 2" xfId="12986" xr:uid="{00000000-0005-0000-0000-000059200000}"/>
    <cellStyle name="Normal 3 2 2 3 4 5" xfId="7926" xr:uid="{00000000-0005-0000-0000-00005A200000}"/>
    <cellStyle name="Normal 3 2 2 3 5" xfId="1132" xr:uid="{00000000-0005-0000-0000-00005B200000}"/>
    <cellStyle name="Normal 3 2 2 3 5 2" xfId="2871" xr:uid="{00000000-0005-0000-0000-00005C200000}"/>
    <cellStyle name="Normal 3 2 2 3 5 2 2" xfId="5762" xr:uid="{00000000-0005-0000-0000-00005D200000}"/>
    <cellStyle name="Normal 3 2 2 3 5 2 2 2" xfId="12991" xr:uid="{00000000-0005-0000-0000-00005E200000}"/>
    <cellStyle name="Normal 3 2 2 3 5 2 3" xfId="10100" xr:uid="{00000000-0005-0000-0000-00005F200000}"/>
    <cellStyle name="Normal 3 2 2 3 5 3" xfId="5761" xr:uid="{00000000-0005-0000-0000-000060200000}"/>
    <cellStyle name="Normal 3 2 2 3 5 3 2" xfId="12990" xr:uid="{00000000-0005-0000-0000-000061200000}"/>
    <cellStyle name="Normal 3 2 2 3 5 4" xfId="8362" xr:uid="{00000000-0005-0000-0000-000062200000}"/>
    <cellStyle name="Normal 3 2 2 3 6" xfId="2004" xr:uid="{00000000-0005-0000-0000-000063200000}"/>
    <cellStyle name="Normal 3 2 2 3 6 2" xfId="5763" xr:uid="{00000000-0005-0000-0000-000064200000}"/>
    <cellStyle name="Normal 3 2 2 3 6 2 2" xfId="12992" xr:uid="{00000000-0005-0000-0000-000065200000}"/>
    <cellStyle name="Normal 3 2 2 3 6 3" xfId="9233" xr:uid="{00000000-0005-0000-0000-000066200000}"/>
    <cellStyle name="Normal 3 2 2 3 7" xfId="5732" xr:uid="{00000000-0005-0000-0000-000067200000}"/>
    <cellStyle name="Normal 3 2 2 3 7 2" xfId="12961" xr:uid="{00000000-0005-0000-0000-000068200000}"/>
    <cellStyle name="Normal 3 2 2 3 8" xfId="7495" xr:uid="{00000000-0005-0000-0000-000069200000}"/>
    <cellStyle name="Normal 3 2 2 4" xfId="221" xr:uid="{00000000-0005-0000-0000-00006A200000}"/>
    <cellStyle name="Normal 3 2 2 4 2" xfId="5764" xr:uid="{00000000-0005-0000-0000-00006B200000}"/>
    <cellStyle name="Normal 3 2 2 4 2 2" xfId="12993" xr:uid="{00000000-0005-0000-0000-00006C200000}"/>
    <cellStyle name="Normal 3 2 2 5" xfId="278" xr:uid="{00000000-0005-0000-0000-00006D200000}"/>
    <cellStyle name="Normal 3 2 2 5 2" xfId="504" xr:uid="{00000000-0005-0000-0000-00006E200000}"/>
    <cellStyle name="Normal 3 2 2 5 2 2" xfId="950" xr:uid="{00000000-0005-0000-0000-00006F200000}"/>
    <cellStyle name="Normal 3 2 2 5 2 2 2" xfId="1817" xr:uid="{00000000-0005-0000-0000-000070200000}"/>
    <cellStyle name="Normal 3 2 2 5 2 2 2 2" xfId="3556" xr:uid="{00000000-0005-0000-0000-000071200000}"/>
    <cellStyle name="Normal 3 2 2 5 2 2 2 2 2" xfId="5769" xr:uid="{00000000-0005-0000-0000-000072200000}"/>
    <cellStyle name="Normal 3 2 2 5 2 2 2 2 2 2" xfId="12998" xr:uid="{00000000-0005-0000-0000-000073200000}"/>
    <cellStyle name="Normal 3 2 2 5 2 2 2 2 3" xfId="10785" xr:uid="{00000000-0005-0000-0000-000074200000}"/>
    <cellStyle name="Normal 3 2 2 5 2 2 2 3" xfId="5768" xr:uid="{00000000-0005-0000-0000-000075200000}"/>
    <cellStyle name="Normal 3 2 2 5 2 2 2 3 2" xfId="12997" xr:uid="{00000000-0005-0000-0000-000076200000}"/>
    <cellStyle name="Normal 3 2 2 5 2 2 2 4" xfId="9047" xr:uid="{00000000-0005-0000-0000-000077200000}"/>
    <cellStyle name="Normal 3 2 2 5 2 2 3" xfId="2689" xr:uid="{00000000-0005-0000-0000-000078200000}"/>
    <cellStyle name="Normal 3 2 2 5 2 2 3 2" xfId="5770" xr:uid="{00000000-0005-0000-0000-000079200000}"/>
    <cellStyle name="Normal 3 2 2 5 2 2 3 2 2" xfId="12999" xr:uid="{00000000-0005-0000-0000-00007A200000}"/>
    <cellStyle name="Normal 3 2 2 5 2 2 3 3" xfId="9918" xr:uid="{00000000-0005-0000-0000-00007B200000}"/>
    <cellStyle name="Normal 3 2 2 5 2 2 4" xfId="5767" xr:uid="{00000000-0005-0000-0000-00007C200000}"/>
    <cellStyle name="Normal 3 2 2 5 2 2 4 2" xfId="12996" xr:uid="{00000000-0005-0000-0000-00007D200000}"/>
    <cellStyle name="Normal 3 2 2 5 2 2 5" xfId="8180" xr:uid="{00000000-0005-0000-0000-00007E200000}"/>
    <cellStyle name="Normal 3 2 2 5 2 3" xfId="1386" xr:uid="{00000000-0005-0000-0000-00007F200000}"/>
    <cellStyle name="Normal 3 2 2 5 2 3 2" xfId="3125" xr:uid="{00000000-0005-0000-0000-000080200000}"/>
    <cellStyle name="Normal 3 2 2 5 2 3 2 2" xfId="5772" xr:uid="{00000000-0005-0000-0000-000081200000}"/>
    <cellStyle name="Normal 3 2 2 5 2 3 2 2 2" xfId="13001" xr:uid="{00000000-0005-0000-0000-000082200000}"/>
    <cellStyle name="Normal 3 2 2 5 2 3 2 3" xfId="10354" xr:uid="{00000000-0005-0000-0000-000083200000}"/>
    <cellStyle name="Normal 3 2 2 5 2 3 3" xfId="5771" xr:uid="{00000000-0005-0000-0000-000084200000}"/>
    <cellStyle name="Normal 3 2 2 5 2 3 3 2" xfId="13000" xr:uid="{00000000-0005-0000-0000-000085200000}"/>
    <cellStyle name="Normal 3 2 2 5 2 3 4" xfId="8616" xr:uid="{00000000-0005-0000-0000-000086200000}"/>
    <cellStyle name="Normal 3 2 2 5 2 4" xfId="2258" xr:uid="{00000000-0005-0000-0000-000087200000}"/>
    <cellStyle name="Normal 3 2 2 5 2 4 2" xfId="5773" xr:uid="{00000000-0005-0000-0000-000088200000}"/>
    <cellStyle name="Normal 3 2 2 5 2 4 2 2" xfId="13002" xr:uid="{00000000-0005-0000-0000-000089200000}"/>
    <cellStyle name="Normal 3 2 2 5 2 4 3" xfId="9487" xr:uid="{00000000-0005-0000-0000-00008A200000}"/>
    <cellStyle name="Normal 3 2 2 5 2 5" xfId="5766" xr:uid="{00000000-0005-0000-0000-00008B200000}"/>
    <cellStyle name="Normal 3 2 2 5 2 5 2" xfId="12995" xr:uid="{00000000-0005-0000-0000-00008C200000}"/>
    <cellStyle name="Normal 3 2 2 5 2 6" xfId="7749" xr:uid="{00000000-0005-0000-0000-00008D200000}"/>
    <cellStyle name="Normal 3 2 2 5 3" xfId="726" xr:uid="{00000000-0005-0000-0000-00008E200000}"/>
    <cellStyle name="Normal 3 2 2 5 3 2" xfId="1599" xr:uid="{00000000-0005-0000-0000-00008F200000}"/>
    <cellStyle name="Normal 3 2 2 5 3 2 2" xfId="3338" xr:uid="{00000000-0005-0000-0000-000090200000}"/>
    <cellStyle name="Normal 3 2 2 5 3 2 2 2" xfId="5776" xr:uid="{00000000-0005-0000-0000-000091200000}"/>
    <cellStyle name="Normal 3 2 2 5 3 2 2 2 2" xfId="13005" xr:uid="{00000000-0005-0000-0000-000092200000}"/>
    <cellStyle name="Normal 3 2 2 5 3 2 2 3" xfId="10567" xr:uid="{00000000-0005-0000-0000-000093200000}"/>
    <cellStyle name="Normal 3 2 2 5 3 2 3" xfId="5775" xr:uid="{00000000-0005-0000-0000-000094200000}"/>
    <cellStyle name="Normal 3 2 2 5 3 2 3 2" xfId="13004" xr:uid="{00000000-0005-0000-0000-000095200000}"/>
    <cellStyle name="Normal 3 2 2 5 3 2 4" xfId="8829" xr:uid="{00000000-0005-0000-0000-000096200000}"/>
    <cellStyle name="Normal 3 2 2 5 3 3" xfId="2471" xr:uid="{00000000-0005-0000-0000-000097200000}"/>
    <cellStyle name="Normal 3 2 2 5 3 3 2" xfId="5777" xr:uid="{00000000-0005-0000-0000-000098200000}"/>
    <cellStyle name="Normal 3 2 2 5 3 3 2 2" xfId="13006" xr:uid="{00000000-0005-0000-0000-000099200000}"/>
    <cellStyle name="Normal 3 2 2 5 3 3 3" xfId="9700" xr:uid="{00000000-0005-0000-0000-00009A200000}"/>
    <cellStyle name="Normal 3 2 2 5 3 4" xfId="5774" xr:uid="{00000000-0005-0000-0000-00009B200000}"/>
    <cellStyle name="Normal 3 2 2 5 3 4 2" xfId="13003" xr:uid="{00000000-0005-0000-0000-00009C200000}"/>
    <cellStyle name="Normal 3 2 2 5 3 5" xfId="7962" xr:uid="{00000000-0005-0000-0000-00009D200000}"/>
    <cellStyle name="Normal 3 2 2 5 4" xfId="1168" xr:uid="{00000000-0005-0000-0000-00009E200000}"/>
    <cellStyle name="Normal 3 2 2 5 4 2" xfId="2907" xr:uid="{00000000-0005-0000-0000-00009F200000}"/>
    <cellStyle name="Normal 3 2 2 5 4 2 2" xfId="5779" xr:uid="{00000000-0005-0000-0000-0000A0200000}"/>
    <cellStyle name="Normal 3 2 2 5 4 2 2 2" xfId="13008" xr:uid="{00000000-0005-0000-0000-0000A1200000}"/>
    <cellStyle name="Normal 3 2 2 5 4 2 3" xfId="10136" xr:uid="{00000000-0005-0000-0000-0000A2200000}"/>
    <cellStyle name="Normal 3 2 2 5 4 3" xfId="5778" xr:uid="{00000000-0005-0000-0000-0000A3200000}"/>
    <cellStyle name="Normal 3 2 2 5 4 3 2" xfId="13007" xr:uid="{00000000-0005-0000-0000-0000A4200000}"/>
    <cellStyle name="Normal 3 2 2 5 4 4" xfId="8398" xr:uid="{00000000-0005-0000-0000-0000A5200000}"/>
    <cellStyle name="Normal 3 2 2 5 5" xfId="2040" xr:uid="{00000000-0005-0000-0000-0000A6200000}"/>
    <cellStyle name="Normal 3 2 2 5 5 2" xfId="5780" xr:uid="{00000000-0005-0000-0000-0000A7200000}"/>
    <cellStyle name="Normal 3 2 2 5 5 2 2" xfId="13009" xr:uid="{00000000-0005-0000-0000-0000A8200000}"/>
    <cellStyle name="Normal 3 2 2 5 5 3" xfId="9269" xr:uid="{00000000-0005-0000-0000-0000A9200000}"/>
    <cellStyle name="Normal 3 2 2 5 6" xfId="5765" xr:uid="{00000000-0005-0000-0000-0000AA200000}"/>
    <cellStyle name="Normal 3 2 2 5 6 2" xfId="12994" xr:uid="{00000000-0005-0000-0000-0000AB200000}"/>
    <cellStyle name="Normal 3 2 2 5 7" xfId="7531" xr:uid="{00000000-0005-0000-0000-0000AC200000}"/>
    <cellStyle name="Normal 3 2 2 6" xfId="402" xr:uid="{00000000-0005-0000-0000-0000AD200000}"/>
    <cellStyle name="Normal 3 2 2 6 2" xfId="848" xr:uid="{00000000-0005-0000-0000-0000AE200000}"/>
    <cellStyle name="Normal 3 2 2 6 2 2" xfId="1715" xr:uid="{00000000-0005-0000-0000-0000AF200000}"/>
    <cellStyle name="Normal 3 2 2 6 2 2 2" xfId="3454" xr:uid="{00000000-0005-0000-0000-0000B0200000}"/>
    <cellStyle name="Normal 3 2 2 6 2 2 2 2" xfId="5784" xr:uid="{00000000-0005-0000-0000-0000B1200000}"/>
    <cellStyle name="Normal 3 2 2 6 2 2 2 2 2" xfId="13013" xr:uid="{00000000-0005-0000-0000-0000B2200000}"/>
    <cellStyle name="Normal 3 2 2 6 2 2 2 3" xfId="10683" xr:uid="{00000000-0005-0000-0000-0000B3200000}"/>
    <cellStyle name="Normal 3 2 2 6 2 2 3" xfId="5783" xr:uid="{00000000-0005-0000-0000-0000B4200000}"/>
    <cellStyle name="Normal 3 2 2 6 2 2 3 2" xfId="13012" xr:uid="{00000000-0005-0000-0000-0000B5200000}"/>
    <cellStyle name="Normal 3 2 2 6 2 2 4" xfId="8945" xr:uid="{00000000-0005-0000-0000-0000B6200000}"/>
    <cellStyle name="Normal 3 2 2 6 2 3" xfId="2587" xr:uid="{00000000-0005-0000-0000-0000B7200000}"/>
    <cellStyle name="Normal 3 2 2 6 2 3 2" xfId="5785" xr:uid="{00000000-0005-0000-0000-0000B8200000}"/>
    <cellStyle name="Normal 3 2 2 6 2 3 2 2" xfId="13014" xr:uid="{00000000-0005-0000-0000-0000B9200000}"/>
    <cellStyle name="Normal 3 2 2 6 2 3 3" xfId="9816" xr:uid="{00000000-0005-0000-0000-0000BA200000}"/>
    <cellStyle name="Normal 3 2 2 6 2 4" xfId="5782" xr:uid="{00000000-0005-0000-0000-0000BB200000}"/>
    <cellStyle name="Normal 3 2 2 6 2 4 2" xfId="13011" xr:uid="{00000000-0005-0000-0000-0000BC200000}"/>
    <cellStyle name="Normal 3 2 2 6 2 5" xfId="8078" xr:uid="{00000000-0005-0000-0000-0000BD200000}"/>
    <cellStyle name="Normal 3 2 2 6 3" xfId="1284" xr:uid="{00000000-0005-0000-0000-0000BE200000}"/>
    <cellStyle name="Normal 3 2 2 6 3 2" xfId="3023" xr:uid="{00000000-0005-0000-0000-0000BF200000}"/>
    <cellStyle name="Normal 3 2 2 6 3 2 2" xfId="5787" xr:uid="{00000000-0005-0000-0000-0000C0200000}"/>
    <cellStyle name="Normal 3 2 2 6 3 2 2 2" xfId="13016" xr:uid="{00000000-0005-0000-0000-0000C1200000}"/>
    <cellStyle name="Normal 3 2 2 6 3 2 3" xfId="10252" xr:uid="{00000000-0005-0000-0000-0000C2200000}"/>
    <cellStyle name="Normal 3 2 2 6 3 3" xfId="5786" xr:uid="{00000000-0005-0000-0000-0000C3200000}"/>
    <cellStyle name="Normal 3 2 2 6 3 3 2" xfId="13015" xr:uid="{00000000-0005-0000-0000-0000C4200000}"/>
    <cellStyle name="Normal 3 2 2 6 3 4" xfId="8514" xr:uid="{00000000-0005-0000-0000-0000C5200000}"/>
    <cellStyle name="Normal 3 2 2 6 4" xfId="2156" xr:uid="{00000000-0005-0000-0000-0000C6200000}"/>
    <cellStyle name="Normal 3 2 2 6 4 2" xfId="5788" xr:uid="{00000000-0005-0000-0000-0000C7200000}"/>
    <cellStyle name="Normal 3 2 2 6 4 2 2" xfId="13017" xr:uid="{00000000-0005-0000-0000-0000C8200000}"/>
    <cellStyle name="Normal 3 2 2 6 4 3" xfId="9385" xr:uid="{00000000-0005-0000-0000-0000C9200000}"/>
    <cellStyle name="Normal 3 2 2 6 5" xfId="5781" xr:uid="{00000000-0005-0000-0000-0000CA200000}"/>
    <cellStyle name="Normal 3 2 2 6 5 2" xfId="13010" xr:uid="{00000000-0005-0000-0000-0000CB200000}"/>
    <cellStyle name="Normal 3 2 2 6 6" xfId="7647" xr:uid="{00000000-0005-0000-0000-0000CC200000}"/>
    <cellStyle name="Normal 3 2 2 7" xfId="621" xr:uid="{00000000-0005-0000-0000-0000CD200000}"/>
    <cellStyle name="Normal 3 2 2 7 2" xfId="1497" xr:uid="{00000000-0005-0000-0000-0000CE200000}"/>
    <cellStyle name="Normal 3 2 2 7 2 2" xfId="3236" xr:uid="{00000000-0005-0000-0000-0000CF200000}"/>
    <cellStyle name="Normal 3 2 2 7 2 2 2" xfId="5791" xr:uid="{00000000-0005-0000-0000-0000D0200000}"/>
    <cellStyle name="Normal 3 2 2 7 2 2 2 2" xfId="13020" xr:uid="{00000000-0005-0000-0000-0000D1200000}"/>
    <cellStyle name="Normal 3 2 2 7 2 2 3" xfId="10465" xr:uid="{00000000-0005-0000-0000-0000D2200000}"/>
    <cellStyle name="Normal 3 2 2 7 2 3" xfId="5790" xr:uid="{00000000-0005-0000-0000-0000D3200000}"/>
    <cellStyle name="Normal 3 2 2 7 2 3 2" xfId="13019" xr:uid="{00000000-0005-0000-0000-0000D4200000}"/>
    <cellStyle name="Normal 3 2 2 7 2 4" xfId="8727" xr:uid="{00000000-0005-0000-0000-0000D5200000}"/>
    <cellStyle name="Normal 3 2 2 7 3" xfId="2369" xr:uid="{00000000-0005-0000-0000-0000D6200000}"/>
    <cellStyle name="Normal 3 2 2 7 3 2" xfId="5792" xr:uid="{00000000-0005-0000-0000-0000D7200000}"/>
    <cellStyle name="Normal 3 2 2 7 3 2 2" xfId="13021" xr:uid="{00000000-0005-0000-0000-0000D8200000}"/>
    <cellStyle name="Normal 3 2 2 7 3 3" xfId="9598" xr:uid="{00000000-0005-0000-0000-0000D9200000}"/>
    <cellStyle name="Normal 3 2 2 7 4" xfId="5789" xr:uid="{00000000-0005-0000-0000-0000DA200000}"/>
    <cellStyle name="Normal 3 2 2 7 4 2" xfId="13018" xr:uid="{00000000-0005-0000-0000-0000DB200000}"/>
    <cellStyle name="Normal 3 2 2 7 5" xfId="7860" xr:uid="{00000000-0005-0000-0000-0000DC200000}"/>
    <cellStyle name="Normal 3 2 2 8" xfId="1066" xr:uid="{00000000-0005-0000-0000-0000DD200000}"/>
    <cellStyle name="Normal 3 2 2 8 2" xfId="2805" xr:uid="{00000000-0005-0000-0000-0000DE200000}"/>
    <cellStyle name="Normal 3 2 2 8 2 2" xfId="5794" xr:uid="{00000000-0005-0000-0000-0000DF200000}"/>
    <cellStyle name="Normal 3 2 2 8 2 2 2" xfId="13023" xr:uid="{00000000-0005-0000-0000-0000E0200000}"/>
    <cellStyle name="Normal 3 2 2 8 2 3" xfId="10034" xr:uid="{00000000-0005-0000-0000-0000E1200000}"/>
    <cellStyle name="Normal 3 2 2 8 3" xfId="5793" xr:uid="{00000000-0005-0000-0000-0000E2200000}"/>
    <cellStyle name="Normal 3 2 2 8 3 2" xfId="13022" xr:uid="{00000000-0005-0000-0000-0000E3200000}"/>
    <cellStyle name="Normal 3 2 2 8 4" xfId="8296" xr:uid="{00000000-0005-0000-0000-0000E4200000}"/>
    <cellStyle name="Normal 3 2 2 9" xfId="1938" xr:uid="{00000000-0005-0000-0000-0000E5200000}"/>
    <cellStyle name="Normal 3 2 2 9 2" xfId="5795" xr:uid="{00000000-0005-0000-0000-0000E6200000}"/>
    <cellStyle name="Normal 3 2 2 9 2 2" xfId="13024" xr:uid="{00000000-0005-0000-0000-0000E7200000}"/>
    <cellStyle name="Normal 3 2 2 9 3" xfId="9167" xr:uid="{00000000-0005-0000-0000-0000E8200000}"/>
    <cellStyle name="Normal 3 2 3" xfId="43" xr:uid="{00000000-0005-0000-0000-0000E9200000}"/>
    <cellStyle name="Normal 3 2 3 2" xfId="222" xr:uid="{00000000-0005-0000-0000-0000EA200000}"/>
    <cellStyle name="Normal 3 2 3 2 2" xfId="5797" xr:uid="{00000000-0005-0000-0000-0000EB200000}"/>
    <cellStyle name="Normal 3 2 3 2 2 2" xfId="13026" xr:uid="{00000000-0005-0000-0000-0000EC200000}"/>
    <cellStyle name="Normal 3 2 3 3" xfId="5796" xr:uid="{00000000-0005-0000-0000-0000ED200000}"/>
    <cellStyle name="Normal 3 2 3 3 2" xfId="13025" xr:uid="{00000000-0005-0000-0000-0000EE200000}"/>
    <cellStyle name="Normal 3 2 4" xfId="89" xr:uid="{00000000-0005-0000-0000-0000EF200000}"/>
    <cellStyle name="Normal 3 2 4 2" xfId="297" xr:uid="{00000000-0005-0000-0000-0000F0200000}"/>
    <cellStyle name="Normal 3 2 4 2 2" xfId="523" xr:uid="{00000000-0005-0000-0000-0000F1200000}"/>
    <cellStyle name="Normal 3 2 4 2 2 2" xfId="969" xr:uid="{00000000-0005-0000-0000-0000F2200000}"/>
    <cellStyle name="Normal 3 2 4 2 2 2 2" xfId="1836" xr:uid="{00000000-0005-0000-0000-0000F3200000}"/>
    <cellStyle name="Normal 3 2 4 2 2 2 2 2" xfId="3575" xr:uid="{00000000-0005-0000-0000-0000F4200000}"/>
    <cellStyle name="Normal 3 2 4 2 2 2 2 2 2" xfId="5803" xr:uid="{00000000-0005-0000-0000-0000F5200000}"/>
    <cellStyle name="Normal 3 2 4 2 2 2 2 2 2 2" xfId="13032" xr:uid="{00000000-0005-0000-0000-0000F6200000}"/>
    <cellStyle name="Normal 3 2 4 2 2 2 2 2 3" xfId="10804" xr:uid="{00000000-0005-0000-0000-0000F7200000}"/>
    <cellStyle name="Normal 3 2 4 2 2 2 2 3" xfId="5802" xr:uid="{00000000-0005-0000-0000-0000F8200000}"/>
    <cellStyle name="Normal 3 2 4 2 2 2 2 3 2" xfId="13031" xr:uid="{00000000-0005-0000-0000-0000F9200000}"/>
    <cellStyle name="Normal 3 2 4 2 2 2 2 4" xfId="9066" xr:uid="{00000000-0005-0000-0000-0000FA200000}"/>
    <cellStyle name="Normal 3 2 4 2 2 2 3" xfId="2708" xr:uid="{00000000-0005-0000-0000-0000FB200000}"/>
    <cellStyle name="Normal 3 2 4 2 2 2 3 2" xfId="5804" xr:uid="{00000000-0005-0000-0000-0000FC200000}"/>
    <cellStyle name="Normal 3 2 4 2 2 2 3 2 2" xfId="13033" xr:uid="{00000000-0005-0000-0000-0000FD200000}"/>
    <cellStyle name="Normal 3 2 4 2 2 2 3 3" xfId="9937" xr:uid="{00000000-0005-0000-0000-0000FE200000}"/>
    <cellStyle name="Normal 3 2 4 2 2 2 4" xfId="5801" xr:uid="{00000000-0005-0000-0000-0000FF200000}"/>
    <cellStyle name="Normal 3 2 4 2 2 2 4 2" xfId="13030" xr:uid="{00000000-0005-0000-0000-000000210000}"/>
    <cellStyle name="Normal 3 2 4 2 2 2 5" xfId="8199" xr:uid="{00000000-0005-0000-0000-000001210000}"/>
    <cellStyle name="Normal 3 2 4 2 2 3" xfId="1405" xr:uid="{00000000-0005-0000-0000-000002210000}"/>
    <cellStyle name="Normal 3 2 4 2 2 3 2" xfId="3144" xr:uid="{00000000-0005-0000-0000-000003210000}"/>
    <cellStyle name="Normal 3 2 4 2 2 3 2 2" xfId="5806" xr:uid="{00000000-0005-0000-0000-000004210000}"/>
    <cellStyle name="Normal 3 2 4 2 2 3 2 2 2" xfId="13035" xr:uid="{00000000-0005-0000-0000-000005210000}"/>
    <cellStyle name="Normal 3 2 4 2 2 3 2 3" xfId="10373" xr:uid="{00000000-0005-0000-0000-000006210000}"/>
    <cellStyle name="Normal 3 2 4 2 2 3 3" xfId="5805" xr:uid="{00000000-0005-0000-0000-000007210000}"/>
    <cellStyle name="Normal 3 2 4 2 2 3 3 2" xfId="13034" xr:uid="{00000000-0005-0000-0000-000008210000}"/>
    <cellStyle name="Normal 3 2 4 2 2 3 4" xfId="8635" xr:uid="{00000000-0005-0000-0000-000009210000}"/>
    <cellStyle name="Normal 3 2 4 2 2 4" xfId="2277" xr:uid="{00000000-0005-0000-0000-00000A210000}"/>
    <cellStyle name="Normal 3 2 4 2 2 4 2" xfId="5807" xr:uid="{00000000-0005-0000-0000-00000B210000}"/>
    <cellStyle name="Normal 3 2 4 2 2 4 2 2" xfId="13036" xr:uid="{00000000-0005-0000-0000-00000C210000}"/>
    <cellStyle name="Normal 3 2 4 2 2 4 3" xfId="9506" xr:uid="{00000000-0005-0000-0000-00000D210000}"/>
    <cellStyle name="Normal 3 2 4 2 2 5" xfId="5800" xr:uid="{00000000-0005-0000-0000-00000E210000}"/>
    <cellStyle name="Normal 3 2 4 2 2 5 2" xfId="13029" xr:uid="{00000000-0005-0000-0000-00000F210000}"/>
    <cellStyle name="Normal 3 2 4 2 2 6" xfId="7768" xr:uid="{00000000-0005-0000-0000-000010210000}"/>
    <cellStyle name="Normal 3 2 4 2 3" xfId="745" xr:uid="{00000000-0005-0000-0000-000011210000}"/>
    <cellStyle name="Normal 3 2 4 2 3 2" xfId="1618" xr:uid="{00000000-0005-0000-0000-000012210000}"/>
    <cellStyle name="Normal 3 2 4 2 3 2 2" xfId="3357" xr:uid="{00000000-0005-0000-0000-000013210000}"/>
    <cellStyle name="Normal 3 2 4 2 3 2 2 2" xfId="5810" xr:uid="{00000000-0005-0000-0000-000014210000}"/>
    <cellStyle name="Normal 3 2 4 2 3 2 2 2 2" xfId="13039" xr:uid="{00000000-0005-0000-0000-000015210000}"/>
    <cellStyle name="Normal 3 2 4 2 3 2 2 3" xfId="10586" xr:uid="{00000000-0005-0000-0000-000016210000}"/>
    <cellStyle name="Normal 3 2 4 2 3 2 3" xfId="5809" xr:uid="{00000000-0005-0000-0000-000017210000}"/>
    <cellStyle name="Normal 3 2 4 2 3 2 3 2" xfId="13038" xr:uid="{00000000-0005-0000-0000-000018210000}"/>
    <cellStyle name="Normal 3 2 4 2 3 2 4" xfId="8848" xr:uid="{00000000-0005-0000-0000-000019210000}"/>
    <cellStyle name="Normal 3 2 4 2 3 3" xfId="2490" xr:uid="{00000000-0005-0000-0000-00001A210000}"/>
    <cellStyle name="Normal 3 2 4 2 3 3 2" xfId="5811" xr:uid="{00000000-0005-0000-0000-00001B210000}"/>
    <cellStyle name="Normal 3 2 4 2 3 3 2 2" xfId="13040" xr:uid="{00000000-0005-0000-0000-00001C210000}"/>
    <cellStyle name="Normal 3 2 4 2 3 3 3" xfId="9719" xr:uid="{00000000-0005-0000-0000-00001D210000}"/>
    <cellStyle name="Normal 3 2 4 2 3 4" xfId="5808" xr:uid="{00000000-0005-0000-0000-00001E210000}"/>
    <cellStyle name="Normal 3 2 4 2 3 4 2" xfId="13037" xr:uid="{00000000-0005-0000-0000-00001F210000}"/>
    <cellStyle name="Normal 3 2 4 2 3 5" xfId="7981" xr:uid="{00000000-0005-0000-0000-000020210000}"/>
    <cellStyle name="Normal 3 2 4 2 4" xfId="1187" xr:uid="{00000000-0005-0000-0000-000021210000}"/>
    <cellStyle name="Normal 3 2 4 2 4 2" xfId="2926" xr:uid="{00000000-0005-0000-0000-000022210000}"/>
    <cellStyle name="Normal 3 2 4 2 4 2 2" xfId="5813" xr:uid="{00000000-0005-0000-0000-000023210000}"/>
    <cellStyle name="Normal 3 2 4 2 4 2 2 2" xfId="13042" xr:uid="{00000000-0005-0000-0000-000024210000}"/>
    <cellStyle name="Normal 3 2 4 2 4 2 3" xfId="10155" xr:uid="{00000000-0005-0000-0000-000025210000}"/>
    <cellStyle name="Normal 3 2 4 2 4 3" xfId="5812" xr:uid="{00000000-0005-0000-0000-000026210000}"/>
    <cellStyle name="Normal 3 2 4 2 4 3 2" xfId="13041" xr:uid="{00000000-0005-0000-0000-000027210000}"/>
    <cellStyle name="Normal 3 2 4 2 4 4" xfId="8417" xr:uid="{00000000-0005-0000-0000-000028210000}"/>
    <cellStyle name="Normal 3 2 4 2 5" xfId="2059" xr:uid="{00000000-0005-0000-0000-000029210000}"/>
    <cellStyle name="Normal 3 2 4 2 5 2" xfId="5814" xr:uid="{00000000-0005-0000-0000-00002A210000}"/>
    <cellStyle name="Normal 3 2 4 2 5 2 2" xfId="13043" xr:uid="{00000000-0005-0000-0000-00002B210000}"/>
    <cellStyle name="Normal 3 2 4 2 5 3" xfId="9288" xr:uid="{00000000-0005-0000-0000-00002C210000}"/>
    <cellStyle name="Normal 3 2 4 2 6" xfId="5799" xr:uid="{00000000-0005-0000-0000-00002D210000}"/>
    <cellStyle name="Normal 3 2 4 2 6 2" xfId="13028" xr:uid="{00000000-0005-0000-0000-00002E210000}"/>
    <cellStyle name="Normal 3 2 4 2 7" xfId="7550" xr:uid="{00000000-0005-0000-0000-00002F210000}"/>
    <cellStyle name="Normal 3 2 4 3" xfId="421" xr:uid="{00000000-0005-0000-0000-000030210000}"/>
    <cellStyle name="Normal 3 2 4 3 2" xfId="867" xr:uid="{00000000-0005-0000-0000-000031210000}"/>
    <cellStyle name="Normal 3 2 4 3 2 2" xfId="1734" xr:uid="{00000000-0005-0000-0000-000032210000}"/>
    <cellStyle name="Normal 3 2 4 3 2 2 2" xfId="3473" xr:uid="{00000000-0005-0000-0000-000033210000}"/>
    <cellStyle name="Normal 3 2 4 3 2 2 2 2" xfId="5818" xr:uid="{00000000-0005-0000-0000-000034210000}"/>
    <cellStyle name="Normal 3 2 4 3 2 2 2 2 2" xfId="13047" xr:uid="{00000000-0005-0000-0000-000035210000}"/>
    <cellStyle name="Normal 3 2 4 3 2 2 2 3" xfId="10702" xr:uid="{00000000-0005-0000-0000-000036210000}"/>
    <cellStyle name="Normal 3 2 4 3 2 2 3" xfId="5817" xr:uid="{00000000-0005-0000-0000-000037210000}"/>
    <cellStyle name="Normal 3 2 4 3 2 2 3 2" xfId="13046" xr:uid="{00000000-0005-0000-0000-000038210000}"/>
    <cellStyle name="Normal 3 2 4 3 2 2 4" xfId="8964" xr:uid="{00000000-0005-0000-0000-000039210000}"/>
    <cellStyle name="Normal 3 2 4 3 2 3" xfId="2606" xr:uid="{00000000-0005-0000-0000-00003A210000}"/>
    <cellStyle name="Normal 3 2 4 3 2 3 2" xfId="5819" xr:uid="{00000000-0005-0000-0000-00003B210000}"/>
    <cellStyle name="Normal 3 2 4 3 2 3 2 2" xfId="13048" xr:uid="{00000000-0005-0000-0000-00003C210000}"/>
    <cellStyle name="Normal 3 2 4 3 2 3 3" xfId="9835" xr:uid="{00000000-0005-0000-0000-00003D210000}"/>
    <cellStyle name="Normal 3 2 4 3 2 4" xfId="5816" xr:uid="{00000000-0005-0000-0000-00003E210000}"/>
    <cellStyle name="Normal 3 2 4 3 2 4 2" xfId="13045" xr:uid="{00000000-0005-0000-0000-00003F210000}"/>
    <cellStyle name="Normal 3 2 4 3 2 5" xfId="8097" xr:uid="{00000000-0005-0000-0000-000040210000}"/>
    <cellStyle name="Normal 3 2 4 3 3" xfId="1303" xr:uid="{00000000-0005-0000-0000-000041210000}"/>
    <cellStyle name="Normal 3 2 4 3 3 2" xfId="3042" xr:uid="{00000000-0005-0000-0000-000042210000}"/>
    <cellStyle name="Normal 3 2 4 3 3 2 2" xfId="5821" xr:uid="{00000000-0005-0000-0000-000043210000}"/>
    <cellStyle name="Normal 3 2 4 3 3 2 2 2" xfId="13050" xr:uid="{00000000-0005-0000-0000-000044210000}"/>
    <cellStyle name="Normal 3 2 4 3 3 2 3" xfId="10271" xr:uid="{00000000-0005-0000-0000-000045210000}"/>
    <cellStyle name="Normal 3 2 4 3 3 3" xfId="5820" xr:uid="{00000000-0005-0000-0000-000046210000}"/>
    <cellStyle name="Normal 3 2 4 3 3 3 2" xfId="13049" xr:uid="{00000000-0005-0000-0000-000047210000}"/>
    <cellStyle name="Normal 3 2 4 3 3 4" xfId="8533" xr:uid="{00000000-0005-0000-0000-000048210000}"/>
    <cellStyle name="Normal 3 2 4 3 4" xfId="2175" xr:uid="{00000000-0005-0000-0000-000049210000}"/>
    <cellStyle name="Normal 3 2 4 3 4 2" xfId="5822" xr:uid="{00000000-0005-0000-0000-00004A210000}"/>
    <cellStyle name="Normal 3 2 4 3 4 2 2" xfId="13051" xr:uid="{00000000-0005-0000-0000-00004B210000}"/>
    <cellStyle name="Normal 3 2 4 3 4 3" xfId="9404" xr:uid="{00000000-0005-0000-0000-00004C210000}"/>
    <cellStyle name="Normal 3 2 4 3 5" xfId="5815" xr:uid="{00000000-0005-0000-0000-00004D210000}"/>
    <cellStyle name="Normal 3 2 4 3 5 2" xfId="13044" xr:uid="{00000000-0005-0000-0000-00004E210000}"/>
    <cellStyle name="Normal 3 2 4 3 6" xfId="7666" xr:uid="{00000000-0005-0000-0000-00004F210000}"/>
    <cellStyle name="Normal 3 2 4 4" xfId="640" xr:uid="{00000000-0005-0000-0000-000050210000}"/>
    <cellStyle name="Normal 3 2 4 4 2" xfId="1516" xr:uid="{00000000-0005-0000-0000-000051210000}"/>
    <cellStyle name="Normal 3 2 4 4 2 2" xfId="3255" xr:uid="{00000000-0005-0000-0000-000052210000}"/>
    <cellStyle name="Normal 3 2 4 4 2 2 2" xfId="5825" xr:uid="{00000000-0005-0000-0000-000053210000}"/>
    <cellStyle name="Normal 3 2 4 4 2 2 2 2" xfId="13054" xr:uid="{00000000-0005-0000-0000-000054210000}"/>
    <cellStyle name="Normal 3 2 4 4 2 2 3" xfId="10484" xr:uid="{00000000-0005-0000-0000-000055210000}"/>
    <cellStyle name="Normal 3 2 4 4 2 3" xfId="5824" xr:uid="{00000000-0005-0000-0000-000056210000}"/>
    <cellStyle name="Normal 3 2 4 4 2 3 2" xfId="13053" xr:uid="{00000000-0005-0000-0000-000057210000}"/>
    <cellStyle name="Normal 3 2 4 4 2 4" xfId="8746" xr:uid="{00000000-0005-0000-0000-000058210000}"/>
    <cellStyle name="Normal 3 2 4 4 3" xfId="2388" xr:uid="{00000000-0005-0000-0000-000059210000}"/>
    <cellStyle name="Normal 3 2 4 4 3 2" xfId="5826" xr:uid="{00000000-0005-0000-0000-00005A210000}"/>
    <cellStyle name="Normal 3 2 4 4 3 2 2" xfId="13055" xr:uid="{00000000-0005-0000-0000-00005B210000}"/>
    <cellStyle name="Normal 3 2 4 4 3 3" xfId="9617" xr:uid="{00000000-0005-0000-0000-00005C210000}"/>
    <cellStyle name="Normal 3 2 4 4 4" xfId="5823" xr:uid="{00000000-0005-0000-0000-00005D210000}"/>
    <cellStyle name="Normal 3 2 4 4 4 2" xfId="13052" xr:uid="{00000000-0005-0000-0000-00005E210000}"/>
    <cellStyle name="Normal 3 2 4 4 5" xfId="7879" xr:uid="{00000000-0005-0000-0000-00005F210000}"/>
    <cellStyle name="Normal 3 2 4 5" xfId="1085" xr:uid="{00000000-0005-0000-0000-000060210000}"/>
    <cellStyle name="Normal 3 2 4 5 2" xfId="2824" xr:uid="{00000000-0005-0000-0000-000061210000}"/>
    <cellStyle name="Normal 3 2 4 5 2 2" xfId="5828" xr:uid="{00000000-0005-0000-0000-000062210000}"/>
    <cellStyle name="Normal 3 2 4 5 2 2 2" xfId="13057" xr:uid="{00000000-0005-0000-0000-000063210000}"/>
    <cellStyle name="Normal 3 2 4 5 2 3" xfId="10053" xr:uid="{00000000-0005-0000-0000-000064210000}"/>
    <cellStyle name="Normal 3 2 4 5 3" xfId="5827" xr:uid="{00000000-0005-0000-0000-000065210000}"/>
    <cellStyle name="Normal 3 2 4 5 3 2" xfId="13056" xr:uid="{00000000-0005-0000-0000-000066210000}"/>
    <cellStyle name="Normal 3 2 4 5 4" xfId="8315" xr:uid="{00000000-0005-0000-0000-000067210000}"/>
    <cellStyle name="Normal 3 2 4 6" xfId="1957" xr:uid="{00000000-0005-0000-0000-000068210000}"/>
    <cellStyle name="Normal 3 2 4 6 2" xfId="5829" xr:uid="{00000000-0005-0000-0000-000069210000}"/>
    <cellStyle name="Normal 3 2 4 6 2 2" xfId="13058" xr:uid="{00000000-0005-0000-0000-00006A210000}"/>
    <cellStyle name="Normal 3 2 4 6 3" xfId="9186" xr:uid="{00000000-0005-0000-0000-00006B210000}"/>
    <cellStyle name="Normal 3 2 4 7" xfId="5798" xr:uid="{00000000-0005-0000-0000-00006C210000}"/>
    <cellStyle name="Normal 3 2 4 7 2" xfId="13027" xr:uid="{00000000-0005-0000-0000-00006D210000}"/>
    <cellStyle name="Normal 3 2 4 8" xfId="7446" xr:uid="{00000000-0005-0000-0000-00006E210000}"/>
    <cellStyle name="Normal 3 2 5" xfId="72" xr:uid="{00000000-0005-0000-0000-00006F210000}"/>
    <cellStyle name="Normal 3 2 5 2" xfId="291" xr:uid="{00000000-0005-0000-0000-000070210000}"/>
    <cellStyle name="Normal 3 2 5 2 2" xfId="517" xr:uid="{00000000-0005-0000-0000-000071210000}"/>
    <cellStyle name="Normal 3 2 5 2 2 2" xfId="963" xr:uid="{00000000-0005-0000-0000-000072210000}"/>
    <cellStyle name="Normal 3 2 5 2 2 2 2" xfId="1830" xr:uid="{00000000-0005-0000-0000-000073210000}"/>
    <cellStyle name="Normal 3 2 5 2 2 2 2 2" xfId="3569" xr:uid="{00000000-0005-0000-0000-000074210000}"/>
    <cellStyle name="Normal 3 2 5 2 2 2 2 2 2" xfId="5835" xr:uid="{00000000-0005-0000-0000-000075210000}"/>
    <cellStyle name="Normal 3 2 5 2 2 2 2 2 2 2" xfId="13064" xr:uid="{00000000-0005-0000-0000-000076210000}"/>
    <cellStyle name="Normal 3 2 5 2 2 2 2 2 3" xfId="10798" xr:uid="{00000000-0005-0000-0000-000077210000}"/>
    <cellStyle name="Normal 3 2 5 2 2 2 2 3" xfId="5834" xr:uid="{00000000-0005-0000-0000-000078210000}"/>
    <cellStyle name="Normal 3 2 5 2 2 2 2 3 2" xfId="13063" xr:uid="{00000000-0005-0000-0000-000079210000}"/>
    <cellStyle name="Normal 3 2 5 2 2 2 2 4" xfId="9060" xr:uid="{00000000-0005-0000-0000-00007A210000}"/>
    <cellStyle name="Normal 3 2 5 2 2 2 3" xfId="2702" xr:uid="{00000000-0005-0000-0000-00007B210000}"/>
    <cellStyle name="Normal 3 2 5 2 2 2 3 2" xfId="5836" xr:uid="{00000000-0005-0000-0000-00007C210000}"/>
    <cellStyle name="Normal 3 2 5 2 2 2 3 2 2" xfId="13065" xr:uid="{00000000-0005-0000-0000-00007D210000}"/>
    <cellStyle name="Normal 3 2 5 2 2 2 3 3" xfId="9931" xr:uid="{00000000-0005-0000-0000-00007E210000}"/>
    <cellStyle name="Normal 3 2 5 2 2 2 4" xfId="5833" xr:uid="{00000000-0005-0000-0000-00007F210000}"/>
    <cellStyle name="Normal 3 2 5 2 2 2 4 2" xfId="13062" xr:uid="{00000000-0005-0000-0000-000080210000}"/>
    <cellStyle name="Normal 3 2 5 2 2 2 5" xfId="8193" xr:uid="{00000000-0005-0000-0000-000081210000}"/>
    <cellStyle name="Normal 3 2 5 2 2 3" xfId="1399" xr:uid="{00000000-0005-0000-0000-000082210000}"/>
    <cellStyle name="Normal 3 2 5 2 2 3 2" xfId="3138" xr:uid="{00000000-0005-0000-0000-000083210000}"/>
    <cellStyle name="Normal 3 2 5 2 2 3 2 2" xfId="5838" xr:uid="{00000000-0005-0000-0000-000084210000}"/>
    <cellStyle name="Normal 3 2 5 2 2 3 2 2 2" xfId="13067" xr:uid="{00000000-0005-0000-0000-000085210000}"/>
    <cellStyle name="Normal 3 2 5 2 2 3 2 3" xfId="10367" xr:uid="{00000000-0005-0000-0000-000086210000}"/>
    <cellStyle name="Normal 3 2 5 2 2 3 3" xfId="5837" xr:uid="{00000000-0005-0000-0000-000087210000}"/>
    <cellStyle name="Normal 3 2 5 2 2 3 3 2" xfId="13066" xr:uid="{00000000-0005-0000-0000-000088210000}"/>
    <cellStyle name="Normal 3 2 5 2 2 3 4" xfId="8629" xr:uid="{00000000-0005-0000-0000-000089210000}"/>
    <cellStyle name="Normal 3 2 5 2 2 4" xfId="2271" xr:uid="{00000000-0005-0000-0000-00008A210000}"/>
    <cellStyle name="Normal 3 2 5 2 2 4 2" xfId="5839" xr:uid="{00000000-0005-0000-0000-00008B210000}"/>
    <cellStyle name="Normal 3 2 5 2 2 4 2 2" xfId="13068" xr:uid="{00000000-0005-0000-0000-00008C210000}"/>
    <cellStyle name="Normal 3 2 5 2 2 4 3" xfId="9500" xr:uid="{00000000-0005-0000-0000-00008D210000}"/>
    <cellStyle name="Normal 3 2 5 2 2 5" xfId="5832" xr:uid="{00000000-0005-0000-0000-00008E210000}"/>
    <cellStyle name="Normal 3 2 5 2 2 5 2" xfId="13061" xr:uid="{00000000-0005-0000-0000-00008F210000}"/>
    <cellStyle name="Normal 3 2 5 2 2 6" xfId="7762" xr:uid="{00000000-0005-0000-0000-000090210000}"/>
    <cellStyle name="Normal 3 2 5 2 3" xfId="739" xr:uid="{00000000-0005-0000-0000-000091210000}"/>
    <cellStyle name="Normal 3 2 5 2 3 2" xfId="1612" xr:uid="{00000000-0005-0000-0000-000092210000}"/>
    <cellStyle name="Normal 3 2 5 2 3 2 2" xfId="3351" xr:uid="{00000000-0005-0000-0000-000093210000}"/>
    <cellStyle name="Normal 3 2 5 2 3 2 2 2" xfId="5842" xr:uid="{00000000-0005-0000-0000-000094210000}"/>
    <cellStyle name="Normal 3 2 5 2 3 2 2 2 2" xfId="13071" xr:uid="{00000000-0005-0000-0000-000095210000}"/>
    <cellStyle name="Normal 3 2 5 2 3 2 2 3" xfId="10580" xr:uid="{00000000-0005-0000-0000-000096210000}"/>
    <cellStyle name="Normal 3 2 5 2 3 2 3" xfId="5841" xr:uid="{00000000-0005-0000-0000-000097210000}"/>
    <cellStyle name="Normal 3 2 5 2 3 2 3 2" xfId="13070" xr:uid="{00000000-0005-0000-0000-000098210000}"/>
    <cellStyle name="Normal 3 2 5 2 3 2 4" xfId="8842" xr:uid="{00000000-0005-0000-0000-000099210000}"/>
    <cellStyle name="Normal 3 2 5 2 3 3" xfId="2484" xr:uid="{00000000-0005-0000-0000-00009A210000}"/>
    <cellStyle name="Normal 3 2 5 2 3 3 2" xfId="5843" xr:uid="{00000000-0005-0000-0000-00009B210000}"/>
    <cellStyle name="Normal 3 2 5 2 3 3 2 2" xfId="13072" xr:uid="{00000000-0005-0000-0000-00009C210000}"/>
    <cellStyle name="Normal 3 2 5 2 3 3 3" xfId="9713" xr:uid="{00000000-0005-0000-0000-00009D210000}"/>
    <cellStyle name="Normal 3 2 5 2 3 4" xfId="5840" xr:uid="{00000000-0005-0000-0000-00009E210000}"/>
    <cellStyle name="Normal 3 2 5 2 3 4 2" xfId="13069" xr:uid="{00000000-0005-0000-0000-00009F210000}"/>
    <cellStyle name="Normal 3 2 5 2 3 5" xfId="7975" xr:uid="{00000000-0005-0000-0000-0000A0210000}"/>
    <cellStyle name="Normal 3 2 5 2 4" xfId="1181" xr:uid="{00000000-0005-0000-0000-0000A1210000}"/>
    <cellStyle name="Normal 3 2 5 2 4 2" xfId="2920" xr:uid="{00000000-0005-0000-0000-0000A2210000}"/>
    <cellStyle name="Normal 3 2 5 2 4 2 2" xfId="5845" xr:uid="{00000000-0005-0000-0000-0000A3210000}"/>
    <cellStyle name="Normal 3 2 5 2 4 2 2 2" xfId="13074" xr:uid="{00000000-0005-0000-0000-0000A4210000}"/>
    <cellStyle name="Normal 3 2 5 2 4 2 3" xfId="10149" xr:uid="{00000000-0005-0000-0000-0000A5210000}"/>
    <cellStyle name="Normal 3 2 5 2 4 3" xfId="5844" xr:uid="{00000000-0005-0000-0000-0000A6210000}"/>
    <cellStyle name="Normal 3 2 5 2 4 3 2" xfId="13073" xr:uid="{00000000-0005-0000-0000-0000A7210000}"/>
    <cellStyle name="Normal 3 2 5 2 4 4" xfId="8411" xr:uid="{00000000-0005-0000-0000-0000A8210000}"/>
    <cellStyle name="Normal 3 2 5 2 5" xfId="2053" xr:uid="{00000000-0005-0000-0000-0000A9210000}"/>
    <cellStyle name="Normal 3 2 5 2 5 2" xfId="5846" xr:uid="{00000000-0005-0000-0000-0000AA210000}"/>
    <cellStyle name="Normal 3 2 5 2 5 2 2" xfId="13075" xr:uid="{00000000-0005-0000-0000-0000AB210000}"/>
    <cellStyle name="Normal 3 2 5 2 5 3" xfId="9282" xr:uid="{00000000-0005-0000-0000-0000AC210000}"/>
    <cellStyle name="Normal 3 2 5 2 6" xfId="5831" xr:uid="{00000000-0005-0000-0000-0000AD210000}"/>
    <cellStyle name="Normal 3 2 5 2 6 2" xfId="13060" xr:uid="{00000000-0005-0000-0000-0000AE210000}"/>
    <cellStyle name="Normal 3 2 5 2 7" xfId="7544" xr:uid="{00000000-0005-0000-0000-0000AF210000}"/>
    <cellStyle name="Normal 3 2 5 3" xfId="415" xr:uid="{00000000-0005-0000-0000-0000B0210000}"/>
    <cellStyle name="Normal 3 2 5 3 2" xfId="861" xr:uid="{00000000-0005-0000-0000-0000B1210000}"/>
    <cellStyle name="Normal 3 2 5 3 2 2" xfId="1728" xr:uid="{00000000-0005-0000-0000-0000B2210000}"/>
    <cellStyle name="Normal 3 2 5 3 2 2 2" xfId="3467" xr:uid="{00000000-0005-0000-0000-0000B3210000}"/>
    <cellStyle name="Normal 3 2 5 3 2 2 2 2" xfId="5850" xr:uid="{00000000-0005-0000-0000-0000B4210000}"/>
    <cellStyle name="Normal 3 2 5 3 2 2 2 2 2" xfId="13079" xr:uid="{00000000-0005-0000-0000-0000B5210000}"/>
    <cellStyle name="Normal 3 2 5 3 2 2 2 3" xfId="10696" xr:uid="{00000000-0005-0000-0000-0000B6210000}"/>
    <cellStyle name="Normal 3 2 5 3 2 2 3" xfId="5849" xr:uid="{00000000-0005-0000-0000-0000B7210000}"/>
    <cellStyle name="Normal 3 2 5 3 2 2 3 2" xfId="13078" xr:uid="{00000000-0005-0000-0000-0000B8210000}"/>
    <cellStyle name="Normal 3 2 5 3 2 2 4" xfId="8958" xr:uid="{00000000-0005-0000-0000-0000B9210000}"/>
    <cellStyle name="Normal 3 2 5 3 2 3" xfId="2600" xr:uid="{00000000-0005-0000-0000-0000BA210000}"/>
    <cellStyle name="Normal 3 2 5 3 2 3 2" xfId="5851" xr:uid="{00000000-0005-0000-0000-0000BB210000}"/>
    <cellStyle name="Normal 3 2 5 3 2 3 2 2" xfId="13080" xr:uid="{00000000-0005-0000-0000-0000BC210000}"/>
    <cellStyle name="Normal 3 2 5 3 2 3 3" xfId="9829" xr:uid="{00000000-0005-0000-0000-0000BD210000}"/>
    <cellStyle name="Normal 3 2 5 3 2 4" xfId="5848" xr:uid="{00000000-0005-0000-0000-0000BE210000}"/>
    <cellStyle name="Normal 3 2 5 3 2 4 2" xfId="13077" xr:uid="{00000000-0005-0000-0000-0000BF210000}"/>
    <cellStyle name="Normal 3 2 5 3 2 5" xfId="8091" xr:uid="{00000000-0005-0000-0000-0000C0210000}"/>
    <cellStyle name="Normal 3 2 5 3 3" xfId="1297" xr:uid="{00000000-0005-0000-0000-0000C1210000}"/>
    <cellStyle name="Normal 3 2 5 3 3 2" xfId="3036" xr:uid="{00000000-0005-0000-0000-0000C2210000}"/>
    <cellStyle name="Normal 3 2 5 3 3 2 2" xfId="5853" xr:uid="{00000000-0005-0000-0000-0000C3210000}"/>
    <cellStyle name="Normal 3 2 5 3 3 2 2 2" xfId="13082" xr:uid="{00000000-0005-0000-0000-0000C4210000}"/>
    <cellStyle name="Normal 3 2 5 3 3 2 3" xfId="10265" xr:uid="{00000000-0005-0000-0000-0000C5210000}"/>
    <cellStyle name="Normal 3 2 5 3 3 3" xfId="5852" xr:uid="{00000000-0005-0000-0000-0000C6210000}"/>
    <cellStyle name="Normal 3 2 5 3 3 3 2" xfId="13081" xr:uid="{00000000-0005-0000-0000-0000C7210000}"/>
    <cellStyle name="Normal 3 2 5 3 3 4" xfId="8527" xr:uid="{00000000-0005-0000-0000-0000C8210000}"/>
    <cellStyle name="Normal 3 2 5 3 4" xfId="2169" xr:uid="{00000000-0005-0000-0000-0000C9210000}"/>
    <cellStyle name="Normal 3 2 5 3 4 2" xfId="5854" xr:uid="{00000000-0005-0000-0000-0000CA210000}"/>
    <cellStyle name="Normal 3 2 5 3 4 2 2" xfId="13083" xr:uid="{00000000-0005-0000-0000-0000CB210000}"/>
    <cellStyle name="Normal 3 2 5 3 4 3" xfId="9398" xr:uid="{00000000-0005-0000-0000-0000CC210000}"/>
    <cellStyle name="Normal 3 2 5 3 5" xfId="5847" xr:uid="{00000000-0005-0000-0000-0000CD210000}"/>
    <cellStyle name="Normal 3 2 5 3 5 2" xfId="13076" xr:uid="{00000000-0005-0000-0000-0000CE210000}"/>
    <cellStyle name="Normal 3 2 5 3 6" xfId="7660" xr:uid="{00000000-0005-0000-0000-0000CF210000}"/>
    <cellStyle name="Normal 3 2 5 4" xfId="634" xr:uid="{00000000-0005-0000-0000-0000D0210000}"/>
    <cellStyle name="Normal 3 2 5 4 2" xfId="1510" xr:uid="{00000000-0005-0000-0000-0000D1210000}"/>
    <cellStyle name="Normal 3 2 5 4 2 2" xfId="3249" xr:uid="{00000000-0005-0000-0000-0000D2210000}"/>
    <cellStyle name="Normal 3 2 5 4 2 2 2" xfId="5857" xr:uid="{00000000-0005-0000-0000-0000D3210000}"/>
    <cellStyle name="Normal 3 2 5 4 2 2 2 2" xfId="13086" xr:uid="{00000000-0005-0000-0000-0000D4210000}"/>
    <cellStyle name="Normal 3 2 5 4 2 2 3" xfId="10478" xr:uid="{00000000-0005-0000-0000-0000D5210000}"/>
    <cellStyle name="Normal 3 2 5 4 2 3" xfId="5856" xr:uid="{00000000-0005-0000-0000-0000D6210000}"/>
    <cellStyle name="Normal 3 2 5 4 2 3 2" xfId="13085" xr:uid="{00000000-0005-0000-0000-0000D7210000}"/>
    <cellStyle name="Normal 3 2 5 4 2 4" xfId="8740" xr:uid="{00000000-0005-0000-0000-0000D8210000}"/>
    <cellStyle name="Normal 3 2 5 4 3" xfId="2382" xr:uid="{00000000-0005-0000-0000-0000D9210000}"/>
    <cellStyle name="Normal 3 2 5 4 3 2" xfId="5858" xr:uid="{00000000-0005-0000-0000-0000DA210000}"/>
    <cellStyle name="Normal 3 2 5 4 3 2 2" xfId="13087" xr:uid="{00000000-0005-0000-0000-0000DB210000}"/>
    <cellStyle name="Normal 3 2 5 4 3 3" xfId="9611" xr:uid="{00000000-0005-0000-0000-0000DC210000}"/>
    <cellStyle name="Normal 3 2 5 4 4" xfId="5855" xr:uid="{00000000-0005-0000-0000-0000DD210000}"/>
    <cellStyle name="Normal 3 2 5 4 4 2" xfId="13084" xr:uid="{00000000-0005-0000-0000-0000DE210000}"/>
    <cellStyle name="Normal 3 2 5 4 5" xfId="7873" xr:uid="{00000000-0005-0000-0000-0000DF210000}"/>
    <cellStyle name="Normal 3 2 5 5" xfId="1079" xr:uid="{00000000-0005-0000-0000-0000E0210000}"/>
    <cellStyle name="Normal 3 2 5 5 2" xfId="2818" xr:uid="{00000000-0005-0000-0000-0000E1210000}"/>
    <cellStyle name="Normal 3 2 5 5 2 2" xfId="5860" xr:uid="{00000000-0005-0000-0000-0000E2210000}"/>
    <cellStyle name="Normal 3 2 5 5 2 2 2" xfId="13089" xr:uid="{00000000-0005-0000-0000-0000E3210000}"/>
    <cellStyle name="Normal 3 2 5 5 2 3" xfId="10047" xr:uid="{00000000-0005-0000-0000-0000E4210000}"/>
    <cellStyle name="Normal 3 2 5 5 3" xfId="5859" xr:uid="{00000000-0005-0000-0000-0000E5210000}"/>
    <cellStyle name="Normal 3 2 5 5 3 2" xfId="13088" xr:uid="{00000000-0005-0000-0000-0000E6210000}"/>
    <cellStyle name="Normal 3 2 5 5 4" xfId="8309" xr:uid="{00000000-0005-0000-0000-0000E7210000}"/>
    <cellStyle name="Normal 3 2 5 6" xfId="1951" xr:uid="{00000000-0005-0000-0000-0000E8210000}"/>
    <cellStyle name="Normal 3 2 5 6 2" xfId="5861" xr:uid="{00000000-0005-0000-0000-0000E9210000}"/>
    <cellStyle name="Normal 3 2 5 6 2 2" xfId="13090" xr:uid="{00000000-0005-0000-0000-0000EA210000}"/>
    <cellStyle name="Normal 3 2 5 6 3" xfId="9180" xr:uid="{00000000-0005-0000-0000-0000EB210000}"/>
    <cellStyle name="Normal 3 2 5 7" xfId="5830" xr:uid="{00000000-0005-0000-0000-0000EC210000}"/>
    <cellStyle name="Normal 3 2 5 7 2" xfId="13059" xr:uid="{00000000-0005-0000-0000-0000ED210000}"/>
    <cellStyle name="Normal 3 2 5 8" xfId="7440" xr:uid="{00000000-0005-0000-0000-0000EE210000}"/>
    <cellStyle name="Normal 3 2 6" xfId="260" xr:uid="{00000000-0005-0000-0000-0000EF210000}"/>
    <cellStyle name="Normal 3 2 6 2" xfId="362" xr:uid="{00000000-0005-0000-0000-0000F0210000}"/>
    <cellStyle name="Normal 3 2 6 2 2" xfId="588" xr:uid="{00000000-0005-0000-0000-0000F1210000}"/>
    <cellStyle name="Normal 3 2 6 2 2 2" xfId="1034" xr:uid="{00000000-0005-0000-0000-0000F2210000}"/>
    <cellStyle name="Normal 3 2 6 2 2 2 2" xfId="1901" xr:uid="{00000000-0005-0000-0000-0000F3210000}"/>
    <cellStyle name="Normal 3 2 6 2 2 2 2 2" xfId="3640" xr:uid="{00000000-0005-0000-0000-0000F4210000}"/>
    <cellStyle name="Normal 3 2 6 2 2 2 2 2 2" xfId="5867" xr:uid="{00000000-0005-0000-0000-0000F5210000}"/>
    <cellStyle name="Normal 3 2 6 2 2 2 2 2 2 2" xfId="13096" xr:uid="{00000000-0005-0000-0000-0000F6210000}"/>
    <cellStyle name="Normal 3 2 6 2 2 2 2 2 3" xfId="10869" xr:uid="{00000000-0005-0000-0000-0000F7210000}"/>
    <cellStyle name="Normal 3 2 6 2 2 2 2 3" xfId="5866" xr:uid="{00000000-0005-0000-0000-0000F8210000}"/>
    <cellStyle name="Normal 3 2 6 2 2 2 2 3 2" xfId="13095" xr:uid="{00000000-0005-0000-0000-0000F9210000}"/>
    <cellStyle name="Normal 3 2 6 2 2 2 2 4" xfId="9131" xr:uid="{00000000-0005-0000-0000-0000FA210000}"/>
    <cellStyle name="Normal 3 2 6 2 2 2 3" xfId="2773" xr:uid="{00000000-0005-0000-0000-0000FB210000}"/>
    <cellStyle name="Normal 3 2 6 2 2 2 3 2" xfId="5868" xr:uid="{00000000-0005-0000-0000-0000FC210000}"/>
    <cellStyle name="Normal 3 2 6 2 2 2 3 2 2" xfId="13097" xr:uid="{00000000-0005-0000-0000-0000FD210000}"/>
    <cellStyle name="Normal 3 2 6 2 2 2 3 3" xfId="10002" xr:uid="{00000000-0005-0000-0000-0000FE210000}"/>
    <cellStyle name="Normal 3 2 6 2 2 2 4" xfId="5865" xr:uid="{00000000-0005-0000-0000-0000FF210000}"/>
    <cellStyle name="Normal 3 2 6 2 2 2 4 2" xfId="13094" xr:uid="{00000000-0005-0000-0000-000000220000}"/>
    <cellStyle name="Normal 3 2 6 2 2 2 5" xfId="8264" xr:uid="{00000000-0005-0000-0000-000001220000}"/>
    <cellStyle name="Normal 3 2 6 2 2 3" xfId="1470" xr:uid="{00000000-0005-0000-0000-000002220000}"/>
    <cellStyle name="Normal 3 2 6 2 2 3 2" xfId="3209" xr:uid="{00000000-0005-0000-0000-000003220000}"/>
    <cellStyle name="Normal 3 2 6 2 2 3 2 2" xfId="5870" xr:uid="{00000000-0005-0000-0000-000004220000}"/>
    <cellStyle name="Normal 3 2 6 2 2 3 2 2 2" xfId="13099" xr:uid="{00000000-0005-0000-0000-000005220000}"/>
    <cellStyle name="Normal 3 2 6 2 2 3 2 3" xfId="10438" xr:uid="{00000000-0005-0000-0000-000006220000}"/>
    <cellStyle name="Normal 3 2 6 2 2 3 3" xfId="5869" xr:uid="{00000000-0005-0000-0000-000007220000}"/>
    <cellStyle name="Normal 3 2 6 2 2 3 3 2" xfId="13098" xr:uid="{00000000-0005-0000-0000-000008220000}"/>
    <cellStyle name="Normal 3 2 6 2 2 3 4" xfId="8700" xr:uid="{00000000-0005-0000-0000-000009220000}"/>
    <cellStyle name="Normal 3 2 6 2 2 4" xfId="2342" xr:uid="{00000000-0005-0000-0000-00000A220000}"/>
    <cellStyle name="Normal 3 2 6 2 2 4 2" xfId="5871" xr:uid="{00000000-0005-0000-0000-00000B220000}"/>
    <cellStyle name="Normal 3 2 6 2 2 4 2 2" xfId="13100" xr:uid="{00000000-0005-0000-0000-00000C220000}"/>
    <cellStyle name="Normal 3 2 6 2 2 4 3" xfId="9571" xr:uid="{00000000-0005-0000-0000-00000D220000}"/>
    <cellStyle name="Normal 3 2 6 2 2 5" xfId="5864" xr:uid="{00000000-0005-0000-0000-00000E220000}"/>
    <cellStyle name="Normal 3 2 6 2 2 5 2" xfId="13093" xr:uid="{00000000-0005-0000-0000-00000F220000}"/>
    <cellStyle name="Normal 3 2 6 2 2 6" xfId="7833" xr:uid="{00000000-0005-0000-0000-000010220000}"/>
    <cellStyle name="Normal 3 2 6 2 3" xfId="810" xr:uid="{00000000-0005-0000-0000-000011220000}"/>
    <cellStyle name="Normal 3 2 6 2 3 2" xfId="1683" xr:uid="{00000000-0005-0000-0000-000012220000}"/>
    <cellStyle name="Normal 3 2 6 2 3 2 2" xfId="3422" xr:uid="{00000000-0005-0000-0000-000013220000}"/>
    <cellStyle name="Normal 3 2 6 2 3 2 2 2" xfId="5874" xr:uid="{00000000-0005-0000-0000-000014220000}"/>
    <cellStyle name="Normal 3 2 6 2 3 2 2 2 2" xfId="13103" xr:uid="{00000000-0005-0000-0000-000015220000}"/>
    <cellStyle name="Normal 3 2 6 2 3 2 2 3" xfId="10651" xr:uid="{00000000-0005-0000-0000-000016220000}"/>
    <cellStyle name="Normal 3 2 6 2 3 2 3" xfId="5873" xr:uid="{00000000-0005-0000-0000-000017220000}"/>
    <cellStyle name="Normal 3 2 6 2 3 2 3 2" xfId="13102" xr:uid="{00000000-0005-0000-0000-000018220000}"/>
    <cellStyle name="Normal 3 2 6 2 3 2 4" xfId="8913" xr:uid="{00000000-0005-0000-0000-000019220000}"/>
    <cellStyle name="Normal 3 2 6 2 3 3" xfId="2555" xr:uid="{00000000-0005-0000-0000-00001A220000}"/>
    <cellStyle name="Normal 3 2 6 2 3 3 2" xfId="5875" xr:uid="{00000000-0005-0000-0000-00001B220000}"/>
    <cellStyle name="Normal 3 2 6 2 3 3 2 2" xfId="13104" xr:uid="{00000000-0005-0000-0000-00001C220000}"/>
    <cellStyle name="Normal 3 2 6 2 3 3 3" xfId="9784" xr:uid="{00000000-0005-0000-0000-00001D220000}"/>
    <cellStyle name="Normal 3 2 6 2 3 4" xfId="5872" xr:uid="{00000000-0005-0000-0000-00001E220000}"/>
    <cellStyle name="Normal 3 2 6 2 3 4 2" xfId="13101" xr:uid="{00000000-0005-0000-0000-00001F220000}"/>
    <cellStyle name="Normal 3 2 6 2 3 5" xfId="8046" xr:uid="{00000000-0005-0000-0000-000020220000}"/>
    <cellStyle name="Normal 3 2 6 2 4" xfId="1252" xr:uid="{00000000-0005-0000-0000-000021220000}"/>
    <cellStyle name="Normal 3 2 6 2 4 2" xfId="2991" xr:uid="{00000000-0005-0000-0000-000022220000}"/>
    <cellStyle name="Normal 3 2 6 2 4 2 2" xfId="5877" xr:uid="{00000000-0005-0000-0000-000023220000}"/>
    <cellStyle name="Normal 3 2 6 2 4 2 2 2" xfId="13106" xr:uid="{00000000-0005-0000-0000-000024220000}"/>
    <cellStyle name="Normal 3 2 6 2 4 2 3" xfId="10220" xr:uid="{00000000-0005-0000-0000-000025220000}"/>
    <cellStyle name="Normal 3 2 6 2 4 3" xfId="5876" xr:uid="{00000000-0005-0000-0000-000026220000}"/>
    <cellStyle name="Normal 3 2 6 2 4 3 2" xfId="13105" xr:uid="{00000000-0005-0000-0000-000027220000}"/>
    <cellStyle name="Normal 3 2 6 2 4 4" xfId="8482" xr:uid="{00000000-0005-0000-0000-000028220000}"/>
    <cellStyle name="Normal 3 2 6 2 5" xfId="2124" xr:uid="{00000000-0005-0000-0000-000029220000}"/>
    <cellStyle name="Normal 3 2 6 2 5 2" xfId="5878" xr:uid="{00000000-0005-0000-0000-00002A220000}"/>
    <cellStyle name="Normal 3 2 6 2 5 2 2" xfId="13107" xr:uid="{00000000-0005-0000-0000-00002B220000}"/>
    <cellStyle name="Normal 3 2 6 2 5 3" xfId="9353" xr:uid="{00000000-0005-0000-0000-00002C220000}"/>
    <cellStyle name="Normal 3 2 6 2 6" xfId="5863" xr:uid="{00000000-0005-0000-0000-00002D220000}"/>
    <cellStyle name="Normal 3 2 6 2 6 2" xfId="13092" xr:uid="{00000000-0005-0000-0000-00002E220000}"/>
    <cellStyle name="Normal 3 2 6 2 7" xfId="7615" xr:uid="{00000000-0005-0000-0000-00002F220000}"/>
    <cellStyle name="Normal 3 2 6 3" xfId="486" xr:uid="{00000000-0005-0000-0000-000030220000}"/>
    <cellStyle name="Normal 3 2 6 3 2" xfId="932" xr:uid="{00000000-0005-0000-0000-000031220000}"/>
    <cellStyle name="Normal 3 2 6 3 2 2" xfId="1799" xr:uid="{00000000-0005-0000-0000-000032220000}"/>
    <cellStyle name="Normal 3 2 6 3 2 2 2" xfId="3538" xr:uid="{00000000-0005-0000-0000-000033220000}"/>
    <cellStyle name="Normal 3 2 6 3 2 2 2 2" xfId="5882" xr:uid="{00000000-0005-0000-0000-000034220000}"/>
    <cellStyle name="Normal 3 2 6 3 2 2 2 2 2" xfId="13111" xr:uid="{00000000-0005-0000-0000-000035220000}"/>
    <cellStyle name="Normal 3 2 6 3 2 2 2 3" xfId="10767" xr:uid="{00000000-0005-0000-0000-000036220000}"/>
    <cellStyle name="Normal 3 2 6 3 2 2 3" xfId="5881" xr:uid="{00000000-0005-0000-0000-000037220000}"/>
    <cellStyle name="Normal 3 2 6 3 2 2 3 2" xfId="13110" xr:uid="{00000000-0005-0000-0000-000038220000}"/>
    <cellStyle name="Normal 3 2 6 3 2 2 4" xfId="9029" xr:uid="{00000000-0005-0000-0000-000039220000}"/>
    <cellStyle name="Normal 3 2 6 3 2 3" xfId="2671" xr:uid="{00000000-0005-0000-0000-00003A220000}"/>
    <cellStyle name="Normal 3 2 6 3 2 3 2" xfId="5883" xr:uid="{00000000-0005-0000-0000-00003B220000}"/>
    <cellStyle name="Normal 3 2 6 3 2 3 2 2" xfId="13112" xr:uid="{00000000-0005-0000-0000-00003C220000}"/>
    <cellStyle name="Normal 3 2 6 3 2 3 3" xfId="9900" xr:uid="{00000000-0005-0000-0000-00003D220000}"/>
    <cellStyle name="Normal 3 2 6 3 2 4" xfId="5880" xr:uid="{00000000-0005-0000-0000-00003E220000}"/>
    <cellStyle name="Normal 3 2 6 3 2 4 2" xfId="13109" xr:uid="{00000000-0005-0000-0000-00003F220000}"/>
    <cellStyle name="Normal 3 2 6 3 2 5" xfId="8162" xr:uid="{00000000-0005-0000-0000-000040220000}"/>
    <cellStyle name="Normal 3 2 6 3 3" xfId="1368" xr:uid="{00000000-0005-0000-0000-000041220000}"/>
    <cellStyle name="Normal 3 2 6 3 3 2" xfId="3107" xr:uid="{00000000-0005-0000-0000-000042220000}"/>
    <cellStyle name="Normal 3 2 6 3 3 2 2" xfId="5885" xr:uid="{00000000-0005-0000-0000-000043220000}"/>
    <cellStyle name="Normal 3 2 6 3 3 2 2 2" xfId="13114" xr:uid="{00000000-0005-0000-0000-000044220000}"/>
    <cellStyle name="Normal 3 2 6 3 3 2 3" xfId="10336" xr:uid="{00000000-0005-0000-0000-000045220000}"/>
    <cellStyle name="Normal 3 2 6 3 3 3" xfId="5884" xr:uid="{00000000-0005-0000-0000-000046220000}"/>
    <cellStyle name="Normal 3 2 6 3 3 3 2" xfId="13113" xr:uid="{00000000-0005-0000-0000-000047220000}"/>
    <cellStyle name="Normal 3 2 6 3 3 4" xfId="8598" xr:uid="{00000000-0005-0000-0000-000048220000}"/>
    <cellStyle name="Normal 3 2 6 3 4" xfId="2240" xr:uid="{00000000-0005-0000-0000-000049220000}"/>
    <cellStyle name="Normal 3 2 6 3 4 2" xfId="5886" xr:uid="{00000000-0005-0000-0000-00004A220000}"/>
    <cellStyle name="Normal 3 2 6 3 4 2 2" xfId="13115" xr:uid="{00000000-0005-0000-0000-00004B220000}"/>
    <cellStyle name="Normal 3 2 6 3 4 3" xfId="9469" xr:uid="{00000000-0005-0000-0000-00004C220000}"/>
    <cellStyle name="Normal 3 2 6 3 5" xfId="5879" xr:uid="{00000000-0005-0000-0000-00004D220000}"/>
    <cellStyle name="Normal 3 2 6 3 5 2" xfId="13108" xr:uid="{00000000-0005-0000-0000-00004E220000}"/>
    <cellStyle name="Normal 3 2 6 3 6" xfId="7731" xr:uid="{00000000-0005-0000-0000-00004F220000}"/>
    <cellStyle name="Normal 3 2 6 4" xfId="708" xr:uid="{00000000-0005-0000-0000-000050220000}"/>
    <cellStyle name="Normal 3 2 6 4 2" xfId="1581" xr:uid="{00000000-0005-0000-0000-000051220000}"/>
    <cellStyle name="Normal 3 2 6 4 2 2" xfId="3320" xr:uid="{00000000-0005-0000-0000-000052220000}"/>
    <cellStyle name="Normal 3 2 6 4 2 2 2" xfId="5889" xr:uid="{00000000-0005-0000-0000-000053220000}"/>
    <cellStyle name="Normal 3 2 6 4 2 2 2 2" xfId="13118" xr:uid="{00000000-0005-0000-0000-000054220000}"/>
    <cellStyle name="Normal 3 2 6 4 2 2 3" xfId="10549" xr:uid="{00000000-0005-0000-0000-000055220000}"/>
    <cellStyle name="Normal 3 2 6 4 2 3" xfId="5888" xr:uid="{00000000-0005-0000-0000-000056220000}"/>
    <cellStyle name="Normal 3 2 6 4 2 3 2" xfId="13117" xr:uid="{00000000-0005-0000-0000-000057220000}"/>
    <cellStyle name="Normal 3 2 6 4 2 4" xfId="8811" xr:uid="{00000000-0005-0000-0000-000058220000}"/>
    <cellStyle name="Normal 3 2 6 4 3" xfId="2453" xr:uid="{00000000-0005-0000-0000-000059220000}"/>
    <cellStyle name="Normal 3 2 6 4 3 2" xfId="5890" xr:uid="{00000000-0005-0000-0000-00005A220000}"/>
    <cellStyle name="Normal 3 2 6 4 3 2 2" xfId="13119" xr:uid="{00000000-0005-0000-0000-00005B220000}"/>
    <cellStyle name="Normal 3 2 6 4 3 3" xfId="9682" xr:uid="{00000000-0005-0000-0000-00005C220000}"/>
    <cellStyle name="Normal 3 2 6 4 4" xfId="5887" xr:uid="{00000000-0005-0000-0000-00005D220000}"/>
    <cellStyle name="Normal 3 2 6 4 4 2" xfId="13116" xr:uid="{00000000-0005-0000-0000-00005E220000}"/>
    <cellStyle name="Normal 3 2 6 4 5" xfId="7944" xr:uid="{00000000-0005-0000-0000-00005F220000}"/>
    <cellStyle name="Normal 3 2 6 5" xfId="1150" xr:uid="{00000000-0005-0000-0000-000060220000}"/>
    <cellStyle name="Normal 3 2 6 5 2" xfId="2889" xr:uid="{00000000-0005-0000-0000-000061220000}"/>
    <cellStyle name="Normal 3 2 6 5 2 2" xfId="5892" xr:uid="{00000000-0005-0000-0000-000062220000}"/>
    <cellStyle name="Normal 3 2 6 5 2 2 2" xfId="13121" xr:uid="{00000000-0005-0000-0000-000063220000}"/>
    <cellStyle name="Normal 3 2 6 5 2 3" xfId="10118" xr:uid="{00000000-0005-0000-0000-000064220000}"/>
    <cellStyle name="Normal 3 2 6 5 3" xfId="5891" xr:uid="{00000000-0005-0000-0000-000065220000}"/>
    <cellStyle name="Normal 3 2 6 5 3 2" xfId="13120" xr:uid="{00000000-0005-0000-0000-000066220000}"/>
    <cellStyle name="Normal 3 2 6 5 4" xfId="8380" xr:uid="{00000000-0005-0000-0000-000067220000}"/>
    <cellStyle name="Normal 3 2 6 6" xfId="2022" xr:uid="{00000000-0005-0000-0000-000068220000}"/>
    <cellStyle name="Normal 3 2 6 6 2" xfId="5893" xr:uid="{00000000-0005-0000-0000-000069220000}"/>
    <cellStyle name="Normal 3 2 6 6 2 2" xfId="13122" xr:uid="{00000000-0005-0000-0000-00006A220000}"/>
    <cellStyle name="Normal 3 2 6 6 3" xfId="9251" xr:uid="{00000000-0005-0000-0000-00006B220000}"/>
    <cellStyle name="Normal 3 2 6 7" xfId="5862" xr:uid="{00000000-0005-0000-0000-00006C220000}"/>
    <cellStyle name="Normal 3 2 6 7 2" xfId="13091" xr:uid="{00000000-0005-0000-0000-00006D220000}"/>
    <cellStyle name="Normal 3 2 6 8" xfId="7513" xr:uid="{00000000-0005-0000-0000-00006E220000}"/>
    <cellStyle name="Normal 3 2 7" xfId="264" xr:uid="{00000000-0005-0000-0000-00006F220000}"/>
    <cellStyle name="Normal 3 2 7 2" xfId="490" xr:uid="{00000000-0005-0000-0000-000070220000}"/>
    <cellStyle name="Normal 3 2 7 2 2" xfId="936" xr:uid="{00000000-0005-0000-0000-000071220000}"/>
    <cellStyle name="Normal 3 2 7 2 2 2" xfId="1803" xr:uid="{00000000-0005-0000-0000-000072220000}"/>
    <cellStyle name="Normal 3 2 7 2 2 2 2" xfId="3542" xr:uid="{00000000-0005-0000-0000-000073220000}"/>
    <cellStyle name="Normal 3 2 7 2 2 2 2 2" xfId="5898" xr:uid="{00000000-0005-0000-0000-000074220000}"/>
    <cellStyle name="Normal 3 2 7 2 2 2 2 2 2" xfId="13127" xr:uid="{00000000-0005-0000-0000-000075220000}"/>
    <cellStyle name="Normal 3 2 7 2 2 2 2 3" xfId="10771" xr:uid="{00000000-0005-0000-0000-000076220000}"/>
    <cellStyle name="Normal 3 2 7 2 2 2 3" xfId="5897" xr:uid="{00000000-0005-0000-0000-000077220000}"/>
    <cellStyle name="Normal 3 2 7 2 2 2 3 2" xfId="13126" xr:uid="{00000000-0005-0000-0000-000078220000}"/>
    <cellStyle name="Normal 3 2 7 2 2 2 4" xfId="9033" xr:uid="{00000000-0005-0000-0000-000079220000}"/>
    <cellStyle name="Normal 3 2 7 2 2 3" xfId="2675" xr:uid="{00000000-0005-0000-0000-00007A220000}"/>
    <cellStyle name="Normal 3 2 7 2 2 3 2" xfId="5899" xr:uid="{00000000-0005-0000-0000-00007B220000}"/>
    <cellStyle name="Normal 3 2 7 2 2 3 2 2" xfId="13128" xr:uid="{00000000-0005-0000-0000-00007C220000}"/>
    <cellStyle name="Normal 3 2 7 2 2 3 3" xfId="9904" xr:uid="{00000000-0005-0000-0000-00007D220000}"/>
    <cellStyle name="Normal 3 2 7 2 2 4" xfId="5896" xr:uid="{00000000-0005-0000-0000-00007E220000}"/>
    <cellStyle name="Normal 3 2 7 2 2 4 2" xfId="13125" xr:uid="{00000000-0005-0000-0000-00007F220000}"/>
    <cellStyle name="Normal 3 2 7 2 2 5" xfId="8166" xr:uid="{00000000-0005-0000-0000-000080220000}"/>
    <cellStyle name="Normal 3 2 7 2 3" xfId="1372" xr:uid="{00000000-0005-0000-0000-000081220000}"/>
    <cellStyle name="Normal 3 2 7 2 3 2" xfId="3111" xr:uid="{00000000-0005-0000-0000-000082220000}"/>
    <cellStyle name="Normal 3 2 7 2 3 2 2" xfId="5901" xr:uid="{00000000-0005-0000-0000-000083220000}"/>
    <cellStyle name="Normal 3 2 7 2 3 2 2 2" xfId="13130" xr:uid="{00000000-0005-0000-0000-000084220000}"/>
    <cellStyle name="Normal 3 2 7 2 3 2 3" xfId="10340" xr:uid="{00000000-0005-0000-0000-000085220000}"/>
    <cellStyle name="Normal 3 2 7 2 3 3" xfId="5900" xr:uid="{00000000-0005-0000-0000-000086220000}"/>
    <cellStyle name="Normal 3 2 7 2 3 3 2" xfId="13129" xr:uid="{00000000-0005-0000-0000-000087220000}"/>
    <cellStyle name="Normal 3 2 7 2 3 4" xfId="8602" xr:uid="{00000000-0005-0000-0000-000088220000}"/>
    <cellStyle name="Normal 3 2 7 2 4" xfId="2244" xr:uid="{00000000-0005-0000-0000-000089220000}"/>
    <cellStyle name="Normal 3 2 7 2 4 2" xfId="5902" xr:uid="{00000000-0005-0000-0000-00008A220000}"/>
    <cellStyle name="Normal 3 2 7 2 4 2 2" xfId="13131" xr:uid="{00000000-0005-0000-0000-00008B220000}"/>
    <cellStyle name="Normal 3 2 7 2 4 3" xfId="9473" xr:uid="{00000000-0005-0000-0000-00008C220000}"/>
    <cellStyle name="Normal 3 2 7 2 5" xfId="5895" xr:uid="{00000000-0005-0000-0000-00008D220000}"/>
    <cellStyle name="Normal 3 2 7 2 5 2" xfId="13124" xr:uid="{00000000-0005-0000-0000-00008E220000}"/>
    <cellStyle name="Normal 3 2 7 2 6" xfId="7735" xr:uid="{00000000-0005-0000-0000-00008F220000}"/>
    <cellStyle name="Normal 3 2 7 3" xfId="712" xr:uid="{00000000-0005-0000-0000-000090220000}"/>
    <cellStyle name="Normal 3 2 7 3 2" xfId="1585" xr:uid="{00000000-0005-0000-0000-000091220000}"/>
    <cellStyle name="Normal 3 2 7 3 2 2" xfId="3324" xr:uid="{00000000-0005-0000-0000-000092220000}"/>
    <cellStyle name="Normal 3 2 7 3 2 2 2" xfId="5905" xr:uid="{00000000-0005-0000-0000-000093220000}"/>
    <cellStyle name="Normal 3 2 7 3 2 2 2 2" xfId="13134" xr:uid="{00000000-0005-0000-0000-000094220000}"/>
    <cellStyle name="Normal 3 2 7 3 2 2 3" xfId="10553" xr:uid="{00000000-0005-0000-0000-000095220000}"/>
    <cellStyle name="Normal 3 2 7 3 2 3" xfId="5904" xr:uid="{00000000-0005-0000-0000-000096220000}"/>
    <cellStyle name="Normal 3 2 7 3 2 3 2" xfId="13133" xr:uid="{00000000-0005-0000-0000-000097220000}"/>
    <cellStyle name="Normal 3 2 7 3 2 4" xfId="8815" xr:uid="{00000000-0005-0000-0000-000098220000}"/>
    <cellStyle name="Normal 3 2 7 3 3" xfId="2457" xr:uid="{00000000-0005-0000-0000-000099220000}"/>
    <cellStyle name="Normal 3 2 7 3 3 2" xfId="5906" xr:uid="{00000000-0005-0000-0000-00009A220000}"/>
    <cellStyle name="Normal 3 2 7 3 3 2 2" xfId="13135" xr:uid="{00000000-0005-0000-0000-00009B220000}"/>
    <cellStyle name="Normal 3 2 7 3 3 3" xfId="9686" xr:uid="{00000000-0005-0000-0000-00009C220000}"/>
    <cellStyle name="Normal 3 2 7 3 4" xfId="5903" xr:uid="{00000000-0005-0000-0000-00009D220000}"/>
    <cellStyle name="Normal 3 2 7 3 4 2" xfId="13132" xr:uid="{00000000-0005-0000-0000-00009E220000}"/>
    <cellStyle name="Normal 3 2 7 3 5" xfId="7948" xr:uid="{00000000-0005-0000-0000-00009F220000}"/>
    <cellStyle name="Normal 3 2 7 4" xfId="1154" xr:uid="{00000000-0005-0000-0000-0000A0220000}"/>
    <cellStyle name="Normal 3 2 7 4 2" xfId="2893" xr:uid="{00000000-0005-0000-0000-0000A1220000}"/>
    <cellStyle name="Normal 3 2 7 4 2 2" xfId="5908" xr:uid="{00000000-0005-0000-0000-0000A2220000}"/>
    <cellStyle name="Normal 3 2 7 4 2 2 2" xfId="13137" xr:uid="{00000000-0005-0000-0000-0000A3220000}"/>
    <cellStyle name="Normal 3 2 7 4 2 3" xfId="10122" xr:uid="{00000000-0005-0000-0000-0000A4220000}"/>
    <cellStyle name="Normal 3 2 7 4 3" xfId="5907" xr:uid="{00000000-0005-0000-0000-0000A5220000}"/>
    <cellStyle name="Normal 3 2 7 4 3 2" xfId="13136" xr:uid="{00000000-0005-0000-0000-0000A6220000}"/>
    <cellStyle name="Normal 3 2 7 4 4" xfId="8384" xr:uid="{00000000-0005-0000-0000-0000A7220000}"/>
    <cellStyle name="Normal 3 2 7 5" xfId="2026" xr:uid="{00000000-0005-0000-0000-0000A8220000}"/>
    <cellStyle name="Normal 3 2 7 5 2" xfId="5909" xr:uid="{00000000-0005-0000-0000-0000A9220000}"/>
    <cellStyle name="Normal 3 2 7 5 2 2" xfId="13138" xr:uid="{00000000-0005-0000-0000-0000AA220000}"/>
    <cellStyle name="Normal 3 2 7 5 3" xfId="9255" xr:uid="{00000000-0005-0000-0000-0000AB220000}"/>
    <cellStyle name="Normal 3 2 7 6" xfId="5894" xr:uid="{00000000-0005-0000-0000-0000AC220000}"/>
    <cellStyle name="Normal 3 2 7 6 2" xfId="13123" xr:uid="{00000000-0005-0000-0000-0000AD220000}"/>
    <cellStyle name="Normal 3 2 7 7" xfId="7517" xr:uid="{00000000-0005-0000-0000-0000AE220000}"/>
    <cellStyle name="Normal 3 2 8" xfId="388" xr:uid="{00000000-0005-0000-0000-0000AF220000}"/>
    <cellStyle name="Normal 3 2 8 2" xfId="834" xr:uid="{00000000-0005-0000-0000-0000B0220000}"/>
    <cellStyle name="Normal 3 2 8 2 2" xfId="1701" xr:uid="{00000000-0005-0000-0000-0000B1220000}"/>
    <cellStyle name="Normal 3 2 8 2 2 2" xfId="3440" xr:uid="{00000000-0005-0000-0000-0000B2220000}"/>
    <cellStyle name="Normal 3 2 8 2 2 2 2" xfId="5913" xr:uid="{00000000-0005-0000-0000-0000B3220000}"/>
    <cellStyle name="Normal 3 2 8 2 2 2 2 2" xfId="13142" xr:uid="{00000000-0005-0000-0000-0000B4220000}"/>
    <cellStyle name="Normal 3 2 8 2 2 2 3" xfId="10669" xr:uid="{00000000-0005-0000-0000-0000B5220000}"/>
    <cellStyle name="Normal 3 2 8 2 2 3" xfId="5912" xr:uid="{00000000-0005-0000-0000-0000B6220000}"/>
    <cellStyle name="Normal 3 2 8 2 2 3 2" xfId="13141" xr:uid="{00000000-0005-0000-0000-0000B7220000}"/>
    <cellStyle name="Normal 3 2 8 2 2 4" xfId="8931" xr:uid="{00000000-0005-0000-0000-0000B8220000}"/>
    <cellStyle name="Normal 3 2 8 2 3" xfId="2573" xr:uid="{00000000-0005-0000-0000-0000B9220000}"/>
    <cellStyle name="Normal 3 2 8 2 3 2" xfId="5914" xr:uid="{00000000-0005-0000-0000-0000BA220000}"/>
    <cellStyle name="Normal 3 2 8 2 3 2 2" xfId="13143" xr:uid="{00000000-0005-0000-0000-0000BB220000}"/>
    <cellStyle name="Normal 3 2 8 2 3 3" xfId="9802" xr:uid="{00000000-0005-0000-0000-0000BC220000}"/>
    <cellStyle name="Normal 3 2 8 2 4" xfId="5911" xr:uid="{00000000-0005-0000-0000-0000BD220000}"/>
    <cellStyle name="Normal 3 2 8 2 4 2" xfId="13140" xr:uid="{00000000-0005-0000-0000-0000BE220000}"/>
    <cellStyle name="Normal 3 2 8 2 5" xfId="8064" xr:uid="{00000000-0005-0000-0000-0000BF220000}"/>
    <cellStyle name="Normal 3 2 8 3" xfId="1270" xr:uid="{00000000-0005-0000-0000-0000C0220000}"/>
    <cellStyle name="Normal 3 2 8 3 2" xfId="3009" xr:uid="{00000000-0005-0000-0000-0000C1220000}"/>
    <cellStyle name="Normal 3 2 8 3 2 2" xfId="5916" xr:uid="{00000000-0005-0000-0000-0000C2220000}"/>
    <cellStyle name="Normal 3 2 8 3 2 2 2" xfId="13145" xr:uid="{00000000-0005-0000-0000-0000C3220000}"/>
    <cellStyle name="Normal 3 2 8 3 2 3" xfId="10238" xr:uid="{00000000-0005-0000-0000-0000C4220000}"/>
    <cellStyle name="Normal 3 2 8 3 3" xfId="5915" xr:uid="{00000000-0005-0000-0000-0000C5220000}"/>
    <cellStyle name="Normal 3 2 8 3 3 2" xfId="13144" xr:uid="{00000000-0005-0000-0000-0000C6220000}"/>
    <cellStyle name="Normal 3 2 8 3 4" xfId="8500" xr:uid="{00000000-0005-0000-0000-0000C7220000}"/>
    <cellStyle name="Normal 3 2 8 4" xfId="2142" xr:uid="{00000000-0005-0000-0000-0000C8220000}"/>
    <cellStyle name="Normal 3 2 8 4 2" xfId="5917" xr:uid="{00000000-0005-0000-0000-0000C9220000}"/>
    <cellStyle name="Normal 3 2 8 4 2 2" xfId="13146" xr:uid="{00000000-0005-0000-0000-0000CA220000}"/>
    <cellStyle name="Normal 3 2 8 4 3" xfId="9371" xr:uid="{00000000-0005-0000-0000-0000CB220000}"/>
    <cellStyle name="Normal 3 2 8 5" xfId="5910" xr:uid="{00000000-0005-0000-0000-0000CC220000}"/>
    <cellStyle name="Normal 3 2 8 5 2" xfId="13139" xr:uid="{00000000-0005-0000-0000-0000CD220000}"/>
    <cellStyle name="Normal 3 2 8 6" xfId="7633" xr:uid="{00000000-0005-0000-0000-0000CE220000}"/>
    <cellStyle name="Normal 3 2 9" xfId="605" xr:uid="{00000000-0005-0000-0000-0000CF220000}"/>
    <cellStyle name="Normal 3 2 9 2" xfId="1483" xr:uid="{00000000-0005-0000-0000-0000D0220000}"/>
    <cellStyle name="Normal 3 2 9 2 2" xfId="3222" xr:uid="{00000000-0005-0000-0000-0000D1220000}"/>
    <cellStyle name="Normal 3 2 9 2 2 2" xfId="5920" xr:uid="{00000000-0005-0000-0000-0000D2220000}"/>
    <cellStyle name="Normal 3 2 9 2 2 2 2" xfId="13149" xr:uid="{00000000-0005-0000-0000-0000D3220000}"/>
    <cellStyle name="Normal 3 2 9 2 2 3" xfId="10451" xr:uid="{00000000-0005-0000-0000-0000D4220000}"/>
    <cellStyle name="Normal 3 2 9 2 3" xfId="5919" xr:uid="{00000000-0005-0000-0000-0000D5220000}"/>
    <cellStyle name="Normal 3 2 9 2 3 2" xfId="13148" xr:uid="{00000000-0005-0000-0000-0000D6220000}"/>
    <cellStyle name="Normal 3 2 9 2 4" xfId="8713" xr:uid="{00000000-0005-0000-0000-0000D7220000}"/>
    <cellStyle name="Normal 3 2 9 3" xfId="2355" xr:uid="{00000000-0005-0000-0000-0000D8220000}"/>
    <cellStyle name="Normal 3 2 9 3 2" xfId="5921" xr:uid="{00000000-0005-0000-0000-0000D9220000}"/>
    <cellStyle name="Normal 3 2 9 3 2 2" xfId="13150" xr:uid="{00000000-0005-0000-0000-0000DA220000}"/>
    <cellStyle name="Normal 3 2 9 3 3" xfId="9584" xr:uid="{00000000-0005-0000-0000-0000DB220000}"/>
    <cellStyle name="Normal 3 2 9 4" xfId="5918" xr:uid="{00000000-0005-0000-0000-0000DC220000}"/>
    <cellStyle name="Normal 3 2 9 4 2" xfId="13147" xr:uid="{00000000-0005-0000-0000-0000DD220000}"/>
    <cellStyle name="Normal 3 2 9 5" xfId="7846" xr:uid="{00000000-0005-0000-0000-0000DE220000}"/>
    <cellStyle name="Normal 3 3" xfId="16" xr:uid="{00000000-0005-0000-0000-0000DF220000}"/>
    <cellStyle name="Normal 3 3 10" xfId="5922" xr:uid="{00000000-0005-0000-0000-0000E0220000}"/>
    <cellStyle name="Normal 3 3 10 2" xfId="13151" xr:uid="{00000000-0005-0000-0000-0000E1220000}"/>
    <cellStyle name="Normal 3 3 11" xfId="7414" xr:uid="{00000000-0005-0000-0000-0000E2220000}"/>
    <cellStyle name="Normal 3 3 2" xfId="39" xr:uid="{00000000-0005-0000-0000-0000E3220000}"/>
    <cellStyle name="Normal 3 3 2 2" xfId="5923" xr:uid="{00000000-0005-0000-0000-0000E4220000}"/>
    <cellStyle name="Normal 3 3 2 2 2" xfId="13152" xr:uid="{00000000-0005-0000-0000-0000E5220000}"/>
    <cellStyle name="Normal 3 3 3" xfId="90" xr:uid="{00000000-0005-0000-0000-0000E6220000}"/>
    <cellStyle name="Normal 3 3 3 2" xfId="298" xr:uid="{00000000-0005-0000-0000-0000E7220000}"/>
    <cellStyle name="Normal 3 3 3 2 2" xfId="524" xr:uid="{00000000-0005-0000-0000-0000E8220000}"/>
    <cellStyle name="Normal 3 3 3 2 2 2" xfId="970" xr:uid="{00000000-0005-0000-0000-0000E9220000}"/>
    <cellStyle name="Normal 3 3 3 2 2 2 2" xfId="1837" xr:uid="{00000000-0005-0000-0000-0000EA220000}"/>
    <cellStyle name="Normal 3 3 3 2 2 2 2 2" xfId="3576" xr:uid="{00000000-0005-0000-0000-0000EB220000}"/>
    <cellStyle name="Normal 3 3 3 2 2 2 2 2 2" xfId="5929" xr:uid="{00000000-0005-0000-0000-0000EC220000}"/>
    <cellStyle name="Normal 3 3 3 2 2 2 2 2 2 2" xfId="13158" xr:uid="{00000000-0005-0000-0000-0000ED220000}"/>
    <cellStyle name="Normal 3 3 3 2 2 2 2 2 3" xfId="10805" xr:uid="{00000000-0005-0000-0000-0000EE220000}"/>
    <cellStyle name="Normal 3 3 3 2 2 2 2 3" xfId="5928" xr:uid="{00000000-0005-0000-0000-0000EF220000}"/>
    <cellStyle name="Normal 3 3 3 2 2 2 2 3 2" xfId="13157" xr:uid="{00000000-0005-0000-0000-0000F0220000}"/>
    <cellStyle name="Normal 3 3 3 2 2 2 2 4" xfId="9067" xr:uid="{00000000-0005-0000-0000-0000F1220000}"/>
    <cellStyle name="Normal 3 3 3 2 2 2 3" xfId="2709" xr:uid="{00000000-0005-0000-0000-0000F2220000}"/>
    <cellStyle name="Normal 3 3 3 2 2 2 3 2" xfId="5930" xr:uid="{00000000-0005-0000-0000-0000F3220000}"/>
    <cellStyle name="Normal 3 3 3 2 2 2 3 2 2" xfId="13159" xr:uid="{00000000-0005-0000-0000-0000F4220000}"/>
    <cellStyle name="Normal 3 3 3 2 2 2 3 3" xfId="9938" xr:uid="{00000000-0005-0000-0000-0000F5220000}"/>
    <cellStyle name="Normal 3 3 3 2 2 2 4" xfId="5927" xr:uid="{00000000-0005-0000-0000-0000F6220000}"/>
    <cellStyle name="Normal 3 3 3 2 2 2 4 2" xfId="13156" xr:uid="{00000000-0005-0000-0000-0000F7220000}"/>
    <cellStyle name="Normal 3 3 3 2 2 2 5" xfId="8200" xr:uid="{00000000-0005-0000-0000-0000F8220000}"/>
    <cellStyle name="Normal 3 3 3 2 2 3" xfId="1406" xr:uid="{00000000-0005-0000-0000-0000F9220000}"/>
    <cellStyle name="Normal 3 3 3 2 2 3 2" xfId="3145" xr:uid="{00000000-0005-0000-0000-0000FA220000}"/>
    <cellStyle name="Normal 3 3 3 2 2 3 2 2" xfId="5932" xr:uid="{00000000-0005-0000-0000-0000FB220000}"/>
    <cellStyle name="Normal 3 3 3 2 2 3 2 2 2" xfId="13161" xr:uid="{00000000-0005-0000-0000-0000FC220000}"/>
    <cellStyle name="Normal 3 3 3 2 2 3 2 3" xfId="10374" xr:uid="{00000000-0005-0000-0000-0000FD220000}"/>
    <cellStyle name="Normal 3 3 3 2 2 3 3" xfId="5931" xr:uid="{00000000-0005-0000-0000-0000FE220000}"/>
    <cellStyle name="Normal 3 3 3 2 2 3 3 2" xfId="13160" xr:uid="{00000000-0005-0000-0000-0000FF220000}"/>
    <cellStyle name="Normal 3 3 3 2 2 3 4" xfId="8636" xr:uid="{00000000-0005-0000-0000-000000230000}"/>
    <cellStyle name="Normal 3 3 3 2 2 4" xfId="2278" xr:uid="{00000000-0005-0000-0000-000001230000}"/>
    <cellStyle name="Normal 3 3 3 2 2 4 2" xfId="5933" xr:uid="{00000000-0005-0000-0000-000002230000}"/>
    <cellStyle name="Normal 3 3 3 2 2 4 2 2" xfId="13162" xr:uid="{00000000-0005-0000-0000-000003230000}"/>
    <cellStyle name="Normal 3 3 3 2 2 4 3" xfId="9507" xr:uid="{00000000-0005-0000-0000-000004230000}"/>
    <cellStyle name="Normal 3 3 3 2 2 5" xfId="5926" xr:uid="{00000000-0005-0000-0000-000005230000}"/>
    <cellStyle name="Normal 3 3 3 2 2 5 2" xfId="13155" xr:uid="{00000000-0005-0000-0000-000006230000}"/>
    <cellStyle name="Normal 3 3 3 2 2 6" xfId="7769" xr:uid="{00000000-0005-0000-0000-000007230000}"/>
    <cellStyle name="Normal 3 3 3 2 3" xfId="746" xr:uid="{00000000-0005-0000-0000-000008230000}"/>
    <cellStyle name="Normal 3 3 3 2 3 2" xfId="1619" xr:uid="{00000000-0005-0000-0000-000009230000}"/>
    <cellStyle name="Normal 3 3 3 2 3 2 2" xfId="3358" xr:uid="{00000000-0005-0000-0000-00000A230000}"/>
    <cellStyle name="Normal 3 3 3 2 3 2 2 2" xfId="5936" xr:uid="{00000000-0005-0000-0000-00000B230000}"/>
    <cellStyle name="Normal 3 3 3 2 3 2 2 2 2" xfId="13165" xr:uid="{00000000-0005-0000-0000-00000C230000}"/>
    <cellStyle name="Normal 3 3 3 2 3 2 2 3" xfId="10587" xr:uid="{00000000-0005-0000-0000-00000D230000}"/>
    <cellStyle name="Normal 3 3 3 2 3 2 3" xfId="5935" xr:uid="{00000000-0005-0000-0000-00000E230000}"/>
    <cellStyle name="Normal 3 3 3 2 3 2 3 2" xfId="13164" xr:uid="{00000000-0005-0000-0000-00000F230000}"/>
    <cellStyle name="Normal 3 3 3 2 3 2 4" xfId="8849" xr:uid="{00000000-0005-0000-0000-000010230000}"/>
    <cellStyle name="Normal 3 3 3 2 3 3" xfId="2491" xr:uid="{00000000-0005-0000-0000-000011230000}"/>
    <cellStyle name="Normal 3 3 3 2 3 3 2" xfId="5937" xr:uid="{00000000-0005-0000-0000-000012230000}"/>
    <cellStyle name="Normal 3 3 3 2 3 3 2 2" xfId="13166" xr:uid="{00000000-0005-0000-0000-000013230000}"/>
    <cellStyle name="Normal 3 3 3 2 3 3 3" xfId="9720" xr:uid="{00000000-0005-0000-0000-000014230000}"/>
    <cellStyle name="Normal 3 3 3 2 3 4" xfId="5934" xr:uid="{00000000-0005-0000-0000-000015230000}"/>
    <cellStyle name="Normal 3 3 3 2 3 4 2" xfId="13163" xr:uid="{00000000-0005-0000-0000-000016230000}"/>
    <cellStyle name="Normal 3 3 3 2 3 5" xfId="7982" xr:uid="{00000000-0005-0000-0000-000017230000}"/>
    <cellStyle name="Normal 3 3 3 2 4" xfId="1188" xr:uid="{00000000-0005-0000-0000-000018230000}"/>
    <cellStyle name="Normal 3 3 3 2 4 2" xfId="2927" xr:uid="{00000000-0005-0000-0000-000019230000}"/>
    <cellStyle name="Normal 3 3 3 2 4 2 2" xfId="5939" xr:uid="{00000000-0005-0000-0000-00001A230000}"/>
    <cellStyle name="Normal 3 3 3 2 4 2 2 2" xfId="13168" xr:uid="{00000000-0005-0000-0000-00001B230000}"/>
    <cellStyle name="Normal 3 3 3 2 4 2 3" xfId="10156" xr:uid="{00000000-0005-0000-0000-00001C230000}"/>
    <cellStyle name="Normal 3 3 3 2 4 3" xfId="5938" xr:uid="{00000000-0005-0000-0000-00001D230000}"/>
    <cellStyle name="Normal 3 3 3 2 4 3 2" xfId="13167" xr:uid="{00000000-0005-0000-0000-00001E230000}"/>
    <cellStyle name="Normal 3 3 3 2 4 4" xfId="8418" xr:uid="{00000000-0005-0000-0000-00001F230000}"/>
    <cellStyle name="Normal 3 3 3 2 5" xfId="2060" xr:uid="{00000000-0005-0000-0000-000020230000}"/>
    <cellStyle name="Normal 3 3 3 2 5 2" xfId="5940" xr:uid="{00000000-0005-0000-0000-000021230000}"/>
    <cellStyle name="Normal 3 3 3 2 5 2 2" xfId="13169" xr:uid="{00000000-0005-0000-0000-000022230000}"/>
    <cellStyle name="Normal 3 3 3 2 5 3" xfId="9289" xr:uid="{00000000-0005-0000-0000-000023230000}"/>
    <cellStyle name="Normal 3 3 3 2 6" xfId="5925" xr:uid="{00000000-0005-0000-0000-000024230000}"/>
    <cellStyle name="Normal 3 3 3 2 6 2" xfId="13154" xr:uid="{00000000-0005-0000-0000-000025230000}"/>
    <cellStyle name="Normal 3 3 3 2 7" xfId="7551" xr:uid="{00000000-0005-0000-0000-000026230000}"/>
    <cellStyle name="Normal 3 3 3 3" xfId="422" xr:uid="{00000000-0005-0000-0000-000027230000}"/>
    <cellStyle name="Normal 3 3 3 3 2" xfId="868" xr:uid="{00000000-0005-0000-0000-000028230000}"/>
    <cellStyle name="Normal 3 3 3 3 2 2" xfId="1735" xr:uid="{00000000-0005-0000-0000-000029230000}"/>
    <cellStyle name="Normal 3 3 3 3 2 2 2" xfId="3474" xr:uid="{00000000-0005-0000-0000-00002A230000}"/>
    <cellStyle name="Normal 3 3 3 3 2 2 2 2" xfId="5944" xr:uid="{00000000-0005-0000-0000-00002B230000}"/>
    <cellStyle name="Normal 3 3 3 3 2 2 2 2 2" xfId="13173" xr:uid="{00000000-0005-0000-0000-00002C230000}"/>
    <cellStyle name="Normal 3 3 3 3 2 2 2 3" xfId="10703" xr:uid="{00000000-0005-0000-0000-00002D230000}"/>
    <cellStyle name="Normal 3 3 3 3 2 2 3" xfId="5943" xr:uid="{00000000-0005-0000-0000-00002E230000}"/>
    <cellStyle name="Normal 3 3 3 3 2 2 3 2" xfId="13172" xr:uid="{00000000-0005-0000-0000-00002F230000}"/>
    <cellStyle name="Normal 3 3 3 3 2 2 4" xfId="8965" xr:uid="{00000000-0005-0000-0000-000030230000}"/>
    <cellStyle name="Normal 3 3 3 3 2 3" xfId="2607" xr:uid="{00000000-0005-0000-0000-000031230000}"/>
    <cellStyle name="Normal 3 3 3 3 2 3 2" xfId="5945" xr:uid="{00000000-0005-0000-0000-000032230000}"/>
    <cellStyle name="Normal 3 3 3 3 2 3 2 2" xfId="13174" xr:uid="{00000000-0005-0000-0000-000033230000}"/>
    <cellStyle name="Normal 3 3 3 3 2 3 3" xfId="9836" xr:uid="{00000000-0005-0000-0000-000034230000}"/>
    <cellStyle name="Normal 3 3 3 3 2 4" xfId="5942" xr:uid="{00000000-0005-0000-0000-000035230000}"/>
    <cellStyle name="Normal 3 3 3 3 2 4 2" xfId="13171" xr:uid="{00000000-0005-0000-0000-000036230000}"/>
    <cellStyle name="Normal 3 3 3 3 2 5" xfId="8098" xr:uid="{00000000-0005-0000-0000-000037230000}"/>
    <cellStyle name="Normal 3 3 3 3 3" xfId="1304" xr:uid="{00000000-0005-0000-0000-000038230000}"/>
    <cellStyle name="Normal 3 3 3 3 3 2" xfId="3043" xr:uid="{00000000-0005-0000-0000-000039230000}"/>
    <cellStyle name="Normal 3 3 3 3 3 2 2" xfId="5947" xr:uid="{00000000-0005-0000-0000-00003A230000}"/>
    <cellStyle name="Normal 3 3 3 3 3 2 2 2" xfId="13176" xr:uid="{00000000-0005-0000-0000-00003B230000}"/>
    <cellStyle name="Normal 3 3 3 3 3 2 3" xfId="10272" xr:uid="{00000000-0005-0000-0000-00003C230000}"/>
    <cellStyle name="Normal 3 3 3 3 3 3" xfId="5946" xr:uid="{00000000-0005-0000-0000-00003D230000}"/>
    <cellStyle name="Normal 3 3 3 3 3 3 2" xfId="13175" xr:uid="{00000000-0005-0000-0000-00003E230000}"/>
    <cellStyle name="Normal 3 3 3 3 3 4" xfId="8534" xr:uid="{00000000-0005-0000-0000-00003F230000}"/>
    <cellStyle name="Normal 3 3 3 3 4" xfId="2176" xr:uid="{00000000-0005-0000-0000-000040230000}"/>
    <cellStyle name="Normal 3 3 3 3 4 2" xfId="5948" xr:uid="{00000000-0005-0000-0000-000041230000}"/>
    <cellStyle name="Normal 3 3 3 3 4 2 2" xfId="13177" xr:uid="{00000000-0005-0000-0000-000042230000}"/>
    <cellStyle name="Normal 3 3 3 3 4 3" xfId="9405" xr:uid="{00000000-0005-0000-0000-000043230000}"/>
    <cellStyle name="Normal 3 3 3 3 5" xfId="5941" xr:uid="{00000000-0005-0000-0000-000044230000}"/>
    <cellStyle name="Normal 3 3 3 3 5 2" xfId="13170" xr:uid="{00000000-0005-0000-0000-000045230000}"/>
    <cellStyle name="Normal 3 3 3 3 6" xfId="7667" xr:uid="{00000000-0005-0000-0000-000046230000}"/>
    <cellStyle name="Normal 3 3 3 4" xfId="641" xr:uid="{00000000-0005-0000-0000-000047230000}"/>
    <cellStyle name="Normal 3 3 3 4 2" xfId="1517" xr:uid="{00000000-0005-0000-0000-000048230000}"/>
    <cellStyle name="Normal 3 3 3 4 2 2" xfId="3256" xr:uid="{00000000-0005-0000-0000-000049230000}"/>
    <cellStyle name="Normal 3 3 3 4 2 2 2" xfId="5951" xr:uid="{00000000-0005-0000-0000-00004A230000}"/>
    <cellStyle name="Normal 3 3 3 4 2 2 2 2" xfId="13180" xr:uid="{00000000-0005-0000-0000-00004B230000}"/>
    <cellStyle name="Normal 3 3 3 4 2 2 3" xfId="10485" xr:uid="{00000000-0005-0000-0000-00004C230000}"/>
    <cellStyle name="Normal 3 3 3 4 2 3" xfId="5950" xr:uid="{00000000-0005-0000-0000-00004D230000}"/>
    <cellStyle name="Normal 3 3 3 4 2 3 2" xfId="13179" xr:uid="{00000000-0005-0000-0000-00004E230000}"/>
    <cellStyle name="Normal 3 3 3 4 2 4" xfId="8747" xr:uid="{00000000-0005-0000-0000-00004F230000}"/>
    <cellStyle name="Normal 3 3 3 4 3" xfId="2389" xr:uid="{00000000-0005-0000-0000-000050230000}"/>
    <cellStyle name="Normal 3 3 3 4 3 2" xfId="5952" xr:uid="{00000000-0005-0000-0000-000051230000}"/>
    <cellStyle name="Normal 3 3 3 4 3 2 2" xfId="13181" xr:uid="{00000000-0005-0000-0000-000052230000}"/>
    <cellStyle name="Normal 3 3 3 4 3 3" xfId="9618" xr:uid="{00000000-0005-0000-0000-000053230000}"/>
    <cellStyle name="Normal 3 3 3 4 4" xfId="5949" xr:uid="{00000000-0005-0000-0000-000054230000}"/>
    <cellStyle name="Normal 3 3 3 4 4 2" xfId="13178" xr:uid="{00000000-0005-0000-0000-000055230000}"/>
    <cellStyle name="Normal 3 3 3 4 5" xfId="7880" xr:uid="{00000000-0005-0000-0000-000056230000}"/>
    <cellStyle name="Normal 3 3 3 5" xfId="1086" xr:uid="{00000000-0005-0000-0000-000057230000}"/>
    <cellStyle name="Normal 3 3 3 5 2" xfId="2825" xr:uid="{00000000-0005-0000-0000-000058230000}"/>
    <cellStyle name="Normal 3 3 3 5 2 2" xfId="5954" xr:uid="{00000000-0005-0000-0000-000059230000}"/>
    <cellStyle name="Normal 3 3 3 5 2 2 2" xfId="13183" xr:uid="{00000000-0005-0000-0000-00005A230000}"/>
    <cellStyle name="Normal 3 3 3 5 2 3" xfId="10054" xr:uid="{00000000-0005-0000-0000-00005B230000}"/>
    <cellStyle name="Normal 3 3 3 5 3" xfId="5953" xr:uid="{00000000-0005-0000-0000-00005C230000}"/>
    <cellStyle name="Normal 3 3 3 5 3 2" xfId="13182" xr:uid="{00000000-0005-0000-0000-00005D230000}"/>
    <cellStyle name="Normal 3 3 3 5 4" xfId="8316" xr:uid="{00000000-0005-0000-0000-00005E230000}"/>
    <cellStyle name="Normal 3 3 3 6" xfId="1958" xr:uid="{00000000-0005-0000-0000-00005F230000}"/>
    <cellStyle name="Normal 3 3 3 6 2" xfId="5955" xr:uid="{00000000-0005-0000-0000-000060230000}"/>
    <cellStyle name="Normal 3 3 3 6 2 2" xfId="13184" xr:uid="{00000000-0005-0000-0000-000061230000}"/>
    <cellStyle name="Normal 3 3 3 6 3" xfId="9187" xr:uid="{00000000-0005-0000-0000-000062230000}"/>
    <cellStyle name="Normal 3 3 3 7" xfId="5924" xr:uid="{00000000-0005-0000-0000-000063230000}"/>
    <cellStyle name="Normal 3 3 3 7 2" xfId="13153" xr:uid="{00000000-0005-0000-0000-000064230000}"/>
    <cellStyle name="Normal 3 3 3 8" xfId="7447" xr:uid="{00000000-0005-0000-0000-000065230000}"/>
    <cellStyle name="Normal 3 3 4" xfId="73" xr:uid="{00000000-0005-0000-0000-000066230000}"/>
    <cellStyle name="Normal 3 3 4 2" xfId="292" xr:uid="{00000000-0005-0000-0000-000067230000}"/>
    <cellStyle name="Normal 3 3 4 2 2" xfId="518" xr:uid="{00000000-0005-0000-0000-000068230000}"/>
    <cellStyle name="Normal 3 3 4 2 2 2" xfId="964" xr:uid="{00000000-0005-0000-0000-000069230000}"/>
    <cellStyle name="Normal 3 3 4 2 2 2 2" xfId="1831" xr:uid="{00000000-0005-0000-0000-00006A230000}"/>
    <cellStyle name="Normal 3 3 4 2 2 2 2 2" xfId="3570" xr:uid="{00000000-0005-0000-0000-00006B230000}"/>
    <cellStyle name="Normal 3 3 4 2 2 2 2 2 2" xfId="5961" xr:uid="{00000000-0005-0000-0000-00006C230000}"/>
    <cellStyle name="Normal 3 3 4 2 2 2 2 2 2 2" xfId="13190" xr:uid="{00000000-0005-0000-0000-00006D230000}"/>
    <cellStyle name="Normal 3 3 4 2 2 2 2 2 3" xfId="10799" xr:uid="{00000000-0005-0000-0000-00006E230000}"/>
    <cellStyle name="Normal 3 3 4 2 2 2 2 3" xfId="5960" xr:uid="{00000000-0005-0000-0000-00006F230000}"/>
    <cellStyle name="Normal 3 3 4 2 2 2 2 3 2" xfId="13189" xr:uid="{00000000-0005-0000-0000-000070230000}"/>
    <cellStyle name="Normal 3 3 4 2 2 2 2 4" xfId="9061" xr:uid="{00000000-0005-0000-0000-000071230000}"/>
    <cellStyle name="Normal 3 3 4 2 2 2 3" xfId="2703" xr:uid="{00000000-0005-0000-0000-000072230000}"/>
    <cellStyle name="Normal 3 3 4 2 2 2 3 2" xfId="5962" xr:uid="{00000000-0005-0000-0000-000073230000}"/>
    <cellStyle name="Normal 3 3 4 2 2 2 3 2 2" xfId="13191" xr:uid="{00000000-0005-0000-0000-000074230000}"/>
    <cellStyle name="Normal 3 3 4 2 2 2 3 3" xfId="9932" xr:uid="{00000000-0005-0000-0000-000075230000}"/>
    <cellStyle name="Normal 3 3 4 2 2 2 4" xfId="5959" xr:uid="{00000000-0005-0000-0000-000076230000}"/>
    <cellStyle name="Normal 3 3 4 2 2 2 4 2" xfId="13188" xr:uid="{00000000-0005-0000-0000-000077230000}"/>
    <cellStyle name="Normal 3 3 4 2 2 2 5" xfId="8194" xr:uid="{00000000-0005-0000-0000-000078230000}"/>
    <cellStyle name="Normal 3 3 4 2 2 3" xfId="1400" xr:uid="{00000000-0005-0000-0000-000079230000}"/>
    <cellStyle name="Normal 3 3 4 2 2 3 2" xfId="3139" xr:uid="{00000000-0005-0000-0000-00007A230000}"/>
    <cellStyle name="Normal 3 3 4 2 2 3 2 2" xfId="5964" xr:uid="{00000000-0005-0000-0000-00007B230000}"/>
    <cellStyle name="Normal 3 3 4 2 2 3 2 2 2" xfId="13193" xr:uid="{00000000-0005-0000-0000-00007C230000}"/>
    <cellStyle name="Normal 3 3 4 2 2 3 2 3" xfId="10368" xr:uid="{00000000-0005-0000-0000-00007D230000}"/>
    <cellStyle name="Normal 3 3 4 2 2 3 3" xfId="5963" xr:uid="{00000000-0005-0000-0000-00007E230000}"/>
    <cellStyle name="Normal 3 3 4 2 2 3 3 2" xfId="13192" xr:uid="{00000000-0005-0000-0000-00007F230000}"/>
    <cellStyle name="Normal 3 3 4 2 2 3 4" xfId="8630" xr:uid="{00000000-0005-0000-0000-000080230000}"/>
    <cellStyle name="Normal 3 3 4 2 2 4" xfId="2272" xr:uid="{00000000-0005-0000-0000-000081230000}"/>
    <cellStyle name="Normal 3 3 4 2 2 4 2" xfId="5965" xr:uid="{00000000-0005-0000-0000-000082230000}"/>
    <cellStyle name="Normal 3 3 4 2 2 4 2 2" xfId="13194" xr:uid="{00000000-0005-0000-0000-000083230000}"/>
    <cellStyle name="Normal 3 3 4 2 2 4 3" xfId="9501" xr:uid="{00000000-0005-0000-0000-000084230000}"/>
    <cellStyle name="Normal 3 3 4 2 2 5" xfId="5958" xr:uid="{00000000-0005-0000-0000-000085230000}"/>
    <cellStyle name="Normal 3 3 4 2 2 5 2" xfId="13187" xr:uid="{00000000-0005-0000-0000-000086230000}"/>
    <cellStyle name="Normal 3 3 4 2 2 6" xfId="7763" xr:uid="{00000000-0005-0000-0000-000087230000}"/>
    <cellStyle name="Normal 3 3 4 2 3" xfId="740" xr:uid="{00000000-0005-0000-0000-000088230000}"/>
    <cellStyle name="Normal 3 3 4 2 3 2" xfId="1613" xr:uid="{00000000-0005-0000-0000-000089230000}"/>
    <cellStyle name="Normal 3 3 4 2 3 2 2" xfId="3352" xr:uid="{00000000-0005-0000-0000-00008A230000}"/>
    <cellStyle name="Normal 3 3 4 2 3 2 2 2" xfId="5968" xr:uid="{00000000-0005-0000-0000-00008B230000}"/>
    <cellStyle name="Normal 3 3 4 2 3 2 2 2 2" xfId="13197" xr:uid="{00000000-0005-0000-0000-00008C230000}"/>
    <cellStyle name="Normal 3 3 4 2 3 2 2 3" xfId="10581" xr:uid="{00000000-0005-0000-0000-00008D230000}"/>
    <cellStyle name="Normal 3 3 4 2 3 2 3" xfId="5967" xr:uid="{00000000-0005-0000-0000-00008E230000}"/>
    <cellStyle name="Normal 3 3 4 2 3 2 3 2" xfId="13196" xr:uid="{00000000-0005-0000-0000-00008F230000}"/>
    <cellStyle name="Normal 3 3 4 2 3 2 4" xfId="8843" xr:uid="{00000000-0005-0000-0000-000090230000}"/>
    <cellStyle name="Normal 3 3 4 2 3 3" xfId="2485" xr:uid="{00000000-0005-0000-0000-000091230000}"/>
    <cellStyle name="Normal 3 3 4 2 3 3 2" xfId="5969" xr:uid="{00000000-0005-0000-0000-000092230000}"/>
    <cellStyle name="Normal 3 3 4 2 3 3 2 2" xfId="13198" xr:uid="{00000000-0005-0000-0000-000093230000}"/>
    <cellStyle name="Normal 3 3 4 2 3 3 3" xfId="9714" xr:uid="{00000000-0005-0000-0000-000094230000}"/>
    <cellStyle name="Normal 3 3 4 2 3 4" xfId="5966" xr:uid="{00000000-0005-0000-0000-000095230000}"/>
    <cellStyle name="Normal 3 3 4 2 3 4 2" xfId="13195" xr:uid="{00000000-0005-0000-0000-000096230000}"/>
    <cellStyle name="Normal 3 3 4 2 3 5" xfId="7976" xr:uid="{00000000-0005-0000-0000-000097230000}"/>
    <cellStyle name="Normal 3 3 4 2 4" xfId="1182" xr:uid="{00000000-0005-0000-0000-000098230000}"/>
    <cellStyle name="Normal 3 3 4 2 4 2" xfId="2921" xr:uid="{00000000-0005-0000-0000-000099230000}"/>
    <cellStyle name="Normal 3 3 4 2 4 2 2" xfId="5971" xr:uid="{00000000-0005-0000-0000-00009A230000}"/>
    <cellStyle name="Normal 3 3 4 2 4 2 2 2" xfId="13200" xr:uid="{00000000-0005-0000-0000-00009B230000}"/>
    <cellStyle name="Normal 3 3 4 2 4 2 3" xfId="10150" xr:uid="{00000000-0005-0000-0000-00009C230000}"/>
    <cellStyle name="Normal 3 3 4 2 4 3" xfId="5970" xr:uid="{00000000-0005-0000-0000-00009D230000}"/>
    <cellStyle name="Normal 3 3 4 2 4 3 2" xfId="13199" xr:uid="{00000000-0005-0000-0000-00009E230000}"/>
    <cellStyle name="Normal 3 3 4 2 4 4" xfId="8412" xr:uid="{00000000-0005-0000-0000-00009F230000}"/>
    <cellStyle name="Normal 3 3 4 2 5" xfId="2054" xr:uid="{00000000-0005-0000-0000-0000A0230000}"/>
    <cellStyle name="Normal 3 3 4 2 5 2" xfId="5972" xr:uid="{00000000-0005-0000-0000-0000A1230000}"/>
    <cellStyle name="Normal 3 3 4 2 5 2 2" xfId="13201" xr:uid="{00000000-0005-0000-0000-0000A2230000}"/>
    <cellStyle name="Normal 3 3 4 2 5 3" xfId="9283" xr:uid="{00000000-0005-0000-0000-0000A3230000}"/>
    <cellStyle name="Normal 3 3 4 2 6" xfId="5957" xr:uid="{00000000-0005-0000-0000-0000A4230000}"/>
    <cellStyle name="Normal 3 3 4 2 6 2" xfId="13186" xr:uid="{00000000-0005-0000-0000-0000A5230000}"/>
    <cellStyle name="Normal 3 3 4 2 7" xfId="7545" xr:uid="{00000000-0005-0000-0000-0000A6230000}"/>
    <cellStyle name="Normal 3 3 4 3" xfId="416" xr:uid="{00000000-0005-0000-0000-0000A7230000}"/>
    <cellStyle name="Normal 3 3 4 3 2" xfId="862" xr:uid="{00000000-0005-0000-0000-0000A8230000}"/>
    <cellStyle name="Normal 3 3 4 3 2 2" xfId="1729" xr:uid="{00000000-0005-0000-0000-0000A9230000}"/>
    <cellStyle name="Normal 3 3 4 3 2 2 2" xfId="3468" xr:uid="{00000000-0005-0000-0000-0000AA230000}"/>
    <cellStyle name="Normal 3 3 4 3 2 2 2 2" xfId="5976" xr:uid="{00000000-0005-0000-0000-0000AB230000}"/>
    <cellStyle name="Normal 3 3 4 3 2 2 2 2 2" xfId="13205" xr:uid="{00000000-0005-0000-0000-0000AC230000}"/>
    <cellStyle name="Normal 3 3 4 3 2 2 2 3" xfId="10697" xr:uid="{00000000-0005-0000-0000-0000AD230000}"/>
    <cellStyle name="Normal 3 3 4 3 2 2 3" xfId="5975" xr:uid="{00000000-0005-0000-0000-0000AE230000}"/>
    <cellStyle name="Normal 3 3 4 3 2 2 3 2" xfId="13204" xr:uid="{00000000-0005-0000-0000-0000AF230000}"/>
    <cellStyle name="Normal 3 3 4 3 2 2 4" xfId="8959" xr:uid="{00000000-0005-0000-0000-0000B0230000}"/>
    <cellStyle name="Normal 3 3 4 3 2 3" xfId="2601" xr:uid="{00000000-0005-0000-0000-0000B1230000}"/>
    <cellStyle name="Normal 3 3 4 3 2 3 2" xfId="5977" xr:uid="{00000000-0005-0000-0000-0000B2230000}"/>
    <cellStyle name="Normal 3 3 4 3 2 3 2 2" xfId="13206" xr:uid="{00000000-0005-0000-0000-0000B3230000}"/>
    <cellStyle name="Normal 3 3 4 3 2 3 3" xfId="9830" xr:uid="{00000000-0005-0000-0000-0000B4230000}"/>
    <cellStyle name="Normal 3 3 4 3 2 4" xfId="5974" xr:uid="{00000000-0005-0000-0000-0000B5230000}"/>
    <cellStyle name="Normal 3 3 4 3 2 4 2" xfId="13203" xr:uid="{00000000-0005-0000-0000-0000B6230000}"/>
    <cellStyle name="Normal 3 3 4 3 2 5" xfId="8092" xr:uid="{00000000-0005-0000-0000-0000B7230000}"/>
    <cellStyle name="Normal 3 3 4 3 3" xfId="1298" xr:uid="{00000000-0005-0000-0000-0000B8230000}"/>
    <cellStyle name="Normal 3 3 4 3 3 2" xfId="3037" xr:uid="{00000000-0005-0000-0000-0000B9230000}"/>
    <cellStyle name="Normal 3 3 4 3 3 2 2" xfId="5979" xr:uid="{00000000-0005-0000-0000-0000BA230000}"/>
    <cellStyle name="Normal 3 3 4 3 3 2 2 2" xfId="13208" xr:uid="{00000000-0005-0000-0000-0000BB230000}"/>
    <cellStyle name="Normal 3 3 4 3 3 2 3" xfId="10266" xr:uid="{00000000-0005-0000-0000-0000BC230000}"/>
    <cellStyle name="Normal 3 3 4 3 3 3" xfId="5978" xr:uid="{00000000-0005-0000-0000-0000BD230000}"/>
    <cellStyle name="Normal 3 3 4 3 3 3 2" xfId="13207" xr:uid="{00000000-0005-0000-0000-0000BE230000}"/>
    <cellStyle name="Normal 3 3 4 3 3 4" xfId="8528" xr:uid="{00000000-0005-0000-0000-0000BF230000}"/>
    <cellStyle name="Normal 3 3 4 3 4" xfId="2170" xr:uid="{00000000-0005-0000-0000-0000C0230000}"/>
    <cellStyle name="Normal 3 3 4 3 4 2" xfId="5980" xr:uid="{00000000-0005-0000-0000-0000C1230000}"/>
    <cellStyle name="Normal 3 3 4 3 4 2 2" xfId="13209" xr:uid="{00000000-0005-0000-0000-0000C2230000}"/>
    <cellStyle name="Normal 3 3 4 3 4 3" xfId="9399" xr:uid="{00000000-0005-0000-0000-0000C3230000}"/>
    <cellStyle name="Normal 3 3 4 3 5" xfId="5973" xr:uid="{00000000-0005-0000-0000-0000C4230000}"/>
    <cellStyle name="Normal 3 3 4 3 5 2" xfId="13202" xr:uid="{00000000-0005-0000-0000-0000C5230000}"/>
    <cellStyle name="Normal 3 3 4 3 6" xfId="7661" xr:uid="{00000000-0005-0000-0000-0000C6230000}"/>
    <cellStyle name="Normal 3 3 4 4" xfId="635" xr:uid="{00000000-0005-0000-0000-0000C7230000}"/>
    <cellStyle name="Normal 3 3 4 4 2" xfId="1511" xr:uid="{00000000-0005-0000-0000-0000C8230000}"/>
    <cellStyle name="Normal 3 3 4 4 2 2" xfId="3250" xr:uid="{00000000-0005-0000-0000-0000C9230000}"/>
    <cellStyle name="Normal 3 3 4 4 2 2 2" xfId="5983" xr:uid="{00000000-0005-0000-0000-0000CA230000}"/>
    <cellStyle name="Normal 3 3 4 4 2 2 2 2" xfId="13212" xr:uid="{00000000-0005-0000-0000-0000CB230000}"/>
    <cellStyle name="Normal 3 3 4 4 2 2 3" xfId="10479" xr:uid="{00000000-0005-0000-0000-0000CC230000}"/>
    <cellStyle name="Normal 3 3 4 4 2 3" xfId="5982" xr:uid="{00000000-0005-0000-0000-0000CD230000}"/>
    <cellStyle name="Normal 3 3 4 4 2 3 2" xfId="13211" xr:uid="{00000000-0005-0000-0000-0000CE230000}"/>
    <cellStyle name="Normal 3 3 4 4 2 4" xfId="8741" xr:uid="{00000000-0005-0000-0000-0000CF230000}"/>
    <cellStyle name="Normal 3 3 4 4 3" xfId="2383" xr:uid="{00000000-0005-0000-0000-0000D0230000}"/>
    <cellStyle name="Normal 3 3 4 4 3 2" xfId="5984" xr:uid="{00000000-0005-0000-0000-0000D1230000}"/>
    <cellStyle name="Normal 3 3 4 4 3 2 2" xfId="13213" xr:uid="{00000000-0005-0000-0000-0000D2230000}"/>
    <cellStyle name="Normal 3 3 4 4 3 3" xfId="9612" xr:uid="{00000000-0005-0000-0000-0000D3230000}"/>
    <cellStyle name="Normal 3 3 4 4 4" xfId="5981" xr:uid="{00000000-0005-0000-0000-0000D4230000}"/>
    <cellStyle name="Normal 3 3 4 4 4 2" xfId="13210" xr:uid="{00000000-0005-0000-0000-0000D5230000}"/>
    <cellStyle name="Normal 3 3 4 4 5" xfId="7874" xr:uid="{00000000-0005-0000-0000-0000D6230000}"/>
    <cellStyle name="Normal 3 3 4 5" xfId="1080" xr:uid="{00000000-0005-0000-0000-0000D7230000}"/>
    <cellStyle name="Normal 3 3 4 5 2" xfId="2819" xr:uid="{00000000-0005-0000-0000-0000D8230000}"/>
    <cellStyle name="Normal 3 3 4 5 2 2" xfId="5986" xr:uid="{00000000-0005-0000-0000-0000D9230000}"/>
    <cellStyle name="Normal 3 3 4 5 2 2 2" xfId="13215" xr:uid="{00000000-0005-0000-0000-0000DA230000}"/>
    <cellStyle name="Normal 3 3 4 5 2 3" xfId="10048" xr:uid="{00000000-0005-0000-0000-0000DB230000}"/>
    <cellStyle name="Normal 3 3 4 5 3" xfId="5985" xr:uid="{00000000-0005-0000-0000-0000DC230000}"/>
    <cellStyle name="Normal 3 3 4 5 3 2" xfId="13214" xr:uid="{00000000-0005-0000-0000-0000DD230000}"/>
    <cellStyle name="Normal 3 3 4 5 4" xfId="8310" xr:uid="{00000000-0005-0000-0000-0000DE230000}"/>
    <cellStyle name="Normal 3 3 4 6" xfId="1952" xr:uid="{00000000-0005-0000-0000-0000DF230000}"/>
    <cellStyle name="Normal 3 3 4 6 2" xfId="5987" xr:uid="{00000000-0005-0000-0000-0000E0230000}"/>
    <cellStyle name="Normal 3 3 4 6 2 2" xfId="13216" xr:uid="{00000000-0005-0000-0000-0000E1230000}"/>
    <cellStyle name="Normal 3 3 4 6 3" xfId="9181" xr:uid="{00000000-0005-0000-0000-0000E2230000}"/>
    <cellStyle name="Normal 3 3 4 7" xfId="5956" xr:uid="{00000000-0005-0000-0000-0000E3230000}"/>
    <cellStyle name="Normal 3 3 4 7 2" xfId="13185" xr:uid="{00000000-0005-0000-0000-0000E4230000}"/>
    <cellStyle name="Normal 3 3 4 8" xfId="7441" xr:uid="{00000000-0005-0000-0000-0000E5230000}"/>
    <cellStyle name="Normal 3 3 5" xfId="265" xr:uid="{00000000-0005-0000-0000-0000E6230000}"/>
    <cellStyle name="Normal 3 3 5 2" xfId="491" xr:uid="{00000000-0005-0000-0000-0000E7230000}"/>
    <cellStyle name="Normal 3 3 5 2 2" xfId="937" xr:uid="{00000000-0005-0000-0000-0000E8230000}"/>
    <cellStyle name="Normal 3 3 5 2 2 2" xfId="1804" xr:uid="{00000000-0005-0000-0000-0000E9230000}"/>
    <cellStyle name="Normal 3 3 5 2 2 2 2" xfId="3543" xr:uid="{00000000-0005-0000-0000-0000EA230000}"/>
    <cellStyle name="Normal 3 3 5 2 2 2 2 2" xfId="5992" xr:uid="{00000000-0005-0000-0000-0000EB230000}"/>
    <cellStyle name="Normal 3 3 5 2 2 2 2 2 2" xfId="13221" xr:uid="{00000000-0005-0000-0000-0000EC230000}"/>
    <cellStyle name="Normal 3 3 5 2 2 2 2 3" xfId="10772" xr:uid="{00000000-0005-0000-0000-0000ED230000}"/>
    <cellStyle name="Normal 3 3 5 2 2 2 3" xfId="5991" xr:uid="{00000000-0005-0000-0000-0000EE230000}"/>
    <cellStyle name="Normal 3 3 5 2 2 2 3 2" xfId="13220" xr:uid="{00000000-0005-0000-0000-0000EF230000}"/>
    <cellStyle name="Normal 3 3 5 2 2 2 4" xfId="9034" xr:uid="{00000000-0005-0000-0000-0000F0230000}"/>
    <cellStyle name="Normal 3 3 5 2 2 3" xfId="2676" xr:uid="{00000000-0005-0000-0000-0000F1230000}"/>
    <cellStyle name="Normal 3 3 5 2 2 3 2" xfId="5993" xr:uid="{00000000-0005-0000-0000-0000F2230000}"/>
    <cellStyle name="Normal 3 3 5 2 2 3 2 2" xfId="13222" xr:uid="{00000000-0005-0000-0000-0000F3230000}"/>
    <cellStyle name="Normal 3 3 5 2 2 3 3" xfId="9905" xr:uid="{00000000-0005-0000-0000-0000F4230000}"/>
    <cellStyle name="Normal 3 3 5 2 2 4" xfId="5990" xr:uid="{00000000-0005-0000-0000-0000F5230000}"/>
    <cellStyle name="Normal 3 3 5 2 2 4 2" xfId="13219" xr:uid="{00000000-0005-0000-0000-0000F6230000}"/>
    <cellStyle name="Normal 3 3 5 2 2 5" xfId="8167" xr:uid="{00000000-0005-0000-0000-0000F7230000}"/>
    <cellStyle name="Normal 3 3 5 2 3" xfId="1373" xr:uid="{00000000-0005-0000-0000-0000F8230000}"/>
    <cellStyle name="Normal 3 3 5 2 3 2" xfId="3112" xr:uid="{00000000-0005-0000-0000-0000F9230000}"/>
    <cellStyle name="Normal 3 3 5 2 3 2 2" xfId="5995" xr:uid="{00000000-0005-0000-0000-0000FA230000}"/>
    <cellStyle name="Normal 3 3 5 2 3 2 2 2" xfId="13224" xr:uid="{00000000-0005-0000-0000-0000FB230000}"/>
    <cellStyle name="Normal 3 3 5 2 3 2 3" xfId="10341" xr:uid="{00000000-0005-0000-0000-0000FC230000}"/>
    <cellStyle name="Normal 3 3 5 2 3 3" xfId="5994" xr:uid="{00000000-0005-0000-0000-0000FD230000}"/>
    <cellStyle name="Normal 3 3 5 2 3 3 2" xfId="13223" xr:uid="{00000000-0005-0000-0000-0000FE230000}"/>
    <cellStyle name="Normal 3 3 5 2 3 4" xfId="8603" xr:uid="{00000000-0005-0000-0000-0000FF230000}"/>
    <cellStyle name="Normal 3 3 5 2 4" xfId="2245" xr:uid="{00000000-0005-0000-0000-000000240000}"/>
    <cellStyle name="Normal 3 3 5 2 4 2" xfId="5996" xr:uid="{00000000-0005-0000-0000-000001240000}"/>
    <cellStyle name="Normal 3 3 5 2 4 2 2" xfId="13225" xr:uid="{00000000-0005-0000-0000-000002240000}"/>
    <cellStyle name="Normal 3 3 5 2 4 3" xfId="9474" xr:uid="{00000000-0005-0000-0000-000003240000}"/>
    <cellStyle name="Normal 3 3 5 2 5" xfId="5989" xr:uid="{00000000-0005-0000-0000-000004240000}"/>
    <cellStyle name="Normal 3 3 5 2 5 2" xfId="13218" xr:uid="{00000000-0005-0000-0000-000005240000}"/>
    <cellStyle name="Normal 3 3 5 2 6" xfId="7736" xr:uid="{00000000-0005-0000-0000-000006240000}"/>
    <cellStyle name="Normal 3 3 5 3" xfId="713" xr:uid="{00000000-0005-0000-0000-000007240000}"/>
    <cellStyle name="Normal 3 3 5 3 2" xfId="1586" xr:uid="{00000000-0005-0000-0000-000008240000}"/>
    <cellStyle name="Normal 3 3 5 3 2 2" xfId="3325" xr:uid="{00000000-0005-0000-0000-000009240000}"/>
    <cellStyle name="Normal 3 3 5 3 2 2 2" xfId="5999" xr:uid="{00000000-0005-0000-0000-00000A240000}"/>
    <cellStyle name="Normal 3 3 5 3 2 2 2 2" xfId="13228" xr:uid="{00000000-0005-0000-0000-00000B240000}"/>
    <cellStyle name="Normal 3 3 5 3 2 2 3" xfId="10554" xr:uid="{00000000-0005-0000-0000-00000C240000}"/>
    <cellStyle name="Normal 3 3 5 3 2 3" xfId="5998" xr:uid="{00000000-0005-0000-0000-00000D240000}"/>
    <cellStyle name="Normal 3 3 5 3 2 3 2" xfId="13227" xr:uid="{00000000-0005-0000-0000-00000E240000}"/>
    <cellStyle name="Normal 3 3 5 3 2 4" xfId="8816" xr:uid="{00000000-0005-0000-0000-00000F240000}"/>
    <cellStyle name="Normal 3 3 5 3 3" xfId="2458" xr:uid="{00000000-0005-0000-0000-000010240000}"/>
    <cellStyle name="Normal 3 3 5 3 3 2" xfId="6000" xr:uid="{00000000-0005-0000-0000-000011240000}"/>
    <cellStyle name="Normal 3 3 5 3 3 2 2" xfId="13229" xr:uid="{00000000-0005-0000-0000-000012240000}"/>
    <cellStyle name="Normal 3 3 5 3 3 3" xfId="9687" xr:uid="{00000000-0005-0000-0000-000013240000}"/>
    <cellStyle name="Normal 3 3 5 3 4" xfId="5997" xr:uid="{00000000-0005-0000-0000-000014240000}"/>
    <cellStyle name="Normal 3 3 5 3 4 2" xfId="13226" xr:uid="{00000000-0005-0000-0000-000015240000}"/>
    <cellStyle name="Normal 3 3 5 3 5" xfId="7949" xr:uid="{00000000-0005-0000-0000-000016240000}"/>
    <cellStyle name="Normal 3 3 5 4" xfId="1155" xr:uid="{00000000-0005-0000-0000-000017240000}"/>
    <cellStyle name="Normal 3 3 5 4 2" xfId="2894" xr:uid="{00000000-0005-0000-0000-000018240000}"/>
    <cellStyle name="Normal 3 3 5 4 2 2" xfId="6002" xr:uid="{00000000-0005-0000-0000-000019240000}"/>
    <cellStyle name="Normal 3 3 5 4 2 2 2" xfId="13231" xr:uid="{00000000-0005-0000-0000-00001A240000}"/>
    <cellStyle name="Normal 3 3 5 4 2 3" xfId="10123" xr:uid="{00000000-0005-0000-0000-00001B240000}"/>
    <cellStyle name="Normal 3 3 5 4 3" xfId="6001" xr:uid="{00000000-0005-0000-0000-00001C240000}"/>
    <cellStyle name="Normal 3 3 5 4 3 2" xfId="13230" xr:uid="{00000000-0005-0000-0000-00001D240000}"/>
    <cellStyle name="Normal 3 3 5 4 4" xfId="8385" xr:uid="{00000000-0005-0000-0000-00001E240000}"/>
    <cellStyle name="Normal 3 3 5 5" xfId="2027" xr:uid="{00000000-0005-0000-0000-00001F240000}"/>
    <cellStyle name="Normal 3 3 5 5 2" xfId="6003" xr:uid="{00000000-0005-0000-0000-000020240000}"/>
    <cellStyle name="Normal 3 3 5 5 2 2" xfId="13232" xr:uid="{00000000-0005-0000-0000-000021240000}"/>
    <cellStyle name="Normal 3 3 5 5 3" xfId="9256" xr:uid="{00000000-0005-0000-0000-000022240000}"/>
    <cellStyle name="Normal 3 3 5 6" xfId="5988" xr:uid="{00000000-0005-0000-0000-000023240000}"/>
    <cellStyle name="Normal 3 3 5 6 2" xfId="13217" xr:uid="{00000000-0005-0000-0000-000024240000}"/>
    <cellStyle name="Normal 3 3 5 7" xfId="7518" xr:uid="{00000000-0005-0000-0000-000025240000}"/>
    <cellStyle name="Normal 3 3 6" xfId="389" xr:uid="{00000000-0005-0000-0000-000026240000}"/>
    <cellStyle name="Normal 3 3 6 2" xfId="835" xr:uid="{00000000-0005-0000-0000-000027240000}"/>
    <cellStyle name="Normal 3 3 6 2 2" xfId="1702" xr:uid="{00000000-0005-0000-0000-000028240000}"/>
    <cellStyle name="Normal 3 3 6 2 2 2" xfId="3441" xr:uid="{00000000-0005-0000-0000-000029240000}"/>
    <cellStyle name="Normal 3 3 6 2 2 2 2" xfId="6007" xr:uid="{00000000-0005-0000-0000-00002A240000}"/>
    <cellStyle name="Normal 3 3 6 2 2 2 2 2" xfId="13236" xr:uid="{00000000-0005-0000-0000-00002B240000}"/>
    <cellStyle name="Normal 3 3 6 2 2 2 3" xfId="10670" xr:uid="{00000000-0005-0000-0000-00002C240000}"/>
    <cellStyle name="Normal 3 3 6 2 2 3" xfId="6006" xr:uid="{00000000-0005-0000-0000-00002D240000}"/>
    <cellStyle name="Normal 3 3 6 2 2 3 2" xfId="13235" xr:uid="{00000000-0005-0000-0000-00002E240000}"/>
    <cellStyle name="Normal 3 3 6 2 2 4" xfId="8932" xr:uid="{00000000-0005-0000-0000-00002F240000}"/>
    <cellStyle name="Normal 3 3 6 2 3" xfId="2574" xr:uid="{00000000-0005-0000-0000-000030240000}"/>
    <cellStyle name="Normal 3 3 6 2 3 2" xfId="6008" xr:uid="{00000000-0005-0000-0000-000031240000}"/>
    <cellStyle name="Normal 3 3 6 2 3 2 2" xfId="13237" xr:uid="{00000000-0005-0000-0000-000032240000}"/>
    <cellStyle name="Normal 3 3 6 2 3 3" xfId="9803" xr:uid="{00000000-0005-0000-0000-000033240000}"/>
    <cellStyle name="Normal 3 3 6 2 4" xfId="6005" xr:uid="{00000000-0005-0000-0000-000034240000}"/>
    <cellStyle name="Normal 3 3 6 2 4 2" xfId="13234" xr:uid="{00000000-0005-0000-0000-000035240000}"/>
    <cellStyle name="Normal 3 3 6 2 5" xfId="8065" xr:uid="{00000000-0005-0000-0000-000036240000}"/>
    <cellStyle name="Normal 3 3 6 3" xfId="1271" xr:uid="{00000000-0005-0000-0000-000037240000}"/>
    <cellStyle name="Normal 3 3 6 3 2" xfId="3010" xr:uid="{00000000-0005-0000-0000-000038240000}"/>
    <cellStyle name="Normal 3 3 6 3 2 2" xfId="6010" xr:uid="{00000000-0005-0000-0000-000039240000}"/>
    <cellStyle name="Normal 3 3 6 3 2 2 2" xfId="13239" xr:uid="{00000000-0005-0000-0000-00003A240000}"/>
    <cellStyle name="Normal 3 3 6 3 2 3" xfId="10239" xr:uid="{00000000-0005-0000-0000-00003B240000}"/>
    <cellStyle name="Normal 3 3 6 3 3" xfId="6009" xr:uid="{00000000-0005-0000-0000-00003C240000}"/>
    <cellStyle name="Normal 3 3 6 3 3 2" xfId="13238" xr:uid="{00000000-0005-0000-0000-00003D240000}"/>
    <cellStyle name="Normal 3 3 6 3 4" xfId="8501" xr:uid="{00000000-0005-0000-0000-00003E240000}"/>
    <cellStyle name="Normal 3 3 6 4" xfId="2143" xr:uid="{00000000-0005-0000-0000-00003F240000}"/>
    <cellStyle name="Normal 3 3 6 4 2" xfId="6011" xr:uid="{00000000-0005-0000-0000-000040240000}"/>
    <cellStyle name="Normal 3 3 6 4 2 2" xfId="13240" xr:uid="{00000000-0005-0000-0000-000041240000}"/>
    <cellStyle name="Normal 3 3 6 4 3" xfId="9372" xr:uid="{00000000-0005-0000-0000-000042240000}"/>
    <cellStyle name="Normal 3 3 6 5" xfId="6004" xr:uid="{00000000-0005-0000-0000-000043240000}"/>
    <cellStyle name="Normal 3 3 6 5 2" xfId="13233" xr:uid="{00000000-0005-0000-0000-000044240000}"/>
    <cellStyle name="Normal 3 3 6 6" xfId="7634" xr:uid="{00000000-0005-0000-0000-000045240000}"/>
    <cellStyle name="Normal 3 3 7" xfId="606" xr:uid="{00000000-0005-0000-0000-000046240000}"/>
    <cellStyle name="Normal 3 3 7 2" xfId="1484" xr:uid="{00000000-0005-0000-0000-000047240000}"/>
    <cellStyle name="Normal 3 3 7 2 2" xfId="3223" xr:uid="{00000000-0005-0000-0000-000048240000}"/>
    <cellStyle name="Normal 3 3 7 2 2 2" xfId="6014" xr:uid="{00000000-0005-0000-0000-000049240000}"/>
    <cellStyle name="Normal 3 3 7 2 2 2 2" xfId="13243" xr:uid="{00000000-0005-0000-0000-00004A240000}"/>
    <cellStyle name="Normal 3 3 7 2 2 3" xfId="10452" xr:uid="{00000000-0005-0000-0000-00004B240000}"/>
    <cellStyle name="Normal 3 3 7 2 3" xfId="6013" xr:uid="{00000000-0005-0000-0000-00004C240000}"/>
    <cellStyle name="Normal 3 3 7 2 3 2" xfId="13242" xr:uid="{00000000-0005-0000-0000-00004D240000}"/>
    <cellStyle name="Normal 3 3 7 2 4" xfId="8714" xr:uid="{00000000-0005-0000-0000-00004E240000}"/>
    <cellStyle name="Normal 3 3 7 3" xfId="2356" xr:uid="{00000000-0005-0000-0000-00004F240000}"/>
    <cellStyle name="Normal 3 3 7 3 2" xfId="6015" xr:uid="{00000000-0005-0000-0000-000050240000}"/>
    <cellStyle name="Normal 3 3 7 3 2 2" xfId="13244" xr:uid="{00000000-0005-0000-0000-000051240000}"/>
    <cellStyle name="Normal 3 3 7 3 3" xfId="9585" xr:uid="{00000000-0005-0000-0000-000052240000}"/>
    <cellStyle name="Normal 3 3 7 4" xfId="6012" xr:uid="{00000000-0005-0000-0000-000053240000}"/>
    <cellStyle name="Normal 3 3 7 4 2" xfId="13241" xr:uid="{00000000-0005-0000-0000-000054240000}"/>
    <cellStyle name="Normal 3 3 7 5" xfId="7847" xr:uid="{00000000-0005-0000-0000-000055240000}"/>
    <cellStyle name="Normal 3 3 8" xfId="1053" xr:uid="{00000000-0005-0000-0000-000056240000}"/>
    <cellStyle name="Normal 3 3 8 2" xfId="2792" xr:uid="{00000000-0005-0000-0000-000057240000}"/>
    <cellStyle name="Normal 3 3 8 2 2" xfId="6017" xr:uid="{00000000-0005-0000-0000-000058240000}"/>
    <cellStyle name="Normal 3 3 8 2 2 2" xfId="13246" xr:uid="{00000000-0005-0000-0000-000059240000}"/>
    <cellStyle name="Normal 3 3 8 2 3" xfId="10021" xr:uid="{00000000-0005-0000-0000-00005A240000}"/>
    <cellStyle name="Normal 3 3 8 3" xfId="6016" xr:uid="{00000000-0005-0000-0000-00005B240000}"/>
    <cellStyle name="Normal 3 3 8 3 2" xfId="13245" xr:uid="{00000000-0005-0000-0000-00005C240000}"/>
    <cellStyle name="Normal 3 3 8 4" xfId="8283" xr:uid="{00000000-0005-0000-0000-00005D240000}"/>
    <cellStyle name="Normal 3 3 9" xfId="1925" xr:uid="{00000000-0005-0000-0000-00005E240000}"/>
    <cellStyle name="Normal 3 3 9 2" xfId="6018" xr:uid="{00000000-0005-0000-0000-00005F240000}"/>
    <cellStyle name="Normal 3 3 9 2 2" xfId="13247" xr:uid="{00000000-0005-0000-0000-000060240000}"/>
    <cellStyle name="Normal 3 3 9 3" xfId="9154" xr:uid="{00000000-0005-0000-0000-000061240000}"/>
    <cellStyle name="Normal 3 4" xfId="17" xr:uid="{00000000-0005-0000-0000-000062240000}"/>
    <cellStyle name="Normal 3 4 10" xfId="7415" xr:uid="{00000000-0005-0000-0000-000063240000}"/>
    <cellStyle name="Normal 3 4 2" xfId="91" xr:uid="{00000000-0005-0000-0000-000064240000}"/>
    <cellStyle name="Normal 3 4 2 2" xfId="299" xr:uid="{00000000-0005-0000-0000-000065240000}"/>
    <cellStyle name="Normal 3 4 2 2 2" xfId="525" xr:uid="{00000000-0005-0000-0000-000066240000}"/>
    <cellStyle name="Normal 3 4 2 2 2 2" xfId="971" xr:uid="{00000000-0005-0000-0000-000067240000}"/>
    <cellStyle name="Normal 3 4 2 2 2 2 2" xfId="1838" xr:uid="{00000000-0005-0000-0000-000068240000}"/>
    <cellStyle name="Normal 3 4 2 2 2 2 2 2" xfId="3577" xr:uid="{00000000-0005-0000-0000-000069240000}"/>
    <cellStyle name="Normal 3 4 2 2 2 2 2 2 2" xfId="6025" xr:uid="{00000000-0005-0000-0000-00006A240000}"/>
    <cellStyle name="Normal 3 4 2 2 2 2 2 2 2 2" xfId="13254" xr:uid="{00000000-0005-0000-0000-00006B240000}"/>
    <cellStyle name="Normal 3 4 2 2 2 2 2 2 3" xfId="10806" xr:uid="{00000000-0005-0000-0000-00006C240000}"/>
    <cellStyle name="Normal 3 4 2 2 2 2 2 3" xfId="6024" xr:uid="{00000000-0005-0000-0000-00006D240000}"/>
    <cellStyle name="Normal 3 4 2 2 2 2 2 3 2" xfId="13253" xr:uid="{00000000-0005-0000-0000-00006E240000}"/>
    <cellStyle name="Normal 3 4 2 2 2 2 2 4" xfId="9068" xr:uid="{00000000-0005-0000-0000-00006F240000}"/>
    <cellStyle name="Normal 3 4 2 2 2 2 3" xfId="2710" xr:uid="{00000000-0005-0000-0000-000070240000}"/>
    <cellStyle name="Normal 3 4 2 2 2 2 3 2" xfId="6026" xr:uid="{00000000-0005-0000-0000-000071240000}"/>
    <cellStyle name="Normal 3 4 2 2 2 2 3 2 2" xfId="13255" xr:uid="{00000000-0005-0000-0000-000072240000}"/>
    <cellStyle name="Normal 3 4 2 2 2 2 3 3" xfId="9939" xr:uid="{00000000-0005-0000-0000-000073240000}"/>
    <cellStyle name="Normal 3 4 2 2 2 2 4" xfId="6023" xr:uid="{00000000-0005-0000-0000-000074240000}"/>
    <cellStyle name="Normal 3 4 2 2 2 2 4 2" xfId="13252" xr:uid="{00000000-0005-0000-0000-000075240000}"/>
    <cellStyle name="Normal 3 4 2 2 2 2 5" xfId="8201" xr:uid="{00000000-0005-0000-0000-000076240000}"/>
    <cellStyle name="Normal 3 4 2 2 2 3" xfId="1407" xr:uid="{00000000-0005-0000-0000-000077240000}"/>
    <cellStyle name="Normal 3 4 2 2 2 3 2" xfId="3146" xr:uid="{00000000-0005-0000-0000-000078240000}"/>
    <cellStyle name="Normal 3 4 2 2 2 3 2 2" xfId="6028" xr:uid="{00000000-0005-0000-0000-000079240000}"/>
    <cellStyle name="Normal 3 4 2 2 2 3 2 2 2" xfId="13257" xr:uid="{00000000-0005-0000-0000-00007A240000}"/>
    <cellStyle name="Normal 3 4 2 2 2 3 2 3" xfId="10375" xr:uid="{00000000-0005-0000-0000-00007B240000}"/>
    <cellStyle name="Normal 3 4 2 2 2 3 3" xfId="6027" xr:uid="{00000000-0005-0000-0000-00007C240000}"/>
    <cellStyle name="Normal 3 4 2 2 2 3 3 2" xfId="13256" xr:uid="{00000000-0005-0000-0000-00007D240000}"/>
    <cellStyle name="Normal 3 4 2 2 2 3 4" xfId="8637" xr:uid="{00000000-0005-0000-0000-00007E240000}"/>
    <cellStyle name="Normal 3 4 2 2 2 4" xfId="2279" xr:uid="{00000000-0005-0000-0000-00007F240000}"/>
    <cellStyle name="Normal 3 4 2 2 2 4 2" xfId="6029" xr:uid="{00000000-0005-0000-0000-000080240000}"/>
    <cellStyle name="Normal 3 4 2 2 2 4 2 2" xfId="13258" xr:uid="{00000000-0005-0000-0000-000081240000}"/>
    <cellStyle name="Normal 3 4 2 2 2 4 3" xfId="9508" xr:uid="{00000000-0005-0000-0000-000082240000}"/>
    <cellStyle name="Normal 3 4 2 2 2 5" xfId="6022" xr:uid="{00000000-0005-0000-0000-000083240000}"/>
    <cellStyle name="Normal 3 4 2 2 2 5 2" xfId="13251" xr:uid="{00000000-0005-0000-0000-000084240000}"/>
    <cellStyle name="Normal 3 4 2 2 2 6" xfId="7770" xr:uid="{00000000-0005-0000-0000-000085240000}"/>
    <cellStyle name="Normal 3 4 2 2 3" xfId="747" xr:uid="{00000000-0005-0000-0000-000086240000}"/>
    <cellStyle name="Normal 3 4 2 2 3 2" xfId="1620" xr:uid="{00000000-0005-0000-0000-000087240000}"/>
    <cellStyle name="Normal 3 4 2 2 3 2 2" xfId="3359" xr:uid="{00000000-0005-0000-0000-000088240000}"/>
    <cellStyle name="Normal 3 4 2 2 3 2 2 2" xfId="6032" xr:uid="{00000000-0005-0000-0000-000089240000}"/>
    <cellStyle name="Normal 3 4 2 2 3 2 2 2 2" xfId="13261" xr:uid="{00000000-0005-0000-0000-00008A240000}"/>
    <cellStyle name="Normal 3 4 2 2 3 2 2 3" xfId="10588" xr:uid="{00000000-0005-0000-0000-00008B240000}"/>
    <cellStyle name="Normal 3 4 2 2 3 2 3" xfId="6031" xr:uid="{00000000-0005-0000-0000-00008C240000}"/>
    <cellStyle name="Normal 3 4 2 2 3 2 3 2" xfId="13260" xr:uid="{00000000-0005-0000-0000-00008D240000}"/>
    <cellStyle name="Normal 3 4 2 2 3 2 4" xfId="8850" xr:uid="{00000000-0005-0000-0000-00008E240000}"/>
    <cellStyle name="Normal 3 4 2 2 3 3" xfId="2492" xr:uid="{00000000-0005-0000-0000-00008F240000}"/>
    <cellStyle name="Normal 3 4 2 2 3 3 2" xfId="6033" xr:uid="{00000000-0005-0000-0000-000090240000}"/>
    <cellStyle name="Normal 3 4 2 2 3 3 2 2" xfId="13262" xr:uid="{00000000-0005-0000-0000-000091240000}"/>
    <cellStyle name="Normal 3 4 2 2 3 3 3" xfId="9721" xr:uid="{00000000-0005-0000-0000-000092240000}"/>
    <cellStyle name="Normal 3 4 2 2 3 4" xfId="6030" xr:uid="{00000000-0005-0000-0000-000093240000}"/>
    <cellStyle name="Normal 3 4 2 2 3 4 2" xfId="13259" xr:uid="{00000000-0005-0000-0000-000094240000}"/>
    <cellStyle name="Normal 3 4 2 2 3 5" xfId="7983" xr:uid="{00000000-0005-0000-0000-000095240000}"/>
    <cellStyle name="Normal 3 4 2 2 4" xfId="1189" xr:uid="{00000000-0005-0000-0000-000096240000}"/>
    <cellStyle name="Normal 3 4 2 2 4 2" xfId="2928" xr:uid="{00000000-0005-0000-0000-000097240000}"/>
    <cellStyle name="Normal 3 4 2 2 4 2 2" xfId="6035" xr:uid="{00000000-0005-0000-0000-000098240000}"/>
    <cellStyle name="Normal 3 4 2 2 4 2 2 2" xfId="13264" xr:uid="{00000000-0005-0000-0000-000099240000}"/>
    <cellStyle name="Normal 3 4 2 2 4 2 3" xfId="10157" xr:uid="{00000000-0005-0000-0000-00009A240000}"/>
    <cellStyle name="Normal 3 4 2 2 4 3" xfId="6034" xr:uid="{00000000-0005-0000-0000-00009B240000}"/>
    <cellStyle name="Normal 3 4 2 2 4 3 2" xfId="13263" xr:uid="{00000000-0005-0000-0000-00009C240000}"/>
    <cellStyle name="Normal 3 4 2 2 4 4" xfId="8419" xr:uid="{00000000-0005-0000-0000-00009D240000}"/>
    <cellStyle name="Normal 3 4 2 2 5" xfId="2061" xr:uid="{00000000-0005-0000-0000-00009E240000}"/>
    <cellStyle name="Normal 3 4 2 2 5 2" xfId="6036" xr:uid="{00000000-0005-0000-0000-00009F240000}"/>
    <cellStyle name="Normal 3 4 2 2 5 2 2" xfId="13265" xr:uid="{00000000-0005-0000-0000-0000A0240000}"/>
    <cellStyle name="Normal 3 4 2 2 5 3" xfId="9290" xr:uid="{00000000-0005-0000-0000-0000A1240000}"/>
    <cellStyle name="Normal 3 4 2 2 6" xfId="6021" xr:uid="{00000000-0005-0000-0000-0000A2240000}"/>
    <cellStyle name="Normal 3 4 2 2 6 2" xfId="13250" xr:uid="{00000000-0005-0000-0000-0000A3240000}"/>
    <cellStyle name="Normal 3 4 2 2 7" xfId="7552" xr:uid="{00000000-0005-0000-0000-0000A4240000}"/>
    <cellStyle name="Normal 3 4 2 3" xfId="423" xr:uid="{00000000-0005-0000-0000-0000A5240000}"/>
    <cellStyle name="Normal 3 4 2 3 2" xfId="869" xr:uid="{00000000-0005-0000-0000-0000A6240000}"/>
    <cellStyle name="Normal 3 4 2 3 2 2" xfId="1736" xr:uid="{00000000-0005-0000-0000-0000A7240000}"/>
    <cellStyle name="Normal 3 4 2 3 2 2 2" xfId="3475" xr:uid="{00000000-0005-0000-0000-0000A8240000}"/>
    <cellStyle name="Normal 3 4 2 3 2 2 2 2" xfId="6040" xr:uid="{00000000-0005-0000-0000-0000A9240000}"/>
    <cellStyle name="Normal 3 4 2 3 2 2 2 2 2" xfId="13269" xr:uid="{00000000-0005-0000-0000-0000AA240000}"/>
    <cellStyle name="Normal 3 4 2 3 2 2 2 3" xfId="10704" xr:uid="{00000000-0005-0000-0000-0000AB240000}"/>
    <cellStyle name="Normal 3 4 2 3 2 2 3" xfId="6039" xr:uid="{00000000-0005-0000-0000-0000AC240000}"/>
    <cellStyle name="Normal 3 4 2 3 2 2 3 2" xfId="13268" xr:uid="{00000000-0005-0000-0000-0000AD240000}"/>
    <cellStyle name="Normal 3 4 2 3 2 2 4" xfId="8966" xr:uid="{00000000-0005-0000-0000-0000AE240000}"/>
    <cellStyle name="Normal 3 4 2 3 2 3" xfId="2608" xr:uid="{00000000-0005-0000-0000-0000AF240000}"/>
    <cellStyle name="Normal 3 4 2 3 2 3 2" xfId="6041" xr:uid="{00000000-0005-0000-0000-0000B0240000}"/>
    <cellStyle name="Normal 3 4 2 3 2 3 2 2" xfId="13270" xr:uid="{00000000-0005-0000-0000-0000B1240000}"/>
    <cellStyle name="Normal 3 4 2 3 2 3 3" xfId="9837" xr:uid="{00000000-0005-0000-0000-0000B2240000}"/>
    <cellStyle name="Normal 3 4 2 3 2 4" xfId="6038" xr:uid="{00000000-0005-0000-0000-0000B3240000}"/>
    <cellStyle name="Normal 3 4 2 3 2 4 2" xfId="13267" xr:uid="{00000000-0005-0000-0000-0000B4240000}"/>
    <cellStyle name="Normal 3 4 2 3 2 5" xfId="8099" xr:uid="{00000000-0005-0000-0000-0000B5240000}"/>
    <cellStyle name="Normal 3 4 2 3 3" xfId="1305" xr:uid="{00000000-0005-0000-0000-0000B6240000}"/>
    <cellStyle name="Normal 3 4 2 3 3 2" xfId="3044" xr:uid="{00000000-0005-0000-0000-0000B7240000}"/>
    <cellStyle name="Normal 3 4 2 3 3 2 2" xfId="6043" xr:uid="{00000000-0005-0000-0000-0000B8240000}"/>
    <cellStyle name="Normal 3 4 2 3 3 2 2 2" xfId="13272" xr:uid="{00000000-0005-0000-0000-0000B9240000}"/>
    <cellStyle name="Normal 3 4 2 3 3 2 3" xfId="10273" xr:uid="{00000000-0005-0000-0000-0000BA240000}"/>
    <cellStyle name="Normal 3 4 2 3 3 3" xfId="6042" xr:uid="{00000000-0005-0000-0000-0000BB240000}"/>
    <cellStyle name="Normal 3 4 2 3 3 3 2" xfId="13271" xr:uid="{00000000-0005-0000-0000-0000BC240000}"/>
    <cellStyle name="Normal 3 4 2 3 3 4" xfId="8535" xr:uid="{00000000-0005-0000-0000-0000BD240000}"/>
    <cellStyle name="Normal 3 4 2 3 4" xfId="2177" xr:uid="{00000000-0005-0000-0000-0000BE240000}"/>
    <cellStyle name="Normal 3 4 2 3 4 2" xfId="6044" xr:uid="{00000000-0005-0000-0000-0000BF240000}"/>
    <cellStyle name="Normal 3 4 2 3 4 2 2" xfId="13273" xr:uid="{00000000-0005-0000-0000-0000C0240000}"/>
    <cellStyle name="Normal 3 4 2 3 4 3" xfId="9406" xr:uid="{00000000-0005-0000-0000-0000C1240000}"/>
    <cellStyle name="Normal 3 4 2 3 5" xfId="6037" xr:uid="{00000000-0005-0000-0000-0000C2240000}"/>
    <cellStyle name="Normal 3 4 2 3 5 2" xfId="13266" xr:uid="{00000000-0005-0000-0000-0000C3240000}"/>
    <cellStyle name="Normal 3 4 2 3 6" xfId="7668" xr:uid="{00000000-0005-0000-0000-0000C4240000}"/>
    <cellStyle name="Normal 3 4 2 4" xfId="642" xr:uid="{00000000-0005-0000-0000-0000C5240000}"/>
    <cellStyle name="Normal 3 4 2 4 2" xfId="1518" xr:uid="{00000000-0005-0000-0000-0000C6240000}"/>
    <cellStyle name="Normal 3 4 2 4 2 2" xfId="3257" xr:uid="{00000000-0005-0000-0000-0000C7240000}"/>
    <cellStyle name="Normal 3 4 2 4 2 2 2" xfId="6047" xr:uid="{00000000-0005-0000-0000-0000C8240000}"/>
    <cellStyle name="Normal 3 4 2 4 2 2 2 2" xfId="13276" xr:uid="{00000000-0005-0000-0000-0000C9240000}"/>
    <cellStyle name="Normal 3 4 2 4 2 2 3" xfId="10486" xr:uid="{00000000-0005-0000-0000-0000CA240000}"/>
    <cellStyle name="Normal 3 4 2 4 2 3" xfId="6046" xr:uid="{00000000-0005-0000-0000-0000CB240000}"/>
    <cellStyle name="Normal 3 4 2 4 2 3 2" xfId="13275" xr:uid="{00000000-0005-0000-0000-0000CC240000}"/>
    <cellStyle name="Normal 3 4 2 4 2 4" xfId="8748" xr:uid="{00000000-0005-0000-0000-0000CD240000}"/>
    <cellStyle name="Normal 3 4 2 4 3" xfId="2390" xr:uid="{00000000-0005-0000-0000-0000CE240000}"/>
    <cellStyle name="Normal 3 4 2 4 3 2" xfId="6048" xr:uid="{00000000-0005-0000-0000-0000CF240000}"/>
    <cellStyle name="Normal 3 4 2 4 3 2 2" xfId="13277" xr:uid="{00000000-0005-0000-0000-0000D0240000}"/>
    <cellStyle name="Normal 3 4 2 4 3 3" xfId="9619" xr:uid="{00000000-0005-0000-0000-0000D1240000}"/>
    <cellStyle name="Normal 3 4 2 4 4" xfId="6045" xr:uid="{00000000-0005-0000-0000-0000D2240000}"/>
    <cellStyle name="Normal 3 4 2 4 4 2" xfId="13274" xr:uid="{00000000-0005-0000-0000-0000D3240000}"/>
    <cellStyle name="Normal 3 4 2 4 5" xfId="7881" xr:uid="{00000000-0005-0000-0000-0000D4240000}"/>
    <cellStyle name="Normal 3 4 2 5" xfId="1087" xr:uid="{00000000-0005-0000-0000-0000D5240000}"/>
    <cellStyle name="Normal 3 4 2 5 2" xfId="2826" xr:uid="{00000000-0005-0000-0000-0000D6240000}"/>
    <cellStyle name="Normal 3 4 2 5 2 2" xfId="6050" xr:uid="{00000000-0005-0000-0000-0000D7240000}"/>
    <cellStyle name="Normal 3 4 2 5 2 2 2" xfId="13279" xr:uid="{00000000-0005-0000-0000-0000D8240000}"/>
    <cellStyle name="Normal 3 4 2 5 2 3" xfId="10055" xr:uid="{00000000-0005-0000-0000-0000D9240000}"/>
    <cellStyle name="Normal 3 4 2 5 3" xfId="6049" xr:uid="{00000000-0005-0000-0000-0000DA240000}"/>
    <cellStyle name="Normal 3 4 2 5 3 2" xfId="13278" xr:uid="{00000000-0005-0000-0000-0000DB240000}"/>
    <cellStyle name="Normal 3 4 2 5 4" xfId="8317" xr:uid="{00000000-0005-0000-0000-0000DC240000}"/>
    <cellStyle name="Normal 3 4 2 6" xfId="1959" xr:uid="{00000000-0005-0000-0000-0000DD240000}"/>
    <cellStyle name="Normal 3 4 2 6 2" xfId="6051" xr:uid="{00000000-0005-0000-0000-0000DE240000}"/>
    <cellStyle name="Normal 3 4 2 6 2 2" xfId="13280" xr:uid="{00000000-0005-0000-0000-0000DF240000}"/>
    <cellStyle name="Normal 3 4 2 6 3" xfId="9188" xr:uid="{00000000-0005-0000-0000-0000E0240000}"/>
    <cellStyle name="Normal 3 4 2 7" xfId="6020" xr:uid="{00000000-0005-0000-0000-0000E1240000}"/>
    <cellStyle name="Normal 3 4 2 7 2" xfId="13249" xr:uid="{00000000-0005-0000-0000-0000E2240000}"/>
    <cellStyle name="Normal 3 4 2 8" xfId="7448" xr:uid="{00000000-0005-0000-0000-0000E3240000}"/>
    <cellStyle name="Normal 3 4 3" xfId="74" xr:uid="{00000000-0005-0000-0000-0000E4240000}"/>
    <cellStyle name="Normal 3 4 3 2" xfId="293" xr:uid="{00000000-0005-0000-0000-0000E5240000}"/>
    <cellStyle name="Normal 3 4 3 2 2" xfId="519" xr:uid="{00000000-0005-0000-0000-0000E6240000}"/>
    <cellStyle name="Normal 3 4 3 2 2 2" xfId="965" xr:uid="{00000000-0005-0000-0000-0000E7240000}"/>
    <cellStyle name="Normal 3 4 3 2 2 2 2" xfId="1832" xr:uid="{00000000-0005-0000-0000-0000E8240000}"/>
    <cellStyle name="Normal 3 4 3 2 2 2 2 2" xfId="3571" xr:uid="{00000000-0005-0000-0000-0000E9240000}"/>
    <cellStyle name="Normal 3 4 3 2 2 2 2 2 2" xfId="6057" xr:uid="{00000000-0005-0000-0000-0000EA240000}"/>
    <cellStyle name="Normal 3 4 3 2 2 2 2 2 2 2" xfId="13286" xr:uid="{00000000-0005-0000-0000-0000EB240000}"/>
    <cellStyle name="Normal 3 4 3 2 2 2 2 2 3" xfId="10800" xr:uid="{00000000-0005-0000-0000-0000EC240000}"/>
    <cellStyle name="Normal 3 4 3 2 2 2 2 3" xfId="6056" xr:uid="{00000000-0005-0000-0000-0000ED240000}"/>
    <cellStyle name="Normal 3 4 3 2 2 2 2 3 2" xfId="13285" xr:uid="{00000000-0005-0000-0000-0000EE240000}"/>
    <cellStyle name="Normal 3 4 3 2 2 2 2 4" xfId="9062" xr:uid="{00000000-0005-0000-0000-0000EF240000}"/>
    <cellStyle name="Normal 3 4 3 2 2 2 3" xfId="2704" xr:uid="{00000000-0005-0000-0000-0000F0240000}"/>
    <cellStyle name="Normal 3 4 3 2 2 2 3 2" xfId="6058" xr:uid="{00000000-0005-0000-0000-0000F1240000}"/>
    <cellStyle name="Normal 3 4 3 2 2 2 3 2 2" xfId="13287" xr:uid="{00000000-0005-0000-0000-0000F2240000}"/>
    <cellStyle name="Normal 3 4 3 2 2 2 3 3" xfId="9933" xr:uid="{00000000-0005-0000-0000-0000F3240000}"/>
    <cellStyle name="Normal 3 4 3 2 2 2 4" xfId="6055" xr:uid="{00000000-0005-0000-0000-0000F4240000}"/>
    <cellStyle name="Normal 3 4 3 2 2 2 4 2" xfId="13284" xr:uid="{00000000-0005-0000-0000-0000F5240000}"/>
    <cellStyle name="Normal 3 4 3 2 2 2 5" xfId="8195" xr:uid="{00000000-0005-0000-0000-0000F6240000}"/>
    <cellStyle name="Normal 3 4 3 2 2 3" xfId="1401" xr:uid="{00000000-0005-0000-0000-0000F7240000}"/>
    <cellStyle name="Normal 3 4 3 2 2 3 2" xfId="3140" xr:uid="{00000000-0005-0000-0000-0000F8240000}"/>
    <cellStyle name="Normal 3 4 3 2 2 3 2 2" xfId="6060" xr:uid="{00000000-0005-0000-0000-0000F9240000}"/>
    <cellStyle name="Normal 3 4 3 2 2 3 2 2 2" xfId="13289" xr:uid="{00000000-0005-0000-0000-0000FA240000}"/>
    <cellStyle name="Normal 3 4 3 2 2 3 2 3" xfId="10369" xr:uid="{00000000-0005-0000-0000-0000FB240000}"/>
    <cellStyle name="Normal 3 4 3 2 2 3 3" xfId="6059" xr:uid="{00000000-0005-0000-0000-0000FC240000}"/>
    <cellStyle name="Normal 3 4 3 2 2 3 3 2" xfId="13288" xr:uid="{00000000-0005-0000-0000-0000FD240000}"/>
    <cellStyle name="Normal 3 4 3 2 2 3 4" xfId="8631" xr:uid="{00000000-0005-0000-0000-0000FE240000}"/>
    <cellStyle name="Normal 3 4 3 2 2 4" xfId="2273" xr:uid="{00000000-0005-0000-0000-0000FF240000}"/>
    <cellStyle name="Normal 3 4 3 2 2 4 2" xfId="6061" xr:uid="{00000000-0005-0000-0000-000000250000}"/>
    <cellStyle name="Normal 3 4 3 2 2 4 2 2" xfId="13290" xr:uid="{00000000-0005-0000-0000-000001250000}"/>
    <cellStyle name="Normal 3 4 3 2 2 4 3" xfId="9502" xr:uid="{00000000-0005-0000-0000-000002250000}"/>
    <cellStyle name="Normal 3 4 3 2 2 5" xfId="6054" xr:uid="{00000000-0005-0000-0000-000003250000}"/>
    <cellStyle name="Normal 3 4 3 2 2 5 2" xfId="13283" xr:uid="{00000000-0005-0000-0000-000004250000}"/>
    <cellStyle name="Normal 3 4 3 2 2 6" xfId="7764" xr:uid="{00000000-0005-0000-0000-000005250000}"/>
    <cellStyle name="Normal 3 4 3 2 3" xfId="741" xr:uid="{00000000-0005-0000-0000-000006250000}"/>
    <cellStyle name="Normal 3 4 3 2 3 2" xfId="1614" xr:uid="{00000000-0005-0000-0000-000007250000}"/>
    <cellStyle name="Normal 3 4 3 2 3 2 2" xfId="3353" xr:uid="{00000000-0005-0000-0000-000008250000}"/>
    <cellStyle name="Normal 3 4 3 2 3 2 2 2" xfId="6064" xr:uid="{00000000-0005-0000-0000-000009250000}"/>
    <cellStyle name="Normal 3 4 3 2 3 2 2 2 2" xfId="13293" xr:uid="{00000000-0005-0000-0000-00000A250000}"/>
    <cellStyle name="Normal 3 4 3 2 3 2 2 3" xfId="10582" xr:uid="{00000000-0005-0000-0000-00000B250000}"/>
    <cellStyle name="Normal 3 4 3 2 3 2 3" xfId="6063" xr:uid="{00000000-0005-0000-0000-00000C250000}"/>
    <cellStyle name="Normal 3 4 3 2 3 2 3 2" xfId="13292" xr:uid="{00000000-0005-0000-0000-00000D250000}"/>
    <cellStyle name="Normal 3 4 3 2 3 2 4" xfId="8844" xr:uid="{00000000-0005-0000-0000-00000E250000}"/>
    <cellStyle name="Normal 3 4 3 2 3 3" xfId="2486" xr:uid="{00000000-0005-0000-0000-00000F250000}"/>
    <cellStyle name="Normal 3 4 3 2 3 3 2" xfId="6065" xr:uid="{00000000-0005-0000-0000-000010250000}"/>
    <cellStyle name="Normal 3 4 3 2 3 3 2 2" xfId="13294" xr:uid="{00000000-0005-0000-0000-000011250000}"/>
    <cellStyle name="Normal 3 4 3 2 3 3 3" xfId="9715" xr:uid="{00000000-0005-0000-0000-000012250000}"/>
    <cellStyle name="Normal 3 4 3 2 3 4" xfId="6062" xr:uid="{00000000-0005-0000-0000-000013250000}"/>
    <cellStyle name="Normal 3 4 3 2 3 4 2" xfId="13291" xr:uid="{00000000-0005-0000-0000-000014250000}"/>
    <cellStyle name="Normal 3 4 3 2 3 5" xfId="7977" xr:uid="{00000000-0005-0000-0000-000015250000}"/>
    <cellStyle name="Normal 3 4 3 2 4" xfId="1183" xr:uid="{00000000-0005-0000-0000-000016250000}"/>
    <cellStyle name="Normal 3 4 3 2 4 2" xfId="2922" xr:uid="{00000000-0005-0000-0000-000017250000}"/>
    <cellStyle name="Normal 3 4 3 2 4 2 2" xfId="6067" xr:uid="{00000000-0005-0000-0000-000018250000}"/>
    <cellStyle name="Normal 3 4 3 2 4 2 2 2" xfId="13296" xr:uid="{00000000-0005-0000-0000-000019250000}"/>
    <cellStyle name="Normal 3 4 3 2 4 2 3" xfId="10151" xr:uid="{00000000-0005-0000-0000-00001A250000}"/>
    <cellStyle name="Normal 3 4 3 2 4 3" xfId="6066" xr:uid="{00000000-0005-0000-0000-00001B250000}"/>
    <cellStyle name="Normal 3 4 3 2 4 3 2" xfId="13295" xr:uid="{00000000-0005-0000-0000-00001C250000}"/>
    <cellStyle name="Normal 3 4 3 2 4 4" xfId="8413" xr:uid="{00000000-0005-0000-0000-00001D250000}"/>
    <cellStyle name="Normal 3 4 3 2 5" xfId="2055" xr:uid="{00000000-0005-0000-0000-00001E250000}"/>
    <cellStyle name="Normal 3 4 3 2 5 2" xfId="6068" xr:uid="{00000000-0005-0000-0000-00001F250000}"/>
    <cellStyle name="Normal 3 4 3 2 5 2 2" xfId="13297" xr:uid="{00000000-0005-0000-0000-000020250000}"/>
    <cellStyle name="Normal 3 4 3 2 5 3" xfId="9284" xr:uid="{00000000-0005-0000-0000-000021250000}"/>
    <cellStyle name="Normal 3 4 3 2 6" xfId="6053" xr:uid="{00000000-0005-0000-0000-000022250000}"/>
    <cellStyle name="Normal 3 4 3 2 6 2" xfId="13282" xr:uid="{00000000-0005-0000-0000-000023250000}"/>
    <cellStyle name="Normal 3 4 3 2 7" xfId="7546" xr:uid="{00000000-0005-0000-0000-000024250000}"/>
    <cellStyle name="Normal 3 4 3 3" xfId="417" xr:uid="{00000000-0005-0000-0000-000025250000}"/>
    <cellStyle name="Normal 3 4 3 3 2" xfId="863" xr:uid="{00000000-0005-0000-0000-000026250000}"/>
    <cellStyle name="Normal 3 4 3 3 2 2" xfId="1730" xr:uid="{00000000-0005-0000-0000-000027250000}"/>
    <cellStyle name="Normal 3 4 3 3 2 2 2" xfId="3469" xr:uid="{00000000-0005-0000-0000-000028250000}"/>
    <cellStyle name="Normal 3 4 3 3 2 2 2 2" xfId="6072" xr:uid="{00000000-0005-0000-0000-000029250000}"/>
    <cellStyle name="Normal 3 4 3 3 2 2 2 2 2" xfId="13301" xr:uid="{00000000-0005-0000-0000-00002A250000}"/>
    <cellStyle name="Normal 3 4 3 3 2 2 2 3" xfId="10698" xr:uid="{00000000-0005-0000-0000-00002B250000}"/>
    <cellStyle name="Normal 3 4 3 3 2 2 3" xfId="6071" xr:uid="{00000000-0005-0000-0000-00002C250000}"/>
    <cellStyle name="Normal 3 4 3 3 2 2 3 2" xfId="13300" xr:uid="{00000000-0005-0000-0000-00002D250000}"/>
    <cellStyle name="Normal 3 4 3 3 2 2 4" xfId="8960" xr:uid="{00000000-0005-0000-0000-00002E250000}"/>
    <cellStyle name="Normal 3 4 3 3 2 3" xfId="2602" xr:uid="{00000000-0005-0000-0000-00002F250000}"/>
    <cellStyle name="Normal 3 4 3 3 2 3 2" xfId="6073" xr:uid="{00000000-0005-0000-0000-000030250000}"/>
    <cellStyle name="Normal 3 4 3 3 2 3 2 2" xfId="13302" xr:uid="{00000000-0005-0000-0000-000031250000}"/>
    <cellStyle name="Normal 3 4 3 3 2 3 3" xfId="9831" xr:uid="{00000000-0005-0000-0000-000032250000}"/>
    <cellStyle name="Normal 3 4 3 3 2 4" xfId="6070" xr:uid="{00000000-0005-0000-0000-000033250000}"/>
    <cellStyle name="Normal 3 4 3 3 2 4 2" xfId="13299" xr:uid="{00000000-0005-0000-0000-000034250000}"/>
    <cellStyle name="Normal 3 4 3 3 2 5" xfId="8093" xr:uid="{00000000-0005-0000-0000-000035250000}"/>
    <cellStyle name="Normal 3 4 3 3 3" xfId="1299" xr:uid="{00000000-0005-0000-0000-000036250000}"/>
    <cellStyle name="Normal 3 4 3 3 3 2" xfId="3038" xr:uid="{00000000-0005-0000-0000-000037250000}"/>
    <cellStyle name="Normal 3 4 3 3 3 2 2" xfId="6075" xr:uid="{00000000-0005-0000-0000-000038250000}"/>
    <cellStyle name="Normal 3 4 3 3 3 2 2 2" xfId="13304" xr:uid="{00000000-0005-0000-0000-000039250000}"/>
    <cellStyle name="Normal 3 4 3 3 3 2 3" xfId="10267" xr:uid="{00000000-0005-0000-0000-00003A250000}"/>
    <cellStyle name="Normal 3 4 3 3 3 3" xfId="6074" xr:uid="{00000000-0005-0000-0000-00003B250000}"/>
    <cellStyle name="Normal 3 4 3 3 3 3 2" xfId="13303" xr:uid="{00000000-0005-0000-0000-00003C250000}"/>
    <cellStyle name="Normal 3 4 3 3 3 4" xfId="8529" xr:uid="{00000000-0005-0000-0000-00003D250000}"/>
    <cellStyle name="Normal 3 4 3 3 4" xfId="2171" xr:uid="{00000000-0005-0000-0000-00003E250000}"/>
    <cellStyle name="Normal 3 4 3 3 4 2" xfId="6076" xr:uid="{00000000-0005-0000-0000-00003F250000}"/>
    <cellStyle name="Normal 3 4 3 3 4 2 2" xfId="13305" xr:uid="{00000000-0005-0000-0000-000040250000}"/>
    <cellStyle name="Normal 3 4 3 3 4 3" xfId="9400" xr:uid="{00000000-0005-0000-0000-000041250000}"/>
    <cellStyle name="Normal 3 4 3 3 5" xfId="6069" xr:uid="{00000000-0005-0000-0000-000042250000}"/>
    <cellStyle name="Normal 3 4 3 3 5 2" xfId="13298" xr:uid="{00000000-0005-0000-0000-000043250000}"/>
    <cellStyle name="Normal 3 4 3 3 6" xfId="7662" xr:uid="{00000000-0005-0000-0000-000044250000}"/>
    <cellStyle name="Normal 3 4 3 4" xfId="636" xr:uid="{00000000-0005-0000-0000-000045250000}"/>
    <cellStyle name="Normal 3 4 3 4 2" xfId="1512" xr:uid="{00000000-0005-0000-0000-000046250000}"/>
    <cellStyle name="Normal 3 4 3 4 2 2" xfId="3251" xr:uid="{00000000-0005-0000-0000-000047250000}"/>
    <cellStyle name="Normal 3 4 3 4 2 2 2" xfId="6079" xr:uid="{00000000-0005-0000-0000-000048250000}"/>
    <cellStyle name="Normal 3 4 3 4 2 2 2 2" xfId="13308" xr:uid="{00000000-0005-0000-0000-000049250000}"/>
    <cellStyle name="Normal 3 4 3 4 2 2 3" xfId="10480" xr:uid="{00000000-0005-0000-0000-00004A250000}"/>
    <cellStyle name="Normal 3 4 3 4 2 3" xfId="6078" xr:uid="{00000000-0005-0000-0000-00004B250000}"/>
    <cellStyle name="Normal 3 4 3 4 2 3 2" xfId="13307" xr:uid="{00000000-0005-0000-0000-00004C250000}"/>
    <cellStyle name="Normal 3 4 3 4 2 4" xfId="8742" xr:uid="{00000000-0005-0000-0000-00004D250000}"/>
    <cellStyle name="Normal 3 4 3 4 3" xfId="2384" xr:uid="{00000000-0005-0000-0000-00004E250000}"/>
    <cellStyle name="Normal 3 4 3 4 3 2" xfId="6080" xr:uid="{00000000-0005-0000-0000-00004F250000}"/>
    <cellStyle name="Normal 3 4 3 4 3 2 2" xfId="13309" xr:uid="{00000000-0005-0000-0000-000050250000}"/>
    <cellStyle name="Normal 3 4 3 4 3 3" xfId="9613" xr:uid="{00000000-0005-0000-0000-000051250000}"/>
    <cellStyle name="Normal 3 4 3 4 4" xfId="6077" xr:uid="{00000000-0005-0000-0000-000052250000}"/>
    <cellStyle name="Normal 3 4 3 4 4 2" xfId="13306" xr:uid="{00000000-0005-0000-0000-000053250000}"/>
    <cellStyle name="Normal 3 4 3 4 5" xfId="7875" xr:uid="{00000000-0005-0000-0000-000054250000}"/>
    <cellStyle name="Normal 3 4 3 5" xfId="1081" xr:uid="{00000000-0005-0000-0000-000055250000}"/>
    <cellStyle name="Normal 3 4 3 5 2" xfId="2820" xr:uid="{00000000-0005-0000-0000-000056250000}"/>
    <cellStyle name="Normal 3 4 3 5 2 2" xfId="6082" xr:uid="{00000000-0005-0000-0000-000057250000}"/>
    <cellStyle name="Normal 3 4 3 5 2 2 2" xfId="13311" xr:uid="{00000000-0005-0000-0000-000058250000}"/>
    <cellStyle name="Normal 3 4 3 5 2 3" xfId="10049" xr:uid="{00000000-0005-0000-0000-000059250000}"/>
    <cellStyle name="Normal 3 4 3 5 3" xfId="6081" xr:uid="{00000000-0005-0000-0000-00005A250000}"/>
    <cellStyle name="Normal 3 4 3 5 3 2" xfId="13310" xr:uid="{00000000-0005-0000-0000-00005B250000}"/>
    <cellStyle name="Normal 3 4 3 5 4" xfId="8311" xr:uid="{00000000-0005-0000-0000-00005C250000}"/>
    <cellStyle name="Normal 3 4 3 6" xfId="1953" xr:uid="{00000000-0005-0000-0000-00005D250000}"/>
    <cellStyle name="Normal 3 4 3 6 2" xfId="6083" xr:uid="{00000000-0005-0000-0000-00005E250000}"/>
    <cellStyle name="Normal 3 4 3 6 2 2" xfId="13312" xr:uid="{00000000-0005-0000-0000-00005F250000}"/>
    <cellStyle name="Normal 3 4 3 6 3" xfId="9182" xr:uid="{00000000-0005-0000-0000-000060250000}"/>
    <cellStyle name="Normal 3 4 3 7" xfId="6052" xr:uid="{00000000-0005-0000-0000-000061250000}"/>
    <cellStyle name="Normal 3 4 3 7 2" xfId="13281" xr:uid="{00000000-0005-0000-0000-000062250000}"/>
    <cellStyle name="Normal 3 4 3 8" xfId="7442" xr:uid="{00000000-0005-0000-0000-000063250000}"/>
    <cellStyle name="Normal 3 4 4" xfId="266" xr:uid="{00000000-0005-0000-0000-000064250000}"/>
    <cellStyle name="Normal 3 4 4 2" xfId="492" xr:uid="{00000000-0005-0000-0000-000065250000}"/>
    <cellStyle name="Normal 3 4 4 2 2" xfId="938" xr:uid="{00000000-0005-0000-0000-000066250000}"/>
    <cellStyle name="Normal 3 4 4 2 2 2" xfId="1805" xr:uid="{00000000-0005-0000-0000-000067250000}"/>
    <cellStyle name="Normal 3 4 4 2 2 2 2" xfId="3544" xr:uid="{00000000-0005-0000-0000-000068250000}"/>
    <cellStyle name="Normal 3 4 4 2 2 2 2 2" xfId="6088" xr:uid="{00000000-0005-0000-0000-000069250000}"/>
    <cellStyle name="Normal 3 4 4 2 2 2 2 2 2" xfId="13317" xr:uid="{00000000-0005-0000-0000-00006A250000}"/>
    <cellStyle name="Normal 3 4 4 2 2 2 2 3" xfId="10773" xr:uid="{00000000-0005-0000-0000-00006B250000}"/>
    <cellStyle name="Normal 3 4 4 2 2 2 3" xfId="6087" xr:uid="{00000000-0005-0000-0000-00006C250000}"/>
    <cellStyle name="Normal 3 4 4 2 2 2 3 2" xfId="13316" xr:uid="{00000000-0005-0000-0000-00006D250000}"/>
    <cellStyle name="Normal 3 4 4 2 2 2 4" xfId="9035" xr:uid="{00000000-0005-0000-0000-00006E250000}"/>
    <cellStyle name="Normal 3 4 4 2 2 3" xfId="2677" xr:uid="{00000000-0005-0000-0000-00006F250000}"/>
    <cellStyle name="Normal 3 4 4 2 2 3 2" xfId="6089" xr:uid="{00000000-0005-0000-0000-000070250000}"/>
    <cellStyle name="Normal 3 4 4 2 2 3 2 2" xfId="13318" xr:uid="{00000000-0005-0000-0000-000071250000}"/>
    <cellStyle name="Normal 3 4 4 2 2 3 3" xfId="9906" xr:uid="{00000000-0005-0000-0000-000072250000}"/>
    <cellStyle name="Normal 3 4 4 2 2 4" xfId="6086" xr:uid="{00000000-0005-0000-0000-000073250000}"/>
    <cellStyle name="Normal 3 4 4 2 2 4 2" xfId="13315" xr:uid="{00000000-0005-0000-0000-000074250000}"/>
    <cellStyle name="Normal 3 4 4 2 2 5" xfId="8168" xr:uid="{00000000-0005-0000-0000-000075250000}"/>
    <cellStyle name="Normal 3 4 4 2 3" xfId="1374" xr:uid="{00000000-0005-0000-0000-000076250000}"/>
    <cellStyle name="Normal 3 4 4 2 3 2" xfId="3113" xr:uid="{00000000-0005-0000-0000-000077250000}"/>
    <cellStyle name="Normal 3 4 4 2 3 2 2" xfId="6091" xr:uid="{00000000-0005-0000-0000-000078250000}"/>
    <cellStyle name="Normal 3 4 4 2 3 2 2 2" xfId="13320" xr:uid="{00000000-0005-0000-0000-000079250000}"/>
    <cellStyle name="Normal 3 4 4 2 3 2 3" xfId="10342" xr:uid="{00000000-0005-0000-0000-00007A250000}"/>
    <cellStyle name="Normal 3 4 4 2 3 3" xfId="6090" xr:uid="{00000000-0005-0000-0000-00007B250000}"/>
    <cellStyle name="Normal 3 4 4 2 3 3 2" xfId="13319" xr:uid="{00000000-0005-0000-0000-00007C250000}"/>
    <cellStyle name="Normal 3 4 4 2 3 4" xfId="8604" xr:uid="{00000000-0005-0000-0000-00007D250000}"/>
    <cellStyle name="Normal 3 4 4 2 4" xfId="2246" xr:uid="{00000000-0005-0000-0000-00007E250000}"/>
    <cellStyle name="Normal 3 4 4 2 4 2" xfId="6092" xr:uid="{00000000-0005-0000-0000-00007F250000}"/>
    <cellStyle name="Normal 3 4 4 2 4 2 2" xfId="13321" xr:uid="{00000000-0005-0000-0000-000080250000}"/>
    <cellStyle name="Normal 3 4 4 2 4 3" xfId="9475" xr:uid="{00000000-0005-0000-0000-000081250000}"/>
    <cellStyle name="Normal 3 4 4 2 5" xfId="6085" xr:uid="{00000000-0005-0000-0000-000082250000}"/>
    <cellStyle name="Normal 3 4 4 2 5 2" xfId="13314" xr:uid="{00000000-0005-0000-0000-000083250000}"/>
    <cellStyle name="Normal 3 4 4 2 6" xfId="7737" xr:uid="{00000000-0005-0000-0000-000084250000}"/>
    <cellStyle name="Normal 3 4 4 3" xfId="714" xr:uid="{00000000-0005-0000-0000-000085250000}"/>
    <cellStyle name="Normal 3 4 4 3 2" xfId="1587" xr:uid="{00000000-0005-0000-0000-000086250000}"/>
    <cellStyle name="Normal 3 4 4 3 2 2" xfId="3326" xr:uid="{00000000-0005-0000-0000-000087250000}"/>
    <cellStyle name="Normal 3 4 4 3 2 2 2" xfId="6095" xr:uid="{00000000-0005-0000-0000-000088250000}"/>
    <cellStyle name="Normal 3 4 4 3 2 2 2 2" xfId="13324" xr:uid="{00000000-0005-0000-0000-000089250000}"/>
    <cellStyle name="Normal 3 4 4 3 2 2 3" xfId="10555" xr:uid="{00000000-0005-0000-0000-00008A250000}"/>
    <cellStyle name="Normal 3 4 4 3 2 3" xfId="6094" xr:uid="{00000000-0005-0000-0000-00008B250000}"/>
    <cellStyle name="Normal 3 4 4 3 2 3 2" xfId="13323" xr:uid="{00000000-0005-0000-0000-00008C250000}"/>
    <cellStyle name="Normal 3 4 4 3 2 4" xfId="8817" xr:uid="{00000000-0005-0000-0000-00008D250000}"/>
    <cellStyle name="Normal 3 4 4 3 3" xfId="2459" xr:uid="{00000000-0005-0000-0000-00008E250000}"/>
    <cellStyle name="Normal 3 4 4 3 3 2" xfId="6096" xr:uid="{00000000-0005-0000-0000-00008F250000}"/>
    <cellStyle name="Normal 3 4 4 3 3 2 2" xfId="13325" xr:uid="{00000000-0005-0000-0000-000090250000}"/>
    <cellStyle name="Normal 3 4 4 3 3 3" xfId="9688" xr:uid="{00000000-0005-0000-0000-000091250000}"/>
    <cellStyle name="Normal 3 4 4 3 4" xfId="6093" xr:uid="{00000000-0005-0000-0000-000092250000}"/>
    <cellStyle name="Normal 3 4 4 3 4 2" xfId="13322" xr:uid="{00000000-0005-0000-0000-000093250000}"/>
    <cellStyle name="Normal 3 4 4 3 5" xfId="7950" xr:uid="{00000000-0005-0000-0000-000094250000}"/>
    <cellStyle name="Normal 3 4 4 4" xfId="1156" xr:uid="{00000000-0005-0000-0000-000095250000}"/>
    <cellStyle name="Normal 3 4 4 4 2" xfId="2895" xr:uid="{00000000-0005-0000-0000-000096250000}"/>
    <cellStyle name="Normal 3 4 4 4 2 2" xfId="6098" xr:uid="{00000000-0005-0000-0000-000097250000}"/>
    <cellStyle name="Normal 3 4 4 4 2 2 2" xfId="13327" xr:uid="{00000000-0005-0000-0000-000098250000}"/>
    <cellStyle name="Normal 3 4 4 4 2 3" xfId="10124" xr:uid="{00000000-0005-0000-0000-000099250000}"/>
    <cellStyle name="Normal 3 4 4 4 3" xfId="6097" xr:uid="{00000000-0005-0000-0000-00009A250000}"/>
    <cellStyle name="Normal 3 4 4 4 3 2" xfId="13326" xr:uid="{00000000-0005-0000-0000-00009B250000}"/>
    <cellStyle name="Normal 3 4 4 4 4" xfId="8386" xr:uid="{00000000-0005-0000-0000-00009C250000}"/>
    <cellStyle name="Normal 3 4 4 5" xfId="2028" xr:uid="{00000000-0005-0000-0000-00009D250000}"/>
    <cellStyle name="Normal 3 4 4 5 2" xfId="6099" xr:uid="{00000000-0005-0000-0000-00009E250000}"/>
    <cellStyle name="Normal 3 4 4 5 2 2" xfId="13328" xr:uid="{00000000-0005-0000-0000-00009F250000}"/>
    <cellStyle name="Normal 3 4 4 5 3" xfId="9257" xr:uid="{00000000-0005-0000-0000-0000A0250000}"/>
    <cellStyle name="Normal 3 4 4 6" xfId="6084" xr:uid="{00000000-0005-0000-0000-0000A1250000}"/>
    <cellStyle name="Normal 3 4 4 6 2" xfId="13313" xr:uid="{00000000-0005-0000-0000-0000A2250000}"/>
    <cellStyle name="Normal 3 4 4 7" xfId="7519" xr:uid="{00000000-0005-0000-0000-0000A3250000}"/>
    <cellStyle name="Normal 3 4 5" xfId="390" xr:uid="{00000000-0005-0000-0000-0000A4250000}"/>
    <cellStyle name="Normal 3 4 5 2" xfId="836" xr:uid="{00000000-0005-0000-0000-0000A5250000}"/>
    <cellStyle name="Normal 3 4 5 2 2" xfId="1703" xr:uid="{00000000-0005-0000-0000-0000A6250000}"/>
    <cellStyle name="Normal 3 4 5 2 2 2" xfId="3442" xr:uid="{00000000-0005-0000-0000-0000A7250000}"/>
    <cellStyle name="Normal 3 4 5 2 2 2 2" xfId="6103" xr:uid="{00000000-0005-0000-0000-0000A8250000}"/>
    <cellStyle name="Normal 3 4 5 2 2 2 2 2" xfId="13332" xr:uid="{00000000-0005-0000-0000-0000A9250000}"/>
    <cellStyle name="Normal 3 4 5 2 2 2 3" xfId="10671" xr:uid="{00000000-0005-0000-0000-0000AA250000}"/>
    <cellStyle name="Normal 3 4 5 2 2 3" xfId="6102" xr:uid="{00000000-0005-0000-0000-0000AB250000}"/>
    <cellStyle name="Normal 3 4 5 2 2 3 2" xfId="13331" xr:uid="{00000000-0005-0000-0000-0000AC250000}"/>
    <cellStyle name="Normal 3 4 5 2 2 4" xfId="8933" xr:uid="{00000000-0005-0000-0000-0000AD250000}"/>
    <cellStyle name="Normal 3 4 5 2 3" xfId="2575" xr:uid="{00000000-0005-0000-0000-0000AE250000}"/>
    <cellStyle name="Normal 3 4 5 2 3 2" xfId="6104" xr:uid="{00000000-0005-0000-0000-0000AF250000}"/>
    <cellStyle name="Normal 3 4 5 2 3 2 2" xfId="13333" xr:uid="{00000000-0005-0000-0000-0000B0250000}"/>
    <cellStyle name="Normal 3 4 5 2 3 3" xfId="9804" xr:uid="{00000000-0005-0000-0000-0000B1250000}"/>
    <cellStyle name="Normal 3 4 5 2 4" xfId="6101" xr:uid="{00000000-0005-0000-0000-0000B2250000}"/>
    <cellStyle name="Normal 3 4 5 2 4 2" xfId="13330" xr:uid="{00000000-0005-0000-0000-0000B3250000}"/>
    <cellStyle name="Normal 3 4 5 2 5" xfId="8066" xr:uid="{00000000-0005-0000-0000-0000B4250000}"/>
    <cellStyle name="Normal 3 4 5 3" xfId="1272" xr:uid="{00000000-0005-0000-0000-0000B5250000}"/>
    <cellStyle name="Normal 3 4 5 3 2" xfId="3011" xr:uid="{00000000-0005-0000-0000-0000B6250000}"/>
    <cellStyle name="Normal 3 4 5 3 2 2" xfId="6106" xr:uid="{00000000-0005-0000-0000-0000B7250000}"/>
    <cellStyle name="Normal 3 4 5 3 2 2 2" xfId="13335" xr:uid="{00000000-0005-0000-0000-0000B8250000}"/>
    <cellStyle name="Normal 3 4 5 3 2 3" xfId="10240" xr:uid="{00000000-0005-0000-0000-0000B9250000}"/>
    <cellStyle name="Normal 3 4 5 3 3" xfId="6105" xr:uid="{00000000-0005-0000-0000-0000BA250000}"/>
    <cellStyle name="Normal 3 4 5 3 3 2" xfId="13334" xr:uid="{00000000-0005-0000-0000-0000BB250000}"/>
    <cellStyle name="Normal 3 4 5 3 4" xfId="8502" xr:uid="{00000000-0005-0000-0000-0000BC250000}"/>
    <cellStyle name="Normal 3 4 5 4" xfId="2144" xr:uid="{00000000-0005-0000-0000-0000BD250000}"/>
    <cellStyle name="Normal 3 4 5 4 2" xfId="6107" xr:uid="{00000000-0005-0000-0000-0000BE250000}"/>
    <cellStyle name="Normal 3 4 5 4 2 2" xfId="13336" xr:uid="{00000000-0005-0000-0000-0000BF250000}"/>
    <cellStyle name="Normal 3 4 5 4 3" xfId="9373" xr:uid="{00000000-0005-0000-0000-0000C0250000}"/>
    <cellStyle name="Normal 3 4 5 5" xfId="6100" xr:uid="{00000000-0005-0000-0000-0000C1250000}"/>
    <cellStyle name="Normal 3 4 5 5 2" xfId="13329" xr:uid="{00000000-0005-0000-0000-0000C2250000}"/>
    <cellStyle name="Normal 3 4 5 6" xfId="7635" xr:uid="{00000000-0005-0000-0000-0000C3250000}"/>
    <cellStyle name="Normal 3 4 6" xfId="607" xr:uid="{00000000-0005-0000-0000-0000C4250000}"/>
    <cellStyle name="Normal 3 4 6 2" xfId="1485" xr:uid="{00000000-0005-0000-0000-0000C5250000}"/>
    <cellStyle name="Normal 3 4 6 2 2" xfId="3224" xr:uid="{00000000-0005-0000-0000-0000C6250000}"/>
    <cellStyle name="Normal 3 4 6 2 2 2" xfId="6110" xr:uid="{00000000-0005-0000-0000-0000C7250000}"/>
    <cellStyle name="Normal 3 4 6 2 2 2 2" xfId="13339" xr:uid="{00000000-0005-0000-0000-0000C8250000}"/>
    <cellStyle name="Normal 3 4 6 2 2 3" xfId="10453" xr:uid="{00000000-0005-0000-0000-0000C9250000}"/>
    <cellStyle name="Normal 3 4 6 2 3" xfId="6109" xr:uid="{00000000-0005-0000-0000-0000CA250000}"/>
    <cellStyle name="Normal 3 4 6 2 3 2" xfId="13338" xr:uid="{00000000-0005-0000-0000-0000CB250000}"/>
    <cellStyle name="Normal 3 4 6 2 4" xfId="8715" xr:uid="{00000000-0005-0000-0000-0000CC250000}"/>
    <cellStyle name="Normal 3 4 6 3" xfId="2357" xr:uid="{00000000-0005-0000-0000-0000CD250000}"/>
    <cellStyle name="Normal 3 4 6 3 2" xfId="6111" xr:uid="{00000000-0005-0000-0000-0000CE250000}"/>
    <cellStyle name="Normal 3 4 6 3 2 2" xfId="13340" xr:uid="{00000000-0005-0000-0000-0000CF250000}"/>
    <cellStyle name="Normal 3 4 6 3 3" xfId="9586" xr:uid="{00000000-0005-0000-0000-0000D0250000}"/>
    <cellStyle name="Normal 3 4 6 4" xfId="6108" xr:uid="{00000000-0005-0000-0000-0000D1250000}"/>
    <cellStyle name="Normal 3 4 6 4 2" xfId="13337" xr:uid="{00000000-0005-0000-0000-0000D2250000}"/>
    <cellStyle name="Normal 3 4 6 5" xfId="7848" xr:uid="{00000000-0005-0000-0000-0000D3250000}"/>
    <cellStyle name="Normal 3 4 7" xfId="1054" xr:uid="{00000000-0005-0000-0000-0000D4250000}"/>
    <cellStyle name="Normal 3 4 7 2" xfId="2793" xr:uid="{00000000-0005-0000-0000-0000D5250000}"/>
    <cellStyle name="Normal 3 4 7 2 2" xfId="6113" xr:uid="{00000000-0005-0000-0000-0000D6250000}"/>
    <cellStyle name="Normal 3 4 7 2 2 2" xfId="13342" xr:uid="{00000000-0005-0000-0000-0000D7250000}"/>
    <cellStyle name="Normal 3 4 7 2 3" xfId="10022" xr:uid="{00000000-0005-0000-0000-0000D8250000}"/>
    <cellStyle name="Normal 3 4 7 3" xfId="6112" xr:uid="{00000000-0005-0000-0000-0000D9250000}"/>
    <cellStyle name="Normal 3 4 7 3 2" xfId="13341" xr:uid="{00000000-0005-0000-0000-0000DA250000}"/>
    <cellStyle name="Normal 3 4 7 4" xfId="8284" xr:uid="{00000000-0005-0000-0000-0000DB250000}"/>
    <cellStyle name="Normal 3 4 8" xfId="1926" xr:uid="{00000000-0005-0000-0000-0000DC250000}"/>
    <cellStyle name="Normal 3 4 8 2" xfId="6114" xr:uid="{00000000-0005-0000-0000-0000DD250000}"/>
    <cellStyle name="Normal 3 4 8 2 2" xfId="13343" xr:uid="{00000000-0005-0000-0000-0000DE250000}"/>
    <cellStyle name="Normal 3 4 8 3" xfId="9155" xr:uid="{00000000-0005-0000-0000-0000DF250000}"/>
    <cellStyle name="Normal 3 4 9" xfId="6019" xr:uid="{00000000-0005-0000-0000-0000E0250000}"/>
    <cellStyle name="Normal 3 4 9 2" xfId="13248" xr:uid="{00000000-0005-0000-0000-0000E1250000}"/>
    <cellStyle name="Normal 3 5" xfId="18" xr:uid="{00000000-0005-0000-0000-0000E2250000}"/>
    <cellStyle name="Normal 3 5 10" xfId="7416" xr:uid="{00000000-0005-0000-0000-0000E3250000}"/>
    <cellStyle name="Normal 3 5 2" xfId="92" xr:uid="{00000000-0005-0000-0000-0000E4250000}"/>
    <cellStyle name="Normal 3 5 2 2" xfId="300" xr:uid="{00000000-0005-0000-0000-0000E5250000}"/>
    <cellStyle name="Normal 3 5 2 2 2" xfId="526" xr:uid="{00000000-0005-0000-0000-0000E6250000}"/>
    <cellStyle name="Normal 3 5 2 2 2 2" xfId="972" xr:uid="{00000000-0005-0000-0000-0000E7250000}"/>
    <cellStyle name="Normal 3 5 2 2 2 2 2" xfId="1839" xr:uid="{00000000-0005-0000-0000-0000E8250000}"/>
    <cellStyle name="Normal 3 5 2 2 2 2 2 2" xfId="3578" xr:uid="{00000000-0005-0000-0000-0000E9250000}"/>
    <cellStyle name="Normal 3 5 2 2 2 2 2 2 2" xfId="6121" xr:uid="{00000000-0005-0000-0000-0000EA250000}"/>
    <cellStyle name="Normal 3 5 2 2 2 2 2 2 2 2" xfId="13350" xr:uid="{00000000-0005-0000-0000-0000EB250000}"/>
    <cellStyle name="Normal 3 5 2 2 2 2 2 2 3" xfId="10807" xr:uid="{00000000-0005-0000-0000-0000EC250000}"/>
    <cellStyle name="Normal 3 5 2 2 2 2 2 3" xfId="6120" xr:uid="{00000000-0005-0000-0000-0000ED250000}"/>
    <cellStyle name="Normal 3 5 2 2 2 2 2 3 2" xfId="13349" xr:uid="{00000000-0005-0000-0000-0000EE250000}"/>
    <cellStyle name="Normal 3 5 2 2 2 2 2 4" xfId="9069" xr:uid="{00000000-0005-0000-0000-0000EF250000}"/>
    <cellStyle name="Normal 3 5 2 2 2 2 3" xfId="2711" xr:uid="{00000000-0005-0000-0000-0000F0250000}"/>
    <cellStyle name="Normal 3 5 2 2 2 2 3 2" xfId="6122" xr:uid="{00000000-0005-0000-0000-0000F1250000}"/>
    <cellStyle name="Normal 3 5 2 2 2 2 3 2 2" xfId="13351" xr:uid="{00000000-0005-0000-0000-0000F2250000}"/>
    <cellStyle name="Normal 3 5 2 2 2 2 3 3" xfId="9940" xr:uid="{00000000-0005-0000-0000-0000F3250000}"/>
    <cellStyle name="Normal 3 5 2 2 2 2 4" xfId="6119" xr:uid="{00000000-0005-0000-0000-0000F4250000}"/>
    <cellStyle name="Normal 3 5 2 2 2 2 4 2" xfId="13348" xr:uid="{00000000-0005-0000-0000-0000F5250000}"/>
    <cellStyle name="Normal 3 5 2 2 2 2 5" xfId="8202" xr:uid="{00000000-0005-0000-0000-0000F6250000}"/>
    <cellStyle name="Normal 3 5 2 2 2 3" xfId="1408" xr:uid="{00000000-0005-0000-0000-0000F7250000}"/>
    <cellStyle name="Normal 3 5 2 2 2 3 2" xfId="3147" xr:uid="{00000000-0005-0000-0000-0000F8250000}"/>
    <cellStyle name="Normal 3 5 2 2 2 3 2 2" xfId="6124" xr:uid="{00000000-0005-0000-0000-0000F9250000}"/>
    <cellStyle name="Normal 3 5 2 2 2 3 2 2 2" xfId="13353" xr:uid="{00000000-0005-0000-0000-0000FA250000}"/>
    <cellStyle name="Normal 3 5 2 2 2 3 2 3" xfId="10376" xr:uid="{00000000-0005-0000-0000-0000FB250000}"/>
    <cellStyle name="Normal 3 5 2 2 2 3 3" xfId="6123" xr:uid="{00000000-0005-0000-0000-0000FC250000}"/>
    <cellStyle name="Normal 3 5 2 2 2 3 3 2" xfId="13352" xr:uid="{00000000-0005-0000-0000-0000FD250000}"/>
    <cellStyle name="Normal 3 5 2 2 2 3 4" xfId="8638" xr:uid="{00000000-0005-0000-0000-0000FE250000}"/>
    <cellStyle name="Normal 3 5 2 2 2 4" xfId="2280" xr:uid="{00000000-0005-0000-0000-0000FF250000}"/>
    <cellStyle name="Normal 3 5 2 2 2 4 2" xfId="6125" xr:uid="{00000000-0005-0000-0000-000000260000}"/>
    <cellStyle name="Normal 3 5 2 2 2 4 2 2" xfId="13354" xr:uid="{00000000-0005-0000-0000-000001260000}"/>
    <cellStyle name="Normal 3 5 2 2 2 4 3" xfId="9509" xr:uid="{00000000-0005-0000-0000-000002260000}"/>
    <cellStyle name="Normal 3 5 2 2 2 5" xfId="6118" xr:uid="{00000000-0005-0000-0000-000003260000}"/>
    <cellStyle name="Normal 3 5 2 2 2 5 2" xfId="13347" xr:uid="{00000000-0005-0000-0000-000004260000}"/>
    <cellStyle name="Normal 3 5 2 2 2 6" xfId="7771" xr:uid="{00000000-0005-0000-0000-000005260000}"/>
    <cellStyle name="Normal 3 5 2 2 3" xfId="748" xr:uid="{00000000-0005-0000-0000-000006260000}"/>
    <cellStyle name="Normal 3 5 2 2 3 2" xfId="1621" xr:uid="{00000000-0005-0000-0000-000007260000}"/>
    <cellStyle name="Normal 3 5 2 2 3 2 2" xfId="3360" xr:uid="{00000000-0005-0000-0000-000008260000}"/>
    <cellStyle name="Normal 3 5 2 2 3 2 2 2" xfId="6128" xr:uid="{00000000-0005-0000-0000-000009260000}"/>
    <cellStyle name="Normal 3 5 2 2 3 2 2 2 2" xfId="13357" xr:uid="{00000000-0005-0000-0000-00000A260000}"/>
    <cellStyle name="Normal 3 5 2 2 3 2 2 3" xfId="10589" xr:uid="{00000000-0005-0000-0000-00000B260000}"/>
    <cellStyle name="Normal 3 5 2 2 3 2 3" xfId="6127" xr:uid="{00000000-0005-0000-0000-00000C260000}"/>
    <cellStyle name="Normal 3 5 2 2 3 2 3 2" xfId="13356" xr:uid="{00000000-0005-0000-0000-00000D260000}"/>
    <cellStyle name="Normal 3 5 2 2 3 2 4" xfId="8851" xr:uid="{00000000-0005-0000-0000-00000E260000}"/>
    <cellStyle name="Normal 3 5 2 2 3 3" xfId="2493" xr:uid="{00000000-0005-0000-0000-00000F260000}"/>
    <cellStyle name="Normal 3 5 2 2 3 3 2" xfId="6129" xr:uid="{00000000-0005-0000-0000-000010260000}"/>
    <cellStyle name="Normal 3 5 2 2 3 3 2 2" xfId="13358" xr:uid="{00000000-0005-0000-0000-000011260000}"/>
    <cellStyle name="Normal 3 5 2 2 3 3 3" xfId="9722" xr:uid="{00000000-0005-0000-0000-000012260000}"/>
    <cellStyle name="Normal 3 5 2 2 3 4" xfId="6126" xr:uid="{00000000-0005-0000-0000-000013260000}"/>
    <cellStyle name="Normal 3 5 2 2 3 4 2" xfId="13355" xr:uid="{00000000-0005-0000-0000-000014260000}"/>
    <cellStyle name="Normal 3 5 2 2 3 5" xfId="7984" xr:uid="{00000000-0005-0000-0000-000015260000}"/>
    <cellStyle name="Normal 3 5 2 2 4" xfId="1190" xr:uid="{00000000-0005-0000-0000-000016260000}"/>
    <cellStyle name="Normal 3 5 2 2 4 2" xfId="2929" xr:uid="{00000000-0005-0000-0000-000017260000}"/>
    <cellStyle name="Normal 3 5 2 2 4 2 2" xfId="6131" xr:uid="{00000000-0005-0000-0000-000018260000}"/>
    <cellStyle name="Normal 3 5 2 2 4 2 2 2" xfId="13360" xr:uid="{00000000-0005-0000-0000-000019260000}"/>
    <cellStyle name="Normal 3 5 2 2 4 2 3" xfId="10158" xr:uid="{00000000-0005-0000-0000-00001A260000}"/>
    <cellStyle name="Normal 3 5 2 2 4 3" xfId="6130" xr:uid="{00000000-0005-0000-0000-00001B260000}"/>
    <cellStyle name="Normal 3 5 2 2 4 3 2" xfId="13359" xr:uid="{00000000-0005-0000-0000-00001C260000}"/>
    <cellStyle name="Normal 3 5 2 2 4 4" xfId="8420" xr:uid="{00000000-0005-0000-0000-00001D260000}"/>
    <cellStyle name="Normal 3 5 2 2 5" xfId="2062" xr:uid="{00000000-0005-0000-0000-00001E260000}"/>
    <cellStyle name="Normal 3 5 2 2 5 2" xfId="6132" xr:uid="{00000000-0005-0000-0000-00001F260000}"/>
    <cellStyle name="Normal 3 5 2 2 5 2 2" xfId="13361" xr:uid="{00000000-0005-0000-0000-000020260000}"/>
    <cellStyle name="Normal 3 5 2 2 5 3" xfId="9291" xr:uid="{00000000-0005-0000-0000-000021260000}"/>
    <cellStyle name="Normal 3 5 2 2 6" xfId="6117" xr:uid="{00000000-0005-0000-0000-000022260000}"/>
    <cellStyle name="Normal 3 5 2 2 6 2" xfId="13346" xr:uid="{00000000-0005-0000-0000-000023260000}"/>
    <cellStyle name="Normal 3 5 2 2 7" xfId="7553" xr:uid="{00000000-0005-0000-0000-000024260000}"/>
    <cellStyle name="Normal 3 5 2 3" xfId="424" xr:uid="{00000000-0005-0000-0000-000025260000}"/>
    <cellStyle name="Normal 3 5 2 3 2" xfId="870" xr:uid="{00000000-0005-0000-0000-000026260000}"/>
    <cellStyle name="Normal 3 5 2 3 2 2" xfId="1737" xr:uid="{00000000-0005-0000-0000-000027260000}"/>
    <cellStyle name="Normal 3 5 2 3 2 2 2" xfId="3476" xr:uid="{00000000-0005-0000-0000-000028260000}"/>
    <cellStyle name="Normal 3 5 2 3 2 2 2 2" xfId="6136" xr:uid="{00000000-0005-0000-0000-000029260000}"/>
    <cellStyle name="Normal 3 5 2 3 2 2 2 2 2" xfId="13365" xr:uid="{00000000-0005-0000-0000-00002A260000}"/>
    <cellStyle name="Normal 3 5 2 3 2 2 2 3" xfId="10705" xr:uid="{00000000-0005-0000-0000-00002B260000}"/>
    <cellStyle name="Normal 3 5 2 3 2 2 3" xfId="6135" xr:uid="{00000000-0005-0000-0000-00002C260000}"/>
    <cellStyle name="Normal 3 5 2 3 2 2 3 2" xfId="13364" xr:uid="{00000000-0005-0000-0000-00002D260000}"/>
    <cellStyle name="Normal 3 5 2 3 2 2 4" xfId="8967" xr:uid="{00000000-0005-0000-0000-00002E260000}"/>
    <cellStyle name="Normal 3 5 2 3 2 3" xfId="2609" xr:uid="{00000000-0005-0000-0000-00002F260000}"/>
    <cellStyle name="Normal 3 5 2 3 2 3 2" xfId="6137" xr:uid="{00000000-0005-0000-0000-000030260000}"/>
    <cellStyle name="Normal 3 5 2 3 2 3 2 2" xfId="13366" xr:uid="{00000000-0005-0000-0000-000031260000}"/>
    <cellStyle name="Normal 3 5 2 3 2 3 3" xfId="9838" xr:uid="{00000000-0005-0000-0000-000032260000}"/>
    <cellStyle name="Normal 3 5 2 3 2 4" xfId="6134" xr:uid="{00000000-0005-0000-0000-000033260000}"/>
    <cellStyle name="Normal 3 5 2 3 2 4 2" xfId="13363" xr:uid="{00000000-0005-0000-0000-000034260000}"/>
    <cellStyle name="Normal 3 5 2 3 2 5" xfId="8100" xr:uid="{00000000-0005-0000-0000-000035260000}"/>
    <cellStyle name="Normal 3 5 2 3 3" xfId="1306" xr:uid="{00000000-0005-0000-0000-000036260000}"/>
    <cellStyle name="Normal 3 5 2 3 3 2" xfId="3045" xr:uid="{00000000-0005-0000-0000-000037260000}"/>
    <cellStyle name="Normal 3 5 2 3 3 2 2" xfId="6139" xr:uid="{00000000-0005-0000-0000-000038260000}"/>
    <cellStyle name="Normal 3 5 2 3 3 2 2 2" xfId="13368" xr:uid="{00000000-0005-0000-0000-000039260000}"/>
    <cellStyle name="Normal 3 5 2 3 3 2 3" xfId="10274" xr:uid="{00000000-0005-0000-0000-00003A260000}"/>
    <cellStyle name="Normal 3 5 2 3 3 3" xfId="6138" xr:uid="{00000000-0005-0000-0000-00003B260000}"/>
    <cellStyle name="Normal 3 5 2 3 3 3 2" xfId="13367" xr:uid="{00000000-0005-0000-0000-00003C260000}"/>
    <cellStyle name="Normal 3 5 2 3 3 4" xfId="8536" xr:uid="{00000000-0005-0000-0000-00003D260000}"/>
    <cellStyle name="Normal 3 5 2 3 4" xfId="2178" xr:uid="{00000000-0005-0000-0000-00003E260000}"/>
    <cellStyle name="Normal 3 5 2 3 4 2" xfId="6140" xr:uid="{00000000-0005-0000-0000-00003F260000}"/>
    <cellStyle name="Normal 3 5 2 3 4 2 2" xfId="13369" xr:uid="{00000000-0005-0000-0000-000040260000}"/>
    <cellStyle name="Normal 3 5 2 3 4 3" xfId="9407" xr:uid="{00000000-0005-0000-0000-000041260000}"/>
    <cellStyle name="Normal 3 5 2 3 5" xfId="6133" xr:uid="{00000000-0005-0000-0000-000042260000}"/>
    <cellStyle name="Normal 3 5 2 3 5 2" xfId="13362" xr:uid="{00000000-0005-0000-0000-000043260000}"/>
    <cellStyle name="Normal 3 5 2 3 6" xfId="7669" xr:uid="{00000000-0005-0000-0000-000044260000}"/>
    <cellStyle name="Normal 3 5 2 4" xfId="643" xr:uid="{00000000-0005-0000-0000-000045260000}"/>
    <cellStyle name="Normal 3 5 2 4 2" xfId="1519" xr:uid="{00000000-0005-0000-0000-000046260000}"/>
    <cellStyle name="Normal 3 5 2 4 2 2" xfId="3258" xr:uid="{00000000-0005-0000-0000-000047260000}"/>
    <cellStyle name="Normal 3 5 2 4 2 2 2" xfId="6143" xr:uid="{00000000-0005-0000-0000-000048260000}"/>
    <cellStyle name="Normal 3 5 2 4 2 2 2 2" xfId="13372" xr:uid="{00000000-0005-0000-0000-000049260000}"/>
    <cellStyle name="Normal 3 5 2 4 2 2 3" xfId="10487" xr:uid="{00000000-0005-0000-0000-00004A260000}"/>
    <cellStyle name="Normal 3 5 2 4 2 3" xfId="6142" xr:uid="{00000000-0005-0000-0000-00004B260000}"/>
    <cellStyle name="Normal 3 5 2 4 2 3 2" xfId="13371" xr:uid="{00000000-0005-0000-0000-00004C260000}"/>
    <cellStyle name="Normal 3 5 2 4 2 4" xfId="8749" xr:uid="{00000000-0005-0000-0000-00004D260000}"/>
    <cellStyle name="Normal 3 5 2 4 3" xfId="2391" xr:uid="{00000000-0005-0000-0000-00004E260000}"/>
    <cellStyle name="Normal 3 5 2 4 3 2" xfId="6144" xr:uid="{00000000-0005-0000-0000-00004F260000}"/>
    <cellStyle name="Normal 3 5 2 4 3 2 2" xfId="13373" xr:uid="{00000000-0005-0000-0000-000050260000}"/>
    <cellStyle name="Normal 3 5 2 4 3 3" xfId="9620" xr:uid="{00000000-0005-0000-0000-000051260000}"/>
    <cellStyle name="Normal 3 5 2 4 4" xfId="6141" xr:uid="{00000000-0005-0000-0000-000052260000}"/>
    <cellStyle name="Normal 3 5 2 4 4 2" xfId="13370" xr:uid="{00000000-0005-0000-0000-000053260000}"/>
    <cellStyle name="Normal 3 5 2 4 5" xfId="7882" xr:uid="{00000000-0005-0000-0000-000054260000}"/>
    <cellStyle name="Normal 3 5 2 5" xfId="1088" xr:uid="{00000000-0005-0000-0000-000055260000}"/>
    <cellStyle name="Normal 3 5 2 5 2" xfId="2827" xr:uid="{00000000-0005-0000-0000-000056260000}"/>
    <cellStyle name="Normal 3 5 2 5 2 2" xfId="6146" xr:uid="{00000000-0005-0000-0000-000057260000}"/>
    <cellStyle name="Normal 3 5 2 5 2 2 2" xfId="13375" xr:uid="{00000000-0005-0000-0000-000058260000}"/>
    <cellStyle name="Normal 3 5 2 5 2 3" xfId="10056" xr:uid="{00000000-0005-0000-0000-000059260000}"/>
    <cellStyle name="Normal 3 5 2 5 3" xfId="6145" xr:uid="{00000000-0005-0000-0000-00005A260000}"/>
    <cellStyle name="Normal 3 5 2 5 3 2" xfId="13374" xr:uid="{00000000-0005-0000-0000-00005B260000}"/>
    <cellStyle name="Normal 3 5 2 5 4" xfId="8318" xr:uid="{00000000-0005-0000-0000-00005C260000}"/>
    <cellStyle name="Normal 3 5 2 6" xfId="1960" xr:uid="{00000000-0005-0000-0000-00005D260000}"/>
    <cellStyle name="Normal 3 5 2 6 2" xfId="6147" xr:uid="{00000000-0005-0000-0000-00005E260000}"/>
    <cellStyle name="Normal 3 5 2 6 2 2" xfId="13376" xr:uid="{00000000-0005-0000-0000-00005F260000}"/>
    <cellStyle name="Normal 3 5 2 6 3" xfId="9189" xr:uid="{00000000-0005-0000-0000-000060260000}"/>
    <cellStyle name="Normal 3 5 2 7" xfId="6116" xr:uid="{00000000-0005-0000-0000-000061260000}"/>
    <cellStyle name="Normal 3 5 2 7 2" xfId="13345" xr:uid="{00000000-0005-0000-0000-000062260000}"/>
    <cellStyle name="Normal 3 5 2 8" xfId="7449" xr:uid="{00000000-0005-0000-0000-000063260000}"/>
    <cellStyle name="Normal 3 5 3" xfId="75" xr:uid="{00000000-0005-0000-0000-000064260000}"/>
    <cellStyle name="Normal 3 5 3 2" xfId="294" xr:uid="{00000000-0005-0000-0000-000065260000}"/>
    <cellStyle name="Normal 3 5 3 2 2" xfId="520" xr:uid="{00000000-0005-0000-0000-000066260000}"/>
    <cellStyle name="Normal 3 5 3 2 2 2" xfId="966" xr:uid="{00000000-0005-0000-0000-000067260000}"/>
    <cellStyle name="Normal 3 5 3 2 2 2 2" xfId="1833" xr:uid="{00000000-0005-0000-0000-000068260000}"/>
    <cellStyle name="Normal 3 5 3 2 2 2 2 2" xfId="3572" xr:uid="{00000000-0005-0000-0000-000069260000}"/>
    <cellStyle name="Normal 3 5 3 2 2 2 2 2 2" xfId="6153" xr:uid="{00000000-0005-0000-0000-00006A260000}"/>
    <cellStyle name="Normal 3 5 3 2 2 2 2 2 2 2" xfId="13382" xr:uid="{00000000-0005-0000-0000-00006B260000}"/>
    <cellStyle name="Normal 3 5 3 2 2 2 2 2 3" xfId="10801" xr:uid="{00000000-0005-0000-0000-00006C260000}"/>
    <cellStyle name="Normal 3 5 3 2 2 2 2 3" xfId="6152" xr:uid="{00000000-0005-0000-0000-00006D260000}"/>
    <cellStyle name="Normal 3 5 3 2 2 2 2 3 2" xfId="13381" xr:uid="{00000000-0005-0000-0000-00006E260000}"/>
    <cellStyle name="Normal 3 5 3 2 2 2 2 4" xfId="9063" xr:uid="{00000000-0005-0000-0000-00006F260000}"/>
    <cellStyle name="Normal 3 5 3 2 2 2 3" xfId="2705" xr:uid="{00000000-0005-0000-0000-000070260000}"/>
    <cellStyle name="Normal 3 5 3 2 2 2 3 2" xfId="6154" xr:uid="{00000000-0005-0000-0000-000071260000}"/>
    <cellStyle name="Normal 3 5 3 2 2 2 3 2 2" xfId="13383" xr:uid="{00000000-0005-0000-0000-000072260000}"/>
    <cellStyle name="Normal 3 5 3 2 2 2 3 3" xfId="9934" xr:uid="{00000000-0005-0000-0000-000073260000}"/>
    <cellStyle name="Normal 3 5 3 2 2 2 4" xfId="6151" xr:uid="{00000000-0005-0000-0000-000074260000}"/>
    <cellStyle name="Normal 3 5 3 2 2 2 4 2" xfId="13380" xr:uid="{00000000-0005-0000-0000-000075260000}"/>
    <cellStyle name="Normal 3 5 3 2 2 2 5" xfId="8196" xr:uid="{00000000-0005-0000-0000-000076260000}"/>
    <cellStyle name="Normal 3 5 3 2 2 3" xfId="1402" xr:uid="{00000000-0005-0000-0000-000077260000}"/>
    <cellStyle name="Normal 3 5 3 2 2 3 2" xfId="3141" xr:uid="{00000000-0005-0000-0000-000078260000}"/>
    <cellStyle name="Normal 3 5 3 2 2 3 2 2" xfId="6156" xr:uid="{00000000-0005-0000-0000-000079260000}"/>
    <cellStyle name="Normal 3 5 3 2 2 3 2 2 2" xfId="13385" xr:uid="{00000000-0005-0000-0000-00007A260000}"/>
    <cellStyle name="Normal 3 5 3 2 2 3 2 3" xfId="10370" xr:uid="{00000000-0005-0000-0000-00007B260000}"/>
    <cellStyle name="Normal 3 5 3 2 2 3 3" xfId="6155" xr:uid="{00000000-0005-0000-0000-00007C260000}"/>
    <cellStyle name="Normal 3 5 3 2 2 3 3 2" xfId="13384" xr:uid="{00000000-0005-0000-0000-00007D260000}"/>
    <cellStyle name="Normal 3 5 3 2 2 3 4" xfId="8632" xr:uid="{00000000-0005-0000-0000-00007E260000}"/>
    <cellStyle name="Normal 3 5 3 2 2 4" xfId="2274" xr:uid="{00000000-0005-0000-0000-00007F260000}"/>
    <cellStyle name="Normal 3 5 3 2 2 4 2" xfId="6157" xr:uid="{00000000-0005-0000-0000-000080260000}"/>
    <cellStyle name="Normal 3 5 3 2 2 4 2 2" xfId="13386" xr:uid="{00000000-0005-0000-0000-000081260000}"/>
    <cellStyle name="Normal 3 5 3 2 2 4 3" xfId="9503" xr:uid="{00000000-0005-0000-0000-000082260000}"/>
    <cellStyle name="Normal 3 5 3 2 2 5" xfId="6150" xr:uid="{00000000-0005-0000-0000-000083260000}"/>
    <cellStyle name="Normal 3 5 3 2 2 5 2" xfId="13379" xr:uid="{00000000-0005-0000-0000-000084260000}"/>
    <cellStyle name="Normal 3 5 3 2 2 6" xfId="7765" xr:uid="{00000000-0005-0000-0000-000085260000}"/>
    <cellStyle name="Normal 3 5 3 2 3" xfId="742" xr:uid="{00000000-0005-0000-0000-000086260000}"/>
    <cellStyle name="Normal 3 5 3 2 3 2" xfId="1615" xr:uid="{00000000-0005-0000-0000-000087260000}"/>
    <cellStyle name="Normal 3 5 3 2 3 2 2" xfId="3354" xr:uid="{00000000-0005-0000-0000-000088260000}"/>
    <cellStyle name="Normal 3 5 3 2 3 2 2 2" xfId="6160" xr:uid="{00000000-0005-0000-0000-000089260000}"/>
    <cellStyle name="Normal 3 5 3 2 3 2 2 2 2" xfId="13389" xr:uid="{00000000-0005-0000-0000-00008A260000}"/>
    <cellStyle name="Normal 3 5 3 2 3 2 2 3" xfId="10583" xr:uid="{00000000-0005-0000-0000-00008B260000}"/>
    <cellStyle name="Normal 3 5 3 2 3 2 3" xfId="6159" xr:uid="{00000000-0005-0000-0000-00008C260000}"/>
    <cellStyle name="Normal 3 5 3 2 3 2 3 2" xfId="13388" xr:uid="{00000000-0005-0000-0000-00008D260000}"/>
    <cellStyle name="Normal 3 5 3 2 3 2 4" xfId="8845" xr:uid="{00000000-0005-0000-0000-00008E260000}"/>
    <cellStyle name="Normal 3 5 3 2 3 3" xfId="2487" xr:uid="{00000000-0005-0000-0000-00008F260000}"/>
    <cellStyle name="Normal 3 5 3 2 3 3 2" xfId="6161" xr:uid="{00000000-0005-0000-0000-000090260000}"/>
    <cellStyle name="Normal 3 5 3 2 3 3 2 2" xfId="13390" xr:uid="{00000000-0005-0000-0000-000091260000}"/>
    <cellStyle name="Normal 3 5 3 2 3 3 3" xfId="9716" xr:uid="{00000000-0005-0000-0000-000092260000}"/>
    <cellStyle name="Normal 3 5 3 2 3 4" xfId="6158" xr:uid="{00000000-0005-0000-0000-000093260000}"/>
    <cellStyle name="Normal 3 5 3 2 3 4 2" xfId="13387" xr:uid="{00000000-0005-0000-0000-000094260000}"/>
    <cellStyle name="Normal 3 5 3 2 3 5" xfId="7978" xr:uid="{00000000-0005-0000-0000-000095260000}"/>
    <cellStyle name="Normal 3 5 3 2 4" xfId="1184" xr:uid="{00000000-0005-0000-0000-000096260000}"/>
    <cellStyle name="Normal 3 5 3 2 4 2" xfId="2923" xr:uid="{00000000-0005-0000-0000-000097260000}"/>
    <cellStyle name="Normal 3 5 3 2 4 2 2" xfId="6163" xr:uid="{00000000-0005-0000-0000-000098260000}"/>
    <cellStyle name="Normal 3 5 3 2 4 2 2 2" xfId="13392" xr:uid="{00000000-0005-0000-0000-000099260000}"/>
    <cellStyle name="Normal 3 5 3 2 4 2 3" xfId="10152" xr:uid="{00000000-0005-0000-0000-00009A260000}"/>
    <cellStyle name="Normal 3 5 3 2 4 3" xfId="6162" xr:uid="{00000000-0005-0000-0000-00009B260000}"/>
    <cellStyle name="Normal 3 5 3 2 4 3 2" xfId="13391" xr:uid="{00000000-0005-0000-0000-00009C260000}"/>
    <cellStyle name="Normal 3 5 3 2 4 4" xfId="8414" xr:uid="{00000000-0005-0000-0000-00009D260000}"/>
    <cellStyle name="Normal 3 5 3 2 5" xfId="2056" xr:uid="{00000000-0005-0000-0000-00009E260000}"/>
    <cellStyle name="Normal 3 5 3 2 5 2" xfId="6164" xr:uid="{00000000-0005-0000-0000-00009F260000}"/>
    <cellStyle name="Normal 3 5 3 2 5 2 2" xfId="13393" xr:uid="{00000000-0005-0000-0000-0000A0260000}"/>
    <cellStyle name="Normal 3 5 3 2 5 3" xfId="9285" xr:uid="{00000000-0005-0000-0000-0000A1260000}"/>
    <cellStyle name="Normal 3 5 3 2 6" xfId="6149" xr:uid="{00000000-0005-0000-0000-0000A2260000}"/>
    <cellStyle name="Normal 3 5 3 2 6 2" xfId="13378" xr:uid="{00000000-0005-0000-0000-0000A3260000}"/>
    <cellStyle name="Normal 3 5 3 2 7" xfId="7547" xr:uid="{00000000-0005-0000-0000-0000A4260000}"/>
    <cellStyle name="Normal 3 5 3 3" xfId="418" xr:uid="{00000000-0005-0000-0000-0000A5260000}"/>
    <cellStyle name="Normal 3 5 3 3 2" xfId="864" xr:uid="{00000000-0005-0000-0000-0000A6260000}"/>
    <cellStyle name="Normal 3 5 3 3 2 2" xfId="1731" xr:uid="{00000000-0005-0000-0000-0000A7260000}"/>
    <cellStyle name="Normal 3 5 3 3 2 2 2" xfId="3470" xr:uid="{00000000-0005-0000-0000-0000A8260000}"/>
    <cellStyle name="Normal 3 5 3 3 2 2 2 2" xfId="6168" xr:uid="{00000000-0005-0000-0000-0000A9260000}"/>
    <cellStyle name="Normal 3 5 3 3 2 2 2 2 2" xfId="13397" xr:uid="{00000000-0005-0000-0000-0000AA260000}"/>
    <cellStyle name="Normal 3 5 3 3 2 2 2 3" xfId="10699" xr:uid="{00000000-0005-0000-0000-0000AB260000}"/>
    <cellStyle name="Normal 3 5 3 3 2 2 3" xfId="6167" xr:uid="{00000000-0005-0000-0000-0000AC260000}"/>
    <cellStyle name="Normal 3 5 3 3 2 2 3 2" xfId="13396" xr:uid="{00000000-0005-0000-0000-0000AD260000}"/>
    <cellStyle name="Normal 3 5 3 3 2 2 4" xfId="8961" xr:uid="{00000000-0005-0000-0000-0000AE260000}"/>
    <cellStyle name="Normal 3 5 3 3 2 3" xfId="2603" xr:uid="{00000000-0005-0000-0000-0000AF260000}"/>
    <cellStyle name="Normal 3 5 3 3 2 3 2" xfId="6169" xr:uid="{00000000-0005-0000-0000-0000B0260000}"/>
    <cellStyle name="Normal 3 5 3 3 2 3 2 2" xfId="13398" xr:uid="{00000000-0005-0000-0000-0000B1260000}"/>
    <cellStyle name="Normal 3 5 3 3 2 3 3" xfId="9832" xr:uid="{00000000-0005-0000-0000-0000B2260000}"/>
    <cellStyle name="Normal 3 5 3 3 2 4" xfId="6166" xr:uid="{00000000-0005-0000-0000-0000B3260000}"/>
    <cellStyle name="Normal 3 5 3 3 2 4 2" xfId="13395" xr:uid="{00000000-0005-0000-0000-0000B4260000}"/>
    <cellStyle name="Normal 3 5 3 3 2 5" xfId="8094" xr:uid="{00000000-0005-0000-0000-0000B5260000}"/>
    <cellStyle name="Normal 3 5 3 3 3" xfId="1300" xr:uid="{00000000-0005-0000-0000-0000B6260000}"/>
    <cellStyle name="Normal 3 5 3 3 3 2" xfId="3039" xr:uid="{00000000-0005-0000-0000-0000B7260000}"/>
    <cellStyle name="Normal 3 5 3 3 3 2 2" xfId="6171" xr:uid="{00000000-0005-0000-0000-0000B8260000}"/>
    <cellStyle name="Normal 3 5 3 3 3 2 2 2" xfId="13400" xr:uid="{00000000-0005-0000-0000-0000B9260000}"/>
    <cellStyle name="Normal 3 5 3 3 3 2 3" xfId="10268" xr:uid="{00000000-0005-0000-0000-0000BA260000}"/>
    <cellStyle name="Normal 3 5 3 3 3 3" xfId="6170" xr:uid="{00000000-0005-0000-0000-0000BB260000}"/>
    <cellStyle name="Normal 3 5 3 3 3 3 2" xfId="13399" xr:uid="{00000000-0005-0000-0000-0000BC260000}"/>
    <cellStyle name="Normal 3 5 3 3 3 4" xfId="8530" xr:uid="{00000000-0005-0000-0000-0000BD260000}"/>
    <cellStyle name="Normal 3 5 3 3 4" xfId="2172" xr:uid="{00000000-0005-0000-0000-0000BE260000}"/>
    <cellStyle name="Normal 3 5 3 3 4 2" xfId="6172" xr:uid="{00000000-0005-0000-0000-0000BF260000}"/>
    <cellStyle name="Normal 3 5 3 3 4 2 2" xfId="13401" xr:uid="{00000000-0005-0000-0000-0000C0260000}"/>
    <cellStyle name="Normal 3 5 3 3 4 3" xfId="9401" xr:uid="{00000000-0005-0000-0000-0000C1260000}"/>
    <cellStyle name="Normal 3 5 3 3 5" xfId="6165" xr:uid="{00000000-0005-0000-0000-0000C2260000}"/>
    <cellStyle name="Normal 3 5 3 3 5 2" xfId="13394" xr:uid="{00000000-0005-0000-0000-0000C3260000}"/>
    <cellStyle name="Normal 3 5 3 3 6" xfId="7663" xr:uid="{00000000-0005-0000-0000-0000C4260000}"/>
    <cellStyle name="Normal 3 5 3 4" xfId="637" xr:uid="{00000000-0005-0000-0000-0000C5260000}"/>
    <cellStyle name="Normal 3 5 3 4 2" xfId="1513" xr:uid="{00000000-0005-0000-0000-0000C6260000}"/>
    <cellStyle name="Normal 3 5 3 4 2 2" xfId="3252" xr:uid="{00000000-0005-0000-0000-0000C7260000}"/>
    <cellStyle name="Normal 3 5 3 4 2 2 2" xfId="6175" xr:uid="{00000000-0005-0000-0000-0000C8260000}"/>
    <cellStyle name="Normal 3 5 3 4 2 2 2 2" xfId="13404" xr:uid="{00000000-0005-0000-0000-0000C9260000}"/>
    <cellStyle name="Normal 3 5 3 4 2 2 3" xfId="10481" xr:uid="{00000000-0005-0000-0000-0000CA260000}"/>
    <cellStyle name="Normal 3 5 3 4 2 3" xfId="6174" xr:uid="{00000000-0005-0000-0000-0000CB260000}"/>
    <cellStyle name="Normal 3 5 3 4 2 3 2" xfId="13403" xr:uid="{00000000-0005-0000-0000-0000CC260000}"/>
    <cellStyle name="Normal 3 5 3 4 2 4" xfId="8743" xr:uid="{00000000-0005-0000-0000-0000CD260000}"/>
    <cellStyle name="Normal 3 5 3 4 3" xfId="2385" xr:uid="{00000000-0005-0000-0000-0000CE260000}"/>
    <cellStyle name="Normal 3 5 3 4 3 2" xfId="6176" xr:uid="{00000000-0005-0000-0000-0000CF260000}"/>
    <cellStyle name="Normal 3 5 3 4 3 2 2" xfId="13405" xr:uid="{00000000-0005-0000-0000-0000D0260000}"/>
    <cellStyle name="Normal 3 5 3 4 3 3" xfId="9614" xr:uid="{00000000-0005-0000-0000-0000D1260000}"/>
    <cellStyle name="Normal 3 5 3 4 4" xfId="6173" xr:uid="{00000000-0005-0000-0000-0000D2260000}"/>
    <cellStyle name="Normal 3 5 3 4 4 2" xfId="13402" xr:uid="{00000000-0005-0000-0000-0000D3260000}"/>
    <cellStyle name="Normal 3 5 3 4 5" xfId="7876" xr:uid="{00000000-0005-0000-0000-0000D4260000}"/>
    <cellStyle name="Normal 3 5 3 5" xfId="1082" xr:uid="{00000000-0005-0000-0000-0000D5260000}"/>
    <cellStyle name="Normal 3 5 3 5 2" xfId="2821" xr:uid="{00000000-0005-0000-0000-0000D6260000}"/>
    <cellStyle name="Normal 3 5 3 5 2 2" xfId="6178" xr:uid="{00000000-0005-0000-0000-0000D7260000}"/>
    <cellStyle name="Normal 3 5 3 5 2 2 2" xfId="13407" xr:uid="{00000000-0005-0000-0000-0000D8260000}"/>
    <cellStyle name="Normal 3 5 3 5 2 3" xfId="10050" xr:uid="{00000000-0005-0000-0000-0000D9260000}"/>
    <cellStyle name="Normal 3 5 3 5 3" xfId="6177" xr:uid="{00000000-0005-0000-0000-0000DA260000}"/>
    <cellStyle name="Normal 3 5 3 5 3 2" xfId="13406" xr:uid="{00000000-0005-0000-0000-0000DB260000}"/>
    <cellStyle name="Normal 3 5 3 5 4" xfId="8312" xr:uid="{00000000-0005-0000-0000-0000DC260000}"/>
    <cellStyle name="Normal 3 5 3 6" xfId="1954" xr:uid="{00000000-0005-0000-0000-0000DD260000}"/>
    <cellStyle name="Normal 3 5 3 6 2" xfId="6179" xr:uid="{00000000-0005-0000-0000-0000DE260000}"/>
    <cellStyle name="Normal 3 5 3 6 2 2" xfId="13408" xr:uid="{00000000-0005-0000-0000-0000DF260000}"/>
    <cellStyle name="Normal 3 5 3 6 3" xfId="9183" xr:uid="{00000000-0005-0000-0000-0000E0260000}"/>
    <cellStyle name="Normal 3 5 3 7" xfId="6148" xr:uid="{00000000-0005-0000-0000-0000E1260000}"/>
    <cellStyle name="Normal 3 5 3 7 2" xfId="13377" xr:uid="{00000000-0005-0000-0000-0000E2260000}"/>
    <cellStyle name="Normal 3 5 3 8" xfId="7443" xr:uid="{00000000-0005-0000-0000-0000E3260000}"/>
    <cellStyle name="Normal 3 5 4" xfId="267" xr:uid="{00000000-0005-0000-0000-0000E4260000}"/>
    <cellStyle name="Normal 3 5 4 2" xfId="493" xr:uid="{00000000-0005-0000-0000-0000E5260000}"/>
    <cellStyle name="Normal 3 5 4 2 2" xfId="939" xr:uid="{00000000-0005-0000-0000-0000E6260000}"/>
    <cellStyle name="Normal 3 5 4 2 2 2" xfId="1806" xr:uid="{00000000-0005-0000-0000-0000E7260000}"/>
    <cellStyle name="Normal 3 5 4 2 2 2 2" xfId="3545" xr:uid="{00000000-0005-0000-0000-0000E8260000}"/>
    <cellStyle name="Normal 3 5 4 2 2 2 2 2" xfId="6184" xr:uid="{00000000-0005-0000-0000-0000E9260000}"/>
    <cellStyle name="Normal 3 5 4 2 2 2 2 2 2" xfId="13413" xr:uid="{00000000-0005-0000-0000-0000EA260000}"/>
    <cellStyle name="Normal 3 5 4 2 2 2 2 3" xfId="10774" xr:uid="{00000000-0005-0000-0000-0000EB260000}"/>
    <cellStyle name="Normal 3 5 4 2 2 2 3" xfId="6183" xr:uid="{00000000-0005-0000-0000-0000EC260000}"/>
    <cellStyle name="Normal 3 5 4 2 2 2 3 2" xfId="13412" xr:uid="{00000000-0005-0000-0000-0000ED260000}"/>
    <cellStyle name="Normal 3 5 4 2 2 2 4" xfId="9036" xr:uid="{00000000-0005-0000-0000-0000EE260000}"/>
    <cellStyle name="Normal 3 5 4 2 2 3" xfId="2678" xr:uid="{00000000-0005-0000-0000-0000EF260000}"/>
    <cellStyle name="Normal 3 5 4 2 2 3 2" xfId="6185" xr:uid="{00000000-0005-0000-0000-0000F0260000}"/>
    <cellStyle name="Normal 3 5 4 2 2 3 2 2" xfId="13414" xr:uid="{00000000-0005-0000-0000-0000F1260000}"/>
    <cellStyle name="Normal 3 5 4 2 2 3 3" xfId="9907" xr:uid="{00000000-0005-0000-0000-0000F2260000}"/>
    <cellStyle name="Normal 3 5 4 2 2 4" xfId="6182" xr:uid="{00000000-0005-0000-0000-0000F3260000}"/>
    <cellStyle name="Normal 3 5 4 2 2 4 2" xfId="13411" xr:uid="{00000000-0005-0000-0000-0000F4260000}"/>
    <cellStyle name="Normal 3 5 4 2 2 5" xfId="8169" xr:uid="{00000000-0005-0000-0000-0000F5260000}"/>
    <cellStyle name="Normal 3 5 4 2 3" xfId="1375" xr:uid="{00000000-0005-0000-0000-0000F6260000}"/>
    <cellStyle name="Normal 3 5 4 2 3 2" xfId="3114" xr:uid="{00000000-0005-0000-0000-0000F7260000}"/>
    <cellStyle name="Normal 3 5 4 2 3 2 2" xfId="6187" xr:uid="{00000000-0005-0000-0000-0000F8260000}"/>
    <cellStyle name="Normal 3 5 4 2 3 2 2 2" xfId="13416" xr:uid="{00000000-0005-0000-0000-0000F9260000}"/>
    <cellStyle name="Normal 3 5 4 2 3 2 3" xfId="10343" xr:uid="{00000000-0005-0000-0000-0000FA260000}"/>
    <cellStyle name="Normal 3 5 4 2 3 3" xfId="6186" xr:uid="{00000000-0005-0000-0000-0000FB260000}"/>
    <cellStyle name="Normal 3 5 4 2 3 3 2" xfId="13415" xr:uid="{00000000-0005-0000-0000-0000FC260000}"/>
    <cellStyle name="Normal 3 5 4 2 3 4" xfId="8605" xr:uid="{00000000-0005-0000-0000-0000FD260000}"/>
    <cellStyle name="Normal 3 5 4 2 4" xfId="2247" xr:uid="{00000000-0005-0000-0000-0000FE260000}"/>
    <cellStyle name="Normal 3 5 4 2 4 2" xfId="6188" xr:uid="{00000000-0005-0000-0000-0000FF260000}"/>
    <cellStyle name="Normal 3 5 4 2 4 2 2" xfId="13417" xr:uid="{00000000-0005-0000-0000-000000270000}"/>
    <cellStyle name="Normal 3 5 4 2 4 3" xfId="9476" xr:uid="{00000000-0005-0000-0000-000001270000}"/>
    <cellStyle name="Normal 3 5 4 2 5" xfId="6181" xr:uid="{00000000-0005-0000-0000-000002270000}"/>
    <cellStyle name="Normal 3 5 4 2 5 2" xfId="13410" xr:uid="{00000000-0005-0000-0000-000003270000}"/>
    <cellStyle name="Normal 3 5 4 2 6" xfId="7738" xr:uid="{00000000-0005-0000-0000-000004270000}"/>
    <cellStyle name="Normal 3 5 4 3" xfId="715" xr:uid="{00000000-0005-0000-0000-000005270000}"/>
    <cellStyle name="Normal 3 5 4 3 2" xfId="1588" xr:uid="{00000000-0005-0000-0000-000006270000}"/>
    <cellStyle name="Normal 3 5 4 3 2 2" xfId="3327" xr:uid="{00000000-0005-0000-0000-000007270000}"/>
    <cellStyle name="Normal 3 5 4 3 2 2 2" xfId="6191" xr:uid="{00000000-0005-0000-0000-000008270000}"/>
    <cellStyle name="Normal 3 5 4 3 2 2 2 2" xfId="13420" xr:uid="{00000000-0005-0000-0000-000009270000}"/>
    <cellStyle name="Normal 3 5 4 3 2 2 3" xfId="10556" xr:uid="{00000000-0005-0000-0000-00000A270000}"/>
    <cellStyle name="Normal 3 5 4 3 2 3" xfId="6190" xr:uid="{00000000-0005-0000-0000-00000B270000}"/>
    <cellStyle name="Normal 3 5 4 3 2 3 2" xfId="13419" xr:uid="{00000000-0005-0000-0000-00000C270000}"/>
    <cellStyle name="Normal 3 5 4 3 2 4" xfId="8818" xr:uid="{00000000-0005-0000-0000-00000D270000}"/>
    <cellStyle name="Normal 3 5 4 3 3" xfId="2460" xr:uid="{00000000-0005-0000-0000-00000E270000}"/>
    <cellStyle name="Normal 3 5 4 3 3 2" xfId="6192" xr:uid="{00000000-0005-0000-0000-00000F270000}"/>
    <cellStyle name="Normal 3 5 4 3 3 2 2" xfId="13421" xr:uid="{00000000-0005-0000-0000-000010270000}"/>
    <cellStyle name="Normal 3 5 4 3 3 3" xfId="9689" xr:uid="{00000000-0005-0000-0000-000011270000}"/>
    <cellStyle name="Normal 3 5 4 3 4" xfId="6189" xr:uid="{00000000-0005-0000-0000-000012270000}"/>
    <cellStyle name="Normal 3 5 4 3 4 2" xfId="13418" xr:uid="{00000000-0005-0000-0000-000013270000}"/>
    <cellStyle name="Normal 3 5 4 3 5" xfId="7951" xr:uid="{00000000-0005-0000-0000-000014270000}"/>
    <cellStyle name="Normal 3 5 4 4" xfId="1157" xr:uid="{00000000-0005-0000-0000-000015270000}"/>
    <cellStyle name="Normal 3 5 4 4 2" xfId="2896" xr:uid="{00000000-0005-0000-0000-000016270000}"/>
    <cellStyle name="Normal 3 5 4 4 2 2" xfId="6194" xr:uid="{00000000-0005-0000-0000-000017270000}"/>
    <cellStyle name="Normal 3 5 4 4 2 2 2" xfId="13423" xr:uid="{00000000-0005-0000-0000-000018270000}"/>
    <cellStyle name="Normal 3 5 4 4 2 3" xfId="10125" xr:uid="{00000000-0005-0000-0000-000019270000}"/>
    <cellStyle name="Normal 3 5 4 4 3" xfId="6193" xr:uid="{00000000-0005-0000-0000-00001A270000}"/>
    <cellStyle name="Normal 3 5 4 4 3 2" xfId="13422" xr:uid="{00000000-0005-0000-0000-00001B270000}"/>
    <cellStyle name="Normal 3 5 4 4 4" xfId="8387" xr:uid="{00000000-0005-0000-0000-00001C270000}"/>
    <cellStyle name="Normal 3 5 4 5" xfId="2029" xr:uid="{00000000-0005-0000-0000-00001D270000}"/>
    <cellStyle name="Normal 3 5 4 5 2" xfId="6195" xr:uid="{00000000-0005-0000-0000-00001E270000}"/>
    <cellStyle name="Normal 3 5 4 5 2 2" xfId="13424" xr:uid="{00000000-0005-0000-0000-00001F270000}"/>
    <cellStyle name="Normal 3 5 4 5 3" xfId="9258" xr:uid="{00000000-0005-0000-0000-000020270000}"/>
    <cellStyle name="Normal 3 5 4 6" xfId="6180" xr:uid="{00000000-0005-0000-0000-000021270000}"/>
    <cellStyle name="Normal 3 5 4 6 2" xfId="13409" xr:uid="{00000000-0005-0000-0000-000022270000}"/>
    <cellStyle name="Normal 3 5 4 7" xfId="7520" xr:uid="{00000000-0005-0000-0000-000023270000}"/>
    <cellStyle name="Normal 3 5 5" xfId="391" xr:uid="{00000000-0005-0000-0000-000024270000}"/>
    <cellStyle name="Normal 3 5 5 2" xfId="837" xr:uid="{00000000-0005-0000-0000-000025270000}"/>
    <cellStyle name="Normal 3 5 5 2 2" xfId="1704" xr:uid="{00000000-0005-0000-0000-000026270000}"/>
    <cellStyle name="Normal 3 5 5 2 2 2" xfId="3443" xr:uid="{00000000-0005-0000-0000-000027270000}"/>
    <cellStyle name="Normal 3 5 5 2 2 2 2" xfId="6199" xr:uid="{00000000-0005-0000-0000-000028270000}"/>
    <cellStyle name="Normal 3 5 5 2 2 2 2 2" xfId="13428" xr:uid="{00000000-0005-0000-0000-000029270000}"/>
    <cellStyle name="Normal 3 5 5 2 2 2 3" xfId="10672" xr:uid="{00000000-0005-0000-0000-00002A270000}"/>
    <cellStyle name="Normal 3 5 5 2 2 3" xfId="6198" xr:uid="{00000000-0005-0000-0000-00002B270000}"/>
    <cellStyle name="Normal 3 5 5 2 2 3 2" xfId="13427" xr:uid="{00000000-0005-0000-0000-00002C270000}"/>
    <cellStyle name="Normal 3 5 5 2 2 4" xfId="8934" xr:uid="{00000000-0005-0000-0000-00002D270000}"/>
    <cellStyle name="Normal 3 5 5 2 3" xfId="2576" xr:uid="{00000000-0005-0000-0000-00002E270000}"/>
    <cellStyle name="Normal 3 5 5 2 3 2" xfId="6200" xr:uid="{00000000-0005-0000-0000-00002F270000}"/>
    <cellStyle name="Normal 3 5 5 2 3 2 2" xfId="13429" xr:uid="{00000000-0005-0000-0000-000030270000}"/>
    <cellStyle name="Normal 3 5 5 2 3 3" xfId="9805" xr:uid="{00000000-0005-0000-0000-000031270000}"/>
    <cellStyle name="Normal 3 5 5 2 4" xfId="6197" xr:uid="{00000000-0005-0000-0000-000032270000}"/>
    <cellStyle name="Normal 3 5 5 2 4 2" xfId="13426" xr:uid="{00000000-0005-0000-0000-000033270000}"/>
    <cellStyle name="Normal 3 5 5 2 5" xfId="8067" xr:uid="{00000000-0005-0000-0000-000034270000}"/>
    <cellStyle name="Normal 3 5 5 3" xfId="1273" xr:uid="{00000000-0005-0000-0000-000035270000}"/>
    <cellStyle name="Normal 3 5 5 3 2" xfId="3012" xr:uid="{00000000-0005-0000-0000-000036270000}"/>
    <cellStyle name="Normal 3 5 5 3 2 2" xfId="6202" xr:uid="{00000000-0005-0000-0000-000037270000}"/>
    <cellStyle name="Normal 3 5 5 3 2 2 2" xfId="13431" xr:uid="{00000000-0005-0000-0000-000038270000}"/>
    <cellStyle name="Normal 3 5 5 3 2 3" xfId="10241" xr:uid="{00000000-0005-0000-0000-000039270000}"/>
    <cellStyle name="Normal 3 5 5 3 3" xfId="6201" xr:uid="{00000000-0005-0000-0000-00003A270000}"/>
    <cellStyle name="Normal 3 5 5 3 3 2" xfId="13430" xr:uid="{00000000-0005-0000-0000-00003B270000}"/>
    <cellStyle name="Normal 3 5 5 3 4" xfId="8503" xr:uid="{00000000-0005-0000-0000-00003C270000}"/>
    <cellStyle name="Normal 3 5 5 4" xfId="2145" xr:uid="{00000000-0005-0000-0000-00003D270000}"/>
    <cellStyle name="Normal 3 5 5 4 2" xfId="6203" xr:uid="{00000000-0005-0000-0000-00003E270000}"/>
    <cellStyle name="Normal 3 5 5 4 2 2" xfId="13432" xr:uid="{00000000-0005-0000-0000-00003F270000}"/>
    <cellStyle name="Normal 3 5 5 4 3" xfId="9374" xr:uid="{00000000-0005-0000-0000-000040270000}"/>
    <cellStyle name="Normal 3 5 5 5" xfId="6196" xr:uid="{00000000-0005-0000-0000-000041270000}"/>
    <cellStyle name="Normal 3 5 5 5 2" xfId="13425" xr:uid="{00000000-0005-0000-0000-000042270000}"/>
    <cellStyle name="Normal 3 5 5 6" xfId="7636" xr:uid="{00000000-0005-0000-0000-000043270000}"/>
    <cellStyle name="Normal 3 5 6" xfId="608" xr:uid="{00000000-0005-0000-0000-000044270000}"/>
    <cellStyle name="Normal 3 5 6 2" xfId="1486" xr:uid="{00000000-0005-0000-0000-000045270000}"/>
    <cellStyle name="Normal 3 5 6 2 2" xfId="3225" xr:uid="{00000000-0005-0000-0000-000046270000}"/>
    <cellStyle name="Normal 3 5 6 2 2 2" xfId="6206" xr:uid="{00000000-0005-0000-0000-000047270000}"/>
    <cellStyle name="Normal 3 5 6 2 2 2 2" xfId="13435" xr:uid="{00000000-0005-0000-0000-000048270000}"/>
    <cellStyle name="Normal 3 5 6 2 2 3" xfId="10454" xr:uid="{00000000-0005-0000-0000-000049270000}"/>
    <cellStyle name="Normal 3 5 6 2 3" xfId="6205" xr:uid="{00000000-0005-0000-0000-00004A270000}"/>
    <cellStyle name="Normal 3 5 6 2 3 2" xfId="13434" xr:uid="{00000000-0005-0000-0000-00004B270000}"/>
    <cellStyle name="Normal 3 5 6 2 4" xfId="8716" xr:uid="{00000000-0005-0000-0000-00004C270000}"/>
    <cellStyle name="Normal 3 5 6 3" xfId="2358" xr:uid="{00000000-0005-0000-0000-00004D270000}"/>
    <cellStyle name="Normal 3 5 6 3 2" xfId="6207" xr:uid="{00000000-0005-0000-0000-00004E270000}"/>
    <cellStyle name="Normal 3 5 6 3 2 2" xfId="13436" xr:uid="{00000000-0005-0000-0000-00004F270000}"/>
    <cellStyle name="Normal 3 5 6 3 3" xfId="9587" xr:uid="{00000000-0005-0000-0000-000050270000}"/>
    <cellStyle name="Normal 3 5 6 4" xfId="6204" xr:uid="{00000000-0005-0000-0000-000051270000}"/>
    <cellStyle name="Normal 3 5 6 4 2" xfId="13433" xr:uid="{00000000-0005-0000-0000-000052270000}"/>
    <cellStyle name="Normal 3 5 6 5" xfId="7849" xr:uid="{00000000-0005-0000-0000-000053270000}"/>
    <cellStyle name="Normal 3 5 7" xfId="1055" xr:uid="{00000000-0005-0000-0000-000054270000}"/>
    <cellStyle name="Normal 3 5 7 2" xfId="2794" xr:uid="{00000000-0005-0000-0000-000055270000}"/>
    <cellStyle name="Normal 3 5 7 2 2" xfId="6209" xr:uid="{00000000-0005-0000-0000-000056270000}"/>
    <cellStyle name="Normal 3 5 7 2 2 2" xfId="13438" xr:uid="{00000000-0005-0000-0000-000057270000}"/>
    <cellStyle name="Normal 3 5 7 2 3" xfId="10023" xr:uid="{00000000-0005-0000-0000-000058270000}"/>
    <cellStyle name="Normal 3 5 7 3" xfId="6208" xr:uid="{00000000-0005-0000-0000-000059270000}"/>
    <cellStyle name="Normal 3 5 7 3 2" xfId="13437" xr:uid="{00000000-0005-0000-0000-00005A270000}"/>
    <cellStyle name="Normal 3 5 7 4" xfId="8285" xr:uid="{00000000-0005-0000-0000-00005B270000}"/>
    <cellStyle name="Normal 3 5 8" xfId="1927" xr:uid="{00000000-0005-0000-0000-00005C270000}"/>
    <cellStyle name="Normal 3 5 8 2" xfId="6210" xr:uid="{00000000-0005-0000-0000-00005D270000}"/>
    <cellStyle name="Normal 3 5 8 2 2" xfId="13439" xr:uid="{00000000-0005-0000-0000-00005E270000}"/>
    <cellStyle name="Normal 3 5 8 3" xfId="9156" xr:uid="{00000000-0005-0000-0000-00005F270000}"/>
    <cellStyle name="Normal 3 5 9" xfId="6115" xr:uid="{00000000-0005-0000-0000-000060270000}"/>
    <cellStyle name="Normal 3 5 9 2" xfId="13344" xr:uid="{00000000-0005-0000-0000-000061270000}"/>
    <cellStyle name="Normal 3 6" xfId="19" xr:uid="{00000000-0005-0000-0000-000062270000}"/>
    <cellStyle name="Normal 3 6 10" xfId="7417" xr:uid="{00000000-0005-0000-0000-000063270000}"/>
    <cellStyle name="Normal 3 6 2" xfId="93" xr:uid="{00000000-0005-0000-0000-000064270000}"/>
    <cellStyle name="Normal 3 6 2 2" xfId="301" xr:uid="{00000000-0005-0000-0000-000065270000}"/>
    <cellStyle name="Normal 3 6 2 2 2" xfId="527" xr:uid="{00000000-0005-0000-0000-000066270000}"/>
    <cellStyle name="Normal 3 6 2 2 2 2" xfId="973" xr:uid="{00000000-0005-0000-0000-000067270000}"/>
    <cellStyle name="Normal 3 6 2 2 2 2 2" xfId="1840" xr:uid="{00000000-0005-0000-0000-000068270000}"/>
    <cellStyle name="Normal 3 6 2 2 2 2 2 2" xfId="3579" xr:uid="{00000000-0005-0000-0000-000069270000}"/>
    <cellStyle name="Normal 3 6 2 2 2 2 2 2 2" xfId="6217" xr:uid="{00000000-0005-0000-0000-00006A270000}"/>
    <cellStyle name="Normal 3 6 2 2 2 2 2 2 2 2" xfId="13446" xr:uid="{00000000-0005-0000-0000-00006B270000}"/>
    <cellStyle name="Normal 3 6 2 2 2 2 2 2 3" xfId="10808" xr:uid="{00000000-0005-0000-0000-00006C270000}"/>
    <cellStyle name="Normal 3 6 2 2 2 2 2 3" xfId="6216" xr:uid="{00000000-0005-0000-0000-00006D270000}"/>
    <cellStyle name="Normal 3 6 2 2 2 2 2 3 2" xfId="13445" xr:uid="{00000000-0005-0000-0000-00006E270000}"/>
    <cellStyle name="Normal 3 6 2 2 2 2 2 4" xfId="9070" xr:uid="{00000000-0005-0000-0000-00006F270000}"/>
    <cellStyle name="Normal 3 6 2 2 2 2 3" xfId="2712" xr:uid="{00000000-0005-0000-0000-000070270000}"/>
    <cellStyle name="Normal 3 6 2 2 2 2 3 2" xfId="6218" xr:uid="{00000000-0005-0000-0000-000071270000}"/>
    <cellStyle name="Normal 3 6 2 2 2 2 3 2 2" xfId="13447" xr:uid="{00000000-0005-0000-0000-000072270000}"/>
    <cellStyle name="Normal 3 6 2 2 2 2 3 3" xfId="9941" xr:uid="{00000000-0005-0000-0000-000073270000}"/>
    <cellStyle name="Normal 3 6 2 2 2 2 4" xfId="6215" xr:uid="{00000000-0005-0000-0000-000074270000}"/>
    <cellStyle name="Normal 3 6 2 2 2 2 4 2" xfId="13444" xr:uid="{00000000-0005-0000-0000-000075270000}"/>
    <cellStyle name="Normal 3 6 2 2 2 2 5" xfId="8203" xr:uid="{00000000-0005-0000-0000-000076270000}"/>
    <cellStyle name="Normal 3 6 2 2 2 3" xfId="1409" xr:uid="{00000000-0005-0000-0000-000077270000}"/>
    <cellStyle name="Normal 3 6 2 2 2 3 2" xfId="3148" xr:uid="{00000000-0005-0000-0000-000078270000}"/>
    <cellStyle name="Normal 3 6 2 2 2 3 2 2" xfId="6220" xr:uid="{00000000-0005-0000-0000-000079270000}"/>
    <cellStyle name="Normal 3 6 2 2 2 3 2 2 2" xfId="13449" xr:uid="{00000000-0005-0000-0000-00007A270000}"/>
    <cellStyle name="Normal 3 6 2 2 2 3 2 3" xfId="10377" xr:uid="{00000000-0005-0000-0000-00007B270000}"/>
    <cellStyle name="Normal 3 6 2 2 2 3 3" xfId="6219" xr:uid="{00000000-0005-0000-0000-00007C270000}"/>
    <cellStyle name="Normal 3 6 2 2 2 3 3 2" xfId="13448" xr:uid="{00000000-0005-0000-0000-00007D270000}"/>
    <cellStyle name="Normal 3 6 2 2 2 3 4" xfId="8639" xr:uid="{00000000-0005-0000-0000-00007E270000}"/>
    <cellStyle name="Normal 3 6 2 2 2 4" xfId="2281" xr:uid="{00000000-0005-0000-0000-00007F270000}"/>
    <cellStyle name="Normal 3 6 2 2 2 4 2" xfId="6221" xr:uid="{00000000-0005-0000-0000-000080270000}"/>
    <cellStyle name="Normal 3 6 2 2 2 4 2 2" xfId="13450" xr:uid="{00000000-0005-0000-0000-000081270000}"/>
    <cellStyle name="Normal 3 6 2 2 2 4 3" xfId="9510" xr:uid="{00000000-0005-0000-0000-000082270000}"/>
    <cellStyle name="Normal 3 6 2 2 2 5" xfId="6214" xr:uid="{00000000-0005-0000-0000-000083270000}"/>
    <cellStyle name="Normal 3 6 2 2 2 5 2" xfId="13443" xr:uid="{00000000-0005-0000-0000-000084270000}"/>
    <cellStyle name="Normal 3 6 2 2 2 6" xfId="7772" xr:uid="{00000000-0005-0000-0000-000085270000}"/>
    <cellStyle name="Normal 3 6 2 2 3" xfId="749" xr:uid="{00000000-0005-0000-0000-000086270000}"/>
    <cellStyle name="Normal 3 6 2 2 3 2" xfId="1622" xr:uid="{00000000-0005-0000-0000-000087270000}"/>
    <cellStyle name="Normal 3 6 2 2 3 2 2" xfId="3361" xr:uid="{00000000-0005-0000-0000-000088270000}"/>
    <cellStyle name="Normal 3 6 2 2 3 2 2 2" xfId="6224" xr:uid="{00000000-0005-0000-0000-000089270000}"/>
    <cellStyle name="Normal 3 6 2 2 3 2 2 2 2" xfId="13453" xr:uid="{00000000-0005-0000-0000-00008A270000}"/>
    <cellStyle name="Normal 3 6 2 2 3 2 2 3" xfId="10590" xr:uid="{00000000-0005-0000-0000-00008B270000}"/>
    <cellStyle name="Normal 3 6 2 2 3 2 3" xfId="6223" xr:uid="{00000000-0005-0000-0000-00008C270000}"/>
    <cellStyle name="Normal 3 6 2 2 3 2 3 2" xfId="13452" xr:uid="{00000000-0005-0000-0000-00008D270000}"/>
    <cellStyle name="Normal 3 6 2 2 3 2 4" xfId="8852" xr:uid="{00000000-0005-0000-0000-00008E270000}"/>
    <cellStyle name="Normal 3 6 2 2 3 3" xfId="2494" xr:uid="{00000000-0005-0000-0000-00008F270000}"/>
    <cellStyle name="Normal 3 6 2 2 3 3 2" xfId="6225" xr:uid="{00000000-0005-0000-0000-000090270000}"/>
    <cellStyle name="Normal 3 6 2 2 3 3 2 2" xfId="13454" xr:uid="{00000000-0005-0000-0000-000091270000}"/>
    <cellStyle name="Normal 3 6 2 2 3 3 3" xfId="9723" xr:uid="{00000000-0005-0000-0000-000092270000}"/>
    <cellStyle name="Normal 3 6 2 2 3 4" xfId="6222" xr:uid="{00000000-0005-0000-0000-000093270000}"/>
    <cellStyle name="Normal 3 6 2 2 3 4 2" xfId="13451" xr:uid="{00000000-0005-0000-0000-000094270000}"/>
    <cellStyle name="Normal 3 6 2 2 3 5" xfId="7985" xr:uid="{00000000-0005-0000-0000-000095270000}"/>
    <cellStyle name="Normal 3 6 2 2 4" xfId="1191" xr:uid="{00000000-0005-0000-0000-000096270000}"/>
    <cellStyle name="Normal 3 6 2 2 4 2" xfId="2930" xr:uid="{00000000-0005-0000-0000-000097270000}"/>
    <cellStyle name="Normal 3 6 2 2 4 2 2" xfId="6227" xr:uid="{00000000-0005-0000-0000-000098270000}"/>
    <cellStyle name="Normal 3 6 2 2 4 2 2 2" xfId="13456" xr:uid="{00000000-0005-0000-0000-000099270000}"/>
    <cellStyle name="Normal 3 6 2 2 4 2 3" xfId="10159" xr:uid="{00000000-0005-0000-0000-00009A270000}"/>
    <cellStyle name="Normal 3 6 2 2 4 3" xfId="6226" xr:uid="{00000000-0005-0000-0000-00009B270000}"/>
    <cellStyle name="Normal 3 6 2 2 4 3 2" xfId="13455" xr:uid="{00000000-0005-0000-0000-00009C270000}"/>
    <cellStyle name="Normal 3 6 2 2 4 4" xfId="8421" xr:uid="{00000000-0005-0000-0000-00009D270000}"/>
    <cellStyle name="Normal 3 6 2 2 5" xfId="2063" xr:uid="{00000000-0005-0000-0000-00009E270000}"/>
    <cellStyle name="Normal 3 6 2 2 5 2" xfId="6228" xr:uid="{00000000-0005-0000-0000-00009F270000}"/>
    <cellStyle name="Normal 3 6 2 2 5 2 2" xfId="13457" xr:uid="{00000000-0005-0000-0000-0000A0270000}"/>
    <cellStyle name="Normal 3 6 2 2 5 3" xfId="9292" xr:uid="{00000000-0005-0000-0000-0000A1270000}"/>
    <cellStyle name="Normal 3 6 2 2 6" xfId="6213" xr:uid="{00000000-0005-0000-0000-0000A2270000}"/>
    <cellStyle name="Normal 3 6 2 2 6 2" xfId="13442" xr:uid="{00000000-0005-0000-0000-0000A3270000}"/>
    <cellStyle name="Normal 3 6 2 2 7" xfId="7554" xr:uid="{00000000-0005-0000-0000-0000A4270000}"/>
    <cellStyle name="Normal 3 6 2 3" xfId="425" xr:uid="{00000000-0005-0000-0000-0000A5270000}"/>
    <cellStyle name="Normal 3 6 2 3 2" xfId="871" xr:uid="{00000000-0005-0000-0000-0000A6270000}"/>
    <cellStyle name="Normal 3 6 2 3 2 2" xfId="1738" xr:uid="{00000000-0005-0000-0000-0000A7270000}"/>
    <cellStyle name="Normal 3 6 2 3 2 2 2" xfId="3477" xr:uid="{00000000-0005-0000-0000-0000A8270000}"/>
    <cellStyle name="Normal 3 6 2 3 2 2 2 2" xfId="6232" xr:uid="{00000000-0005-0000-0000-0000A9270000}"/>
    <cellStyle name="Normal 3 6 2 3 2 2 2 2 2" xfId="13461" xr:uid="{00000000-0005-0000-0000-0000AA270000}"/>
    <cellStyle name="Normal 3 6 2 3 2 2 2 3" xfId="10706" xr:uid="{00000000-0005-0000-0000-0000AB270000}"/>
    <cellStyle name="Normal 3 6 2 3 2 2 3" xfId="6231" xr:uid="{00000000-0005-0000-0000-0000AC270000}"/>
    <cellStyle name="Normal 3 6 2 3 2 2 3 2" xfId="13460" xr:uid="{00000000-0005-0000-0000-0000AD270000}"/>
    <cellStyle name="Normal 3 6 2 3 2 2 4" xfId="8968" xr:uid="{00000000-0005-0000-0000-0000AE270000}"/>
    <cellStyle name="Normal 3 6 2 3 2 3" xfId="2610" xr:uid="{00000000-0005-0000-0000-0000AF270000}"/>
    <cellStyle name="Normal 3 6 2 3 2 3 2" xfId="6233" xr:uid="{00000000-0005-0000-0000-0000B0270000}"/>
    <cellStyle name="Normal 3 6 2 3 2 3 2 2" xfId="13462" xr:uid="{00000000-0005-0000-0000-0000B1270000}"/>
    <cellStyle name="Normal 3 6 2 3 2 3 3" xfId="9839" xr:uid="{00000000-0005-0000-0000-0000B2270000}"/>
    <cellStyle name="Normal 3 6 2 3 2 4" xfId="6230" xr:uid="{00000000-0005-0000-0000-0000B3270000}"/>
    <cellStyle name="Normal 3 6 2 3 2 4 2" xfId="13459" xr:uid="{00000000-0005-0000-0000-0000B4270000}"/>
    <cellStyle name="Normal 3 6 2 3 2 5" xfId="8101" xr:uid="{00000000-0005-0000-0000-0000B5270000}"/>
    <cellStyle name="Normal 3 6 2 3 3" xfId="1307" xr:uid="{00000000-0005-0000-0000-0000B6270000}"/>
    <cellStyle name="Normal 3 6 2 3 3 2" xfId="3046" xr:uid="{00000000-0005-0000-0000-0000B7270000}"/>
    <cellStyle name="Normal 3 6 2 3 3 2 2" xfId="6235" xr:uid="{00000000-0005-0000-0000-0000B8270000}"/>
    <cellStyle name="Normal 3 6 2 3 3 2 2 2" xfId="13464" xr:uid="{00000000-0005-0000-0000-0000B9270000}"/>
    <cellStyle name="Normal 3 6 2 3 3 2 3" xfId="10275" xr:uid="{00000000-0005-0000-0000-0000BA270000}"/>
    <cellStyle name="Normal 3 6 2 3 3 3" xfId="6234" xr:uid="{00000000-0005-0000-0000-0000BB270000}"/>
    <cellStyle name="Normal 3 6 2 3 3 3 2" xfId="13463" xr:uid="{00000000-0005-0000-0000-0000BC270000}"/>
    <cellStyle name="Normal 3 6 2 3 3 4" xfId="8537" xr:uid="{00000000-0005-0000-0000-0000BD270000}"/>
    <cellStyle name="Normal 3 6 2 3 4" xfId="2179" xr:uid="{00000000-0005-0000-0000-0000BE270000}"/>
    <cellStyle name="Normal 3 6 2 3 4 2" xfId="6236" xr:uid="{00000000-0005-0000-0000-0000BF270000}"/>
    <cellStyle name="Normal 3 6 2 3 4 2 2" xfId="13465" xr:uid="{00000000-0005-0000-0000-0000C0270000}"/>
    <cellStyle name="Normal 3 6 2 3 4 3" xfId="9408" xr:uid="{00000000-0005-0000-0000-0000C1270000}"/>
    <cellStyle name="Normal 3 6 2 3 5" xfId="6229" xr:uid="{00000000-0005-0000-0000-0000C2270000}"/>
    <cellStyle name="Normal 3 6 2 3 5 2" xfId="13458" xr:uid="{00000000-0005-0000-0000-0000C3270000}"/>
    <cellStyle name="Normal 3 6 2 3 6" xfId="7670" xr:uid="{00000000-0005-0000-0000-0000C4270000}"/>
    <cellStyle name="Normal 3 6 2 4" xfId="644" xr:uid="{00000000-0005-0000-0000-0000C5270000}"/>
    <cellStyle name="Normal 3 6 2 4 2" xfId="1520" xr:uid="{00000000-0005-0000-0000-0000C6270000}"/>
    <cellStyle name="Normal 3 6 2 4 2 2" xfId="3259" xr:uid="{00000000-0005-0000-0000-0000C7270000}"/>
    <cellStyle name="Normal 3 6 2 4 2 2 2" xfId="6239" xr:uid="{00000000-0005-0000-0000-0000C8270000}"/>
    <cellStyle name="Normal 3 6 2 4 2 2 2 2" xfId="13468" xr:uid="{00000000-0005-0000-0000-0000C9270000}"/>
    <cellStyle name="Normal 3 6 2 4 2 2 3" xfId="10488" xr:uid="{00000000-0005-0000-0000-0000CA270000}"/>
    <cellStyle name="Normal 3 6 2 4 2 3" xfId="6238" xr:uid="{00000000-0005-0000-0000-0000CB270000}"/>
    <cellStyle name="Normal 3 6 2 4 2 3 2" xfId="13467" xr:uid="{00000000-0005-0000-0000-0000CC270000}"/>
    <cellStyle name="Normal 3 6 2 4 2 4" xfId="8750" xr:uid="{00000000-0005-0000-0000-0000CD270000}"/>
    <cellStyle name="Normal 3 6 2 4 3" xfId="2392" xr:uid="{00000000-0005-0000-0000-0000CE270000}"/>
    <cellStyle name="Normal 3 6 2 4 3 2" xfId="6240" xr:uid="{00000000-0005-0000-0000-0000CF270000}"/>
    <cellStyle name="Normal 3 6 2 4 3 2 2" xfId="13469" xr:uid="{00000000-0005-0000-0000-0000D0270000}"/>
    <cellStyle name="Normal 3 6 2 4 3 3" xfId="9621" xr:uid="{00000000-0005-0000-0000-0000D1270000}"/>
    <cellStyle name="Normal 3 6 2 4 4" xfId="6237" xr:uid="{00000000-0005-0000-0000-0000D2270000}"/>
    <cellStyle name="Normal 3 6 2 4 4 2" xfId="13466" xr:uid="{00000000-0005-0000-0000-0000D3270000}"/>
    <cellStyle name="Normal 3 6 2 4 5" xfId="7883" xr:uid="{00000000-0005-0000-0000-0000D4270000}"/>
    <cellStyle name="Normal 3 6 2 5" xfId="1089" xr:uid="{00000000-0005-0000-0000-0000D5270000}"/>
    <cellStyle name="Normal 3 6 2 5 2" xfId="2828" xr:uid="{00000000-0005-0000-0000-0000D6270000}"/>
    <cellStyle name="Normal 3 6 2 5 2 2" xfId="6242" xr:uid="{00000000-0005-0000-0000-0000D7270000}"/>
    <cellStyle name="Normal 3 6 2 5 2 2 2" xfId="13471" xr:uid="{00000000-0005-0000-0000-0000D8270000}"/>
    <cellStyle name="Normal 3 6 2 5 2 3" xfId="10057" xr:uid="{00000000-0005-0000-0000-0000D9270000}"/>
    <cellStyle name="Normal 3 6 2 5 3" xfId="6241" xr:uid="{00000000-0005-0000-0000-0000DA270000}"/>
    <cellStyle name="Normal 3 6 2 5 3 2" xfId="13470" xr:uid="{00000000-0005-0000-0000-0000DB270000}"/>
    <cellStyle name="Normal 3 6 2 5 4" xfId="8319" xr:uid="{00000000-0005-0000-0000-0000DC270000}"/>
    <cellStyle name="Normal 3 6 2 6" xfId="1961" xr:uid="{00000000-0005-0000-0000-0000DD270000}"/>
    <cellStyle name="Normal 3 6 2 6 2" xfId="6243" xr:uid="{00000000-0005-0000-0000-0000DE270000}"/>
    <cellStyle name="Normal 3 6 2 6 2 2" xfId="13472" xr:uid="{00000000-0005-0000-0000-0000DF270000}"/>
    <cellStyle name="Normal 3 6 2 6 3" xfId="9190" xr:uid="{00000000-0005-0000-0000-0000E0270000}"/>
    <cellStyle name="Normal 3 6 2 7" xfId="6212" xr:uid="{00000000-0005-0000-0000-0000E1270000}"/>
    <cellStyle name="Normal 3 6 2 7 2" xfId="13441" xr:uid="{00000000-0005-0000-0000-0000E2270000}"/>
    <cellStyle name="Normal 3 6 2 8" xfId="7450" xr:uid="{00000000-0005-0000-0000-0000E3270000}"/>
    <cellStyle name="Normal 3 6 3" xfId="76" xr:uid="{00000000-0005-0000-0000-0000E4270000}"/>
    <cellStyle name="Normal 3 6 3 2" xfId="295" xr:uid="{00000000-0005-0000-0000-0000E5270000}"/>
    <cellStyle name="Normal 3 6 3 2 2" xfId="521" xr:uid="{00000000-0005-0000-0000-0000E6270000}"/>
    <cellStyle name="Normal 3 6 3 2 2 2" xfId="967" xr:uid="{00000000-0005-0000-0000-0000E7270000}"/>
    <cellStyle name="Normal 3 6 3 2 2 2 2" xfId="1834" xr:uid="{00000000-0005-0000-0000-0000E8270000}"/>
    <cellStyle name="Normal 3 6 3 2 2 2 2 2" xfId="3573" xr:uid="{00000000-0005-0000-0000-0000E9270000}"/>
    <cellStyle name="Normal 3 6 3 2 2 2 2 2 2" xfId="6249" xr:uid="{00000000-0005-0000-0000-0000EA270000}"/>
    <cellStyle name="Normal 3 6 3 2 2 2 2 2 2 2" xfId="13478" xr:uid="{00000000-0005-0000-0000-0000EB270000}"/>
    <cellStyle name="Normal 3 6 3 2 2 2 2 2 3" xfId="10802" xr:uid="{00000000-0005-0000-0000-0000EC270000}"/>
    <cellStyle name="Normal 3 6 3 2 2 2 2 3" xfId="6248" xr:uid="{00000000-0005-0000-0000-0000ED270000}"/>
    <cellStyle name="Normal 3 6 3 2 2 2 2 3 2" xfId="13477" xr:uid="{00000000-0005-0000-0000-0000EE270000}"/>
    <cellStyle name="Normal 3 6 3 2 2 2 2 4" xfId="9064" xr:uid="{00000000-0005-0000-0000-0000EF270000}"/>
    <cellStyle name="Normal 3 6 3 2 2 2 3" xfId="2706" xr:uid="{00000000-0005-0000-0000-0000F0270000}"/>
    <cellStyle name="Normal 3 6 3 2 2 2 3 2" xfId="6250" xr:uid="{00000000-0005-0000-0000-0000F1270000}"/>
    <cellStyle name="Normal 3 6 3 2 2 2 3 2 2" xfId="13479" xr:uid="{00000000-0005-0000-0000-0000F2270000}"/>
    <cellStyle name="Normal 3 6 3 2 2 2 3 3" xfId="9935" xr:uid="{00000000-0005-0000-0000-0000F3270000}"/>
    <cellStyle name="Normal 3 6 3 2 2 2 4" xfId="6247" xr:uid="{00000000-0005-0000-0000-0000F4270000}"/>
    <cellStyle name="Normal 3 6 3 2 2 2 4 2" xfId="13476" xr:uid="{00000000-0005-0000-0000-0000F5270000}"/>
    <cellStyle name="Normal 3 6 3 2 2 2 5" xfId="8197" xr:uid="{00000000-0005-0000-0000-0000F6270000}"/>
    <cellStyle name="Normal 3 6 3 2 2 3" xfId="1403" xr:uid="{00000000-0005-0000-0000-0000F7270000}"/>
    <cellStyle name="Normal 3 6 3 2 2 3 2" xfId="3142" xr:uid="{00000000-0005-0000-0000-0000F8270000}"/>
    <cellStyle name="Normal 3 6 3 2 2 3 2 2" xfId="6252" xr:uid="{00000000-0005-0000-0000-0000F9270000}"/>
    <cellStyle name="Normal 3 6 3 2 2 3 2 2 2" xfId="13481" xr:uid="{00000000-0005-0000-0000-0000FA270000}"/>
    <cellStyle name="Normal 3 6 3 2 2 3 2 3" xfId="10371" xr:uid="{00000000-0005-0000-0000-0000FB270000}"/>
    <cellStyle name="Normal 3 6 3 2 2 3 3" xfId="6251" xr:uid="{00000000-0005-0000-0000-0000FC270000}"/>
    <cellStyle name="Normal 3 6 3 2 2 3 3 2" xfId="13480" xr:uid="{00000000-0005-0000-0000-0000FD270000}"/>
    <cellStyle name="Normal 3 6 3 2 2 3 4" xfId="8633" xr:uid="{00000000-0005-0000-0000-0000FE270000}"/>
    <cellStyle name="Normal 3 6 3 2 2 4" xfId="2275" xr:uid="{00000000-0005-0000-0000-0000FF270000}"/>
    <cellStyle name="Normal 3 6 3 2 2 4 2" xfId="6253" xr:uid="{00000000-0005-0000-0000-000000280000}"/>
    <cellStyle name="Normal 3 6 3 2 2 4 2 2" xfId="13482" xr:uid="{00000000-0005-0000-0000-000001280000}"/>
    <cellStyle name="Normal 3 6 3 2 2 4 3" xfId="9504" xr:uid="{00000000-0005-0000-0000-000002280000}"/>
    <cellStyle name="Normal 3 6 3 2 2 5" xfId="6246" xr:uid="{00000000-0005-0000-0000-000003280000}"/>
    <cellStyle name="Normal 3 6 3 2 2 5 2" xfId="13475" xr:uid="{00000000-0005-0000-0000-000004280000}"/>
    <cellStyle name="Normal 3 6 3 2 2 6" xfId="7766" xr:uid="{00000000-0005-0000-0000-000005280000}"/>
    <cellStyle name="Normal 3 6 3 2 3" xfId="743" xr:uid="{00000000-0005-0000-0000-000006280000}"/>
    <cellStyle name="Normal 3 6 3 2 3 2" xfId="1616" xr:uid="{00000000-0005-0000-0000-000007280000}"/>
    <cellStyle name="Normal 3 6 3 2 3 2 2" xfId="3355" xr:uid="{00000000-0005-0000-0000-000008280000}"/>
    <cellStyle name="Normal 3 6 3 2 3 2 2 2" xfId="6256" xr:uid="{00000000-0005-0000-0000-000009280000}"/>
    <cellStyle name="Normal 3 6 3 2 3 2 2 2 2" xfId="13485" xr:uid="{00000000-0005-0000-0000-00000A280000}"/>
    <cellStyle name="Normal 3 6 3 2 3 2 2 3" xfId="10584" xr:uid="{00000000-0005-0000-0000-00000B280000}"/>
    <cellStyle name="Normal 3 6 3 2 3 2 3" xfId="6255" xr:uid="{00000000-0005-0000-0000-00000C280000}"/>
    <cellStyle name="Normal 3 6 3 2 3 2 3 2" xfId="13484" xr:uid="{00000000-0005-0000-0000-00000D280000}"/>
    <cellStyle name="Normal 3 6 3 2 3 2 4" xfId="8846" xr:uid="{00000000-0005-0000-0000-00000E280000}"/>
    <cellStyle name="Normal 3 6 3 2 3 3" xfId="2488" xr:uid="{00000000-0005-0000-0000-00000F280000}"/>
    <cellStyle name="Normal 3 6 3 2 3 3 2" xfId="6257" xr:uid="{00000000-0005-0000-0000-000010280000}"/>
    <cellStyle name="Normal 3 6 3 2 3 3 2 2" xfId="13486" xr:uid="{00000000-0005-0000-0000-000011280000}"/>
    <cellStyle name="Normal 3 6 3 2 3 3 3" xfId="9717" xr:uid="{00000000-0005-0000-0000-000012280000}"/>
    <cellStyle name="Normal 3 6 3 2 3 4" xfId="6254" xr:uid="{00000000-0005-0000-0000-000013280000}"/>
    <cellStyle name="Normal 3 6 3 2 3 4 2" xfId="13483" xr:uid="{00000000-0005-0000-0000-000014280000}"/>
    <cellStyle name="Normal 3 6 3 2 3 5" xfId="7979" xr:uid="{00000000-0005-0000-0000-000015280000}"/>
    <cellStyle name="Normal 3 6 3 2 4" xfId="1185" xr:uid="{00000000-0005-0000-0000-000016280000}"/>
    <cellStyle name="Normal 3 6 3 2 4 2" xfId="2924" xr:uid="{00000000-0005-0000-0000-000017280000}"/>
    <cellStyle name="Normal 3 6 3 2 4 2 2" xfId="6259" xr:uid="{00000000-0005-0000-0000-000018280000}"/>
    <cellStyle name="Normal 3 6 3 2 4 2 2 2" xfId="13488" xr:uid="{00000000-0005-0000-0000-000019280000}"/>
    <cellStyle name="Normal 3 6 3 2 4 2 3" xfId="10153" xr:uid="{00000000-0005-0000-0000-00001A280000}"/>
    <cellStyle name="Normal 3 6 3 2 4 3" xfId="6258" xr:uid="{00000000-0005-0000-0000-00001B280000}"/>
    <cellStyle name="Normal 3 6 3 2 4 3 2" xfId="13487" xr:uid="{00000000-0005-0000-0000-00001C280000}"/>
    <cellStyle name="Normal 3 6 3 2 4 4" xfId="8415" xr:uid="{00000000-0005-0000-0000-00001D280000}"/>
    <cellStyle name="Normal 3 6 3 2 5" xfId="2057" xr:uid="{00000000-0005-0000-0000-00001E280000}"/>
    <cellStyle name="Normal 3 6 3 2 5 2" xfId="6260" xr:uid="{00000000-0005-0000-0000-00001F280000}"/>
    <cellStyle name="Normal 3 6 3 2 5 2 2" xfId="13489" xr:uid="{00000000-0005-0000-0000-000020280000}"/>
    <cellStyle name="Normal 3 6 3 2 5 3" xfId="9286" xr:uid="{00000000-0005-0000-0000-000021280000}"/>
    <cellStyle name="Normal 3 6 3 2 6" xfId="6245" xr:uid="{00000000-0005-0000-0000-000022280000}"/>
    <cellStyle name="Normal 3 6 3 2 6 2" xfId="13474" xr:uid="{00000000-0005-0000-0000-000023280000}"/>
    <cellStyle name="Normal 3 6 3 2 7" xfId="7548" xr:uid="{00000000-0005-0000-0000-000024280000}"/>
    <cellStyle name="Normal 3 6 3 3" xfId="419" xr:uid="{00000000-0005-0000-0000-000025280000}"/>
    <cellStyle name="Normal 3 6 3 3 2" xfId="865" xr:uid="{00000000-0005-0000-0000-000026280000}"/>
    <cellStyle name="Normal 3 6 3 3 2 2" xfId="1732" xr:uid="{00000000-0005-0000-0000-000027280000}"/>
    <cellStyle name="Normal 3 6 3 3 2 2 2" xfId="3471" xr:uid="{00000000-0005-0000-0000-000028280000}"/>
    <cellStyle name="Normal 3 6 3 3 2 2 2 2" xfId="6264" xr:uid="{00000000-0005-0000-0000-000029280000}"/>
    <cellStyle name="Normal 3 6 3 3 2 2 2 2 2" xfId="13493" xr:uid="{00000000-0005-0000-0000-00002A280000}"/>
    <cellStyle name="Normal 3 6 3 3 2 2 2 3" xfId="10700" xr:uid="{00000000-0005-0000-0000-00002B280000}"/>
    <cellStyle name="Normal 3 6 3 3 2 2 3" xfId="6263" xr:uid="{00000000-0005-0000-0000-00002C280000}"/>
    <cellStyle name="Normal 3 6 3 3 2 2 3 2" xfId="13492" xr:uid="{00000000-0005-0000-0000-00002D280000}"/>
    <cellStyle name="Normal 3 6 3 3 2 2 4" xfId="8962" xr:uid="{00000000-0005-0000-0000-00002E280000}"/>
    <cellStyle name="Normal 3 6 3 3 2 3" xfId="2604" xr:uid="{00000000-0005-0000-0000-00002F280000}"/>
    <cellStyle name="Normal 3 6 3 3 2 3 2" xfId="6265" xr:uid="{00000000-0005-0000-0000-000030280000}"/>
    <cellStyle name="Normal 3 6 3 3 2 3 2 2" xfId="13494" xr:uid="{00000000-0005-0000-0000-000031280000}"/>
    <cellStyle name="Normal 3 6 3 3 2 3 3" xfId="9833" xr:uid="{00000000-0005-0000-0000-000032280000}"/>
    <cellStyle name="Normal 3 6 3 3 2 4" xfId="6262" xr:uid="{00000000-0005-0000-0000-000033280000}"/>
    <cellStyle name="Normal 3 6 3 3 2 4 2" xfId="13491" xr:uid="{00000000-0005-0000-0000-000034280000}"/>
    <cellStyle name="Normal 3 6 3 3 2 5" xfId="8095" xr:uid="{00000000-0005-0000-0000-000035280000}"/>
    <cellStyle name="Normal 3 6 3 3 3" xfId="1301" xr:uid="{00000000-0005-0000-0000-000036280000}"/>
    <cellStyle name="Normal 3 6 3 3 3 2" xfId="3040" xr:uid="{00000000-0005-0000-0000-000037280000}"/>
    <cellStyle name="Normal 3 6 3 3 3 2 2" xfId="6267" xr:uid="{00000000-0005-0000-0000-000038280000}"/>
    <cellStyle name="Normal 3 6 3 3 3 2 2 2" xfId="13496" xr:uid="{00000000-0005-0000-0000-000039280000}"/>
    <cellStyle name="Normal 3 6 3 3 3 2 3" xfId="10269" xr:uid="{00000000-0005-0000-0000-00003A280000}"/>
    <cellStyle name="Normal 3 6 3 3 3 3" xfId="6266" xr:uid="{00000000-0005-0000-0000-00003B280000}"/>
    <cellStyle name="Normal 3 6 3 3 3 3 2" xfId="13495" xr:uid="{00000000-0005-0000-0000-00003C280000}"/>
    <cellStyle name="Normal 3 6 3 3 3 4" xfId="8531" xr:uid="{00000000-0005-0000-0000-00003D280000}"/>
    <cellStyle name="Normal 3 6 3 3 4" xfId="2173" xr:uid="{00000000-0005-0000-0000-00003E280000}"/>
    <cellStyle name="Normal 3 6 3 3 4 2" xfId="6268" xr:uid="{00000000-0005-0000-0000-00003F280000}"/>
    <cellStyle name="Normal 3 6 3 3 4 2 2" xfId="13497" xr:uid="{00000000-0005-0000-0000-000040280000}"/>
    <cellStyle name="Normal 3 6 3 3 4 3" xfId="9402" xr:uid="{00000000-0005-0000-0000-000041280000}"/>
    <cellStyle name="Normal 3 6 3 3 5" xfId="6261" xr:uid="{00000000-0005-0000-0000-000042280000}"/>
    <cellStyle name="Normal 3 6 3 3 5 2" xfId="13490" xr:uid="{00000000-0005-0000-0000-000043280000}"/>
    <cellStyle name="Normal 3 6 3 3 6" xfId="7664" xr:uid="{00000000-0005-0000-0000-000044280000}"/>
    <cellStyle name="Normal 3 6 3 4" xfId="638" xr:uid="{00000000-0005-0000-0000-000045280000}"/>
    <cellStyle name="Normal 3 6 3 4 2" xfId="1514" xr:uid="{00000000-0005-0000-0000-000046280000}"/>
    <cellStyle name="Normal 3 6 3 4 2 2" xfId="3253" xr:uid="{00000000-0005-0000-0000-000047280000}"/>
    <cellStyle name="Normal 3 6 3 4 2 2 2" xfId="6271" xr:uid="{00000000-0005-0000-0000-000048280000}"/>
    <cellStyle name="Normal 3 6 3 4 2 2 2 2" xfId="13500" xr:uid="{00000000-0005-0000-0000-000049280000}"/>
    <cellStyle name="Normal 3 6 3 4 2 2 3" xfId="10482" xr:uid="{00000000-0005-0000-0000-00004A280000}"/>
    <cellStyle name="Normal 3 6 3 4 2 3" xfId="6270" xr:uid="{00000000-0005-0000-0000-00004B280000}"/>
    <cellStyle name="Normal 3 6 3 4 2 3 2" xfId="13499" xr:uid="{00000000-0005-0000-0000-00004C280000}"/>
    <cellStyle name="Normal 3 6 3 4 2 4" xfId="8744" xr:uid="{00000000-0005-0000-0000-00004D280000}"/>
    <cellStyle name="Normal 3 6 3 4 3" xfId="2386" xr:uid="{00000000-0005-0000-0000-00004E280000}"/>
    <cellStyle name="Normal 3 6 3 4 3 2" xfId="6272" xr:uid="{00000000-0005-0000-0000-00004F280000}"/>
    <cellStyle name="Normal 3 6 3 4 3 2 2" xfId="13501" xr:uid="{00000000-0005-0000-0000-000050280000}"/>
    <cellStyle name="Normal 3 6 3 4 3 3" xfId="9615" xr:uid="{00000000-0005-0000-0000-000051280000}"/>
    <cellStyle name="Normal 3 6 3 4 4" xfId="6269" xr:uid="{00000000-0005-0000-0000-000052280000}"/>
    <cellStyle name="Normal 3 6 3 4 4 2" xfId="13498" xr:uid="{00000000-0005-0000-0000-000053280000}"/>
    <cellStyle name="Normal 3 6 3 4 5" xfId="7877" xr:uid="{00000000-0005-0000-0000-000054280000}"/>
    <cellStyle name="Normal 3 6 3 5" xfId="1083" xr:uid="{00000000-0005-0000-0000-000055280000}"/>
    <cellStyle name="Normal 3 6 3 5 2" xfId="2822" xr:uid="{00000000-0005-0000-0000-000056280000}"/>
    <cellStyle name="Normal 3 6 3 5 2 2" xfId="6274" xr:uid="{00000000-0005-0000-0000-000057280000}"/>
    <cellStyle name="Normal 3 6 3 5 2 2 2" xfId="13503" xr:uid="{00000000-0005-0000-0000-000058280000}"/>
    <cellStyle name="Normal 3 6 3 5 2 3" xfId="10051" xr:uid="{00000000-0005-0000-0000-000059280000}"/>
    <cellStyle name="Normal 3 6 3 5 3" xfId="6273" xr:uid="{00000000-0005-0000-0000-00005A280000}"/>
    <cellStyle name="Normal 3 6 3 5 3 2" xfId="13502" xr:uid="{00000000-0005-0000-0000-00005B280000}"/>
    <cellStyle name="Normal 3 6 3 5 4" xfId="8313" xr:uid="{00000000-0005-0000-0000-00005C280000}"/>
    <cellStyle name="Normal 3 6 3 6" xfId="1955" xr:uid="{00000000-0005-0000-0000-00005D280000}"/>
    <cellStyle name="Normal 3 6 3 6 2" xfId="6275" xr:uid="{00000000-0005-0000-0000-00005E280000}"/>
    <cellStyle name="Normal 3 6 3 6 2 2" xfId="13504" xr:uid="{00000000-0005-0000-0000-00005F280000}"/>
    <cellStyle name="Normal 3 6 3 6 3" xfId="9184" xr:uid="{00000000-0005-0000-0000-000060280000}"/>
    <cellStyle name="Normal 3 6 3 7" xfId="6244" xr:uid="{00000000-0005-0000-0000-000061280000}"/>
    <cellStyle name="Normal 3 6 3 7 2" xfId="13473" xr:uid="{00000000-0005-0000-0000-000062280000}"/>
    <cellStyle name="Normal 3 6 3 8" xfId="7444" xr:uid="{00000000-0005-0000-0000-000063280000}"/>
    <cellStyle name="Normal 3 6 4" xfId="268" xr:uid="{00000000-0005-0000-0000-000064280000}"/>
    <cellStyle name="Normal 3 6 4 2" xfId="494" xr:uid="{00000000-0005-0000-0000-000065280000}"/>
    <cellStyle name="Normal 3 6 4 2 2" xfId="940" xr:uid="{00000000-0005-0000-0000-000066280000}"/>
    <cellStyle name="Normal 3 6 4 2 2 2" xfId="1807" xr:uid="{00000000-0005-0000-0000-000067280000}"/>
    <cellStyle name="Normal 3 6 4 2 2 2 2" xfId="3546" xr:uid="{00000000-0005-0000-0000-000068280000}"/>
    <cellStyle name="Normal 3 6 4 2 2 2 2 2" xfId="6280" xr:uid="{00000000-0005-0000-0000-000069280000}"/>
    <cellStyle name="Normal 3 6 4 2 2 2 2 2 2" xfId="13509" xr:uid="{00000000-0005-0000-0000-00006A280000}"/>
    <cellStyle name="Normal 3 6 4 2 2 2 2 3" xfId="10775" xr:uid="{00000000-0005-0000-0000-00006B280000}"/>
    <cellStyle name="Normal 3 6 4 2 2 2 3" xfId="6279" xr:uid="{00000000-0005-0000-0000-00006C280000}"/>
    <cellStyle name="Normal 3 6 4 2 2 2 3 2" xfId="13508" xr:uid="{00000000-0005-0000-0000-00006D280000}"/>
    <cellStyle name="Normal 3 6 4 2 2 2 4" xfId="9037" xr:uid="{00000000-0005-0000-0000-00006E280000}"/>
    <cellStyle name="Normal 3 6 4 2 2 3" xfId="2679" xr:uid="{00000000-0005-0000-0000-00006F280000}"/>
    <cellStyle name="Normal 3 6 4 2 2 3 2" xfId="6281" xr:uid="{00000000-0005-0000-0000-000070280000}"/>
    <cellStyle name="Normal 3 6 4 2 2 3 2 2" xfId="13510" xr:uid="{00000000-0005-0000-0000-000071280000}"/>
    <cellStyle name="Normal 3 6 4 2 2 3 3" xfId="9908" xr:uid="{00000000-0005-0000-0000-000072280000}"/>
    <cellStyle name="Normal 3 6 4 2 2 4" xfId="6278" xr:uid="{00000000-0005-0000-0000-000073280000}"/>
    <cellStyle name="Normal 3 6 4 2 2 4 2" xfId="13507" xr:uid="{00000000-0005-0000-0000-000074280000}"/>
    <cellStyle name="Normal 3 6 4 2 2 5" xfId="8170" xr:uid="{00000000-0005-0000-0000-000075280000}"/>
    <cellStyle name="Normal 3 6 4 2 3" xfId="1376" xr:uid="{00000000-0005-0000-0000-000076280000}"/>
    <cellStyle name="Normal 3 6 4 2 3 2" xfId="3115" xr:uid="{00000000-0005-0000-0000-000077280000}"/>
    <cellStyle name="Normal 3 6 4 2 3 2 2" xfId="6283" xr:uid="{00000000-0005-0000-0000-000078280000}"/>
    <cellStyle name="Normal 3 6 4 2 3 2 2 2" xfId="13512" xr:uid="{00000000-0005-0000-0000-000079280000}"/>
    <cellStyle name="Normal 3 6 4 2 3 2 3" xfId="10344" xr:uid="{00000000-0005-0000-0000-00007A280000}"/>
    <cellStyle name="Normal 3 6 4 2 3 3" xfId="6282" xr:uid="{00000000-0005-0000-0000-00007B280000}"/>
    <cellStyle name="Normal 3 6 4 2 3 3 2" xfId="13511" xr:uid="{00000000-0005-0000-0000-00007C280000}"/>
    <cellStyle name="Normal 3 6 4 2 3 4" xfId="8606" xr:uid="{00000000-0005-0000-0000-00007D280000}"/>
    <cellStyle name="Normal 3 6 4 2 4" xfId="2248" xr:uid="{00000000-0005-0000-0000-00007E280000}"/>
    <cellStyle name="Normal 3 6 4 2 4 2" xfId="6284" xr:uid="{00000000-0005-0000-0000-00007F280000}"/>
    <cellStyle name="Normal 3 6 4 2 4 2 2" xfId="13513" xr:uid="{00000000-0005-0000-0000-000080280000}"/>
    <cellStyle name="Normal 3 6 4 2 4 3" xfId="9477" xr:uid="{00000000-0005-0000-0000-000081280000}"/>
    <cellStyle name="Normal 3 6 4 2 5" xfId="6277" xr:uid="{00000000-0005-0000-0000-000082280000}"/>
    <cellStyle name="Normal 3 6 4 2 5 2" xfId="13506" xr:uid="{00000000-0005-0000-0000-000083280000}"/>
    <cellStyle name="Normal 3 6 4 2 6" xfId="7739" xr:uid="{00000000-0005-0000-0000-000084280000}"/>
    <cellStyle name="Normal 3 6 4 3" xfId="716" xr:uid="{00000000-0005-0000-0000-000085280000}"/>
    <cellStyle name="Normal 3 6 4 3 2" xfId="1589" xr:uid="{00000000-0005-0000-0000-000086280000}"/>
    <cellStyle name="Normal 3 6 4 3 2 2" xfId="3328" xr:uid="{00000000-0005-0000-0000-000087280000}"/>
    <cellStyle name="Normal 3 6 4 3 2 2 2" xfId="6287" xr:uid="{00000000-0005-0000-0000-000088280000}"/>
    <cellStyle name="Normal 3 6 4 3 2 2 2 2" xfId="13516" xr:uid="{00000000-0005-0000-0000-000089280000}"/>
    <cellStyle name="Normal 3 6 4 3 2 2 3" xfId="10557" xr:uid="{00000000-0005-0000-0000-00008A280000}"/>
    <cellStyle name="Normal 3 6 4 3 2 3" xfId="6286" xr:uid="{00000000-0005-0000-0000-00008B280000}"/>
    <cellStyle name="Normal 3 6 4 3 2 3 2" xfId="13515" xr:uid="{00000000-0005-0000-0000-00008C280000}"/>
    <cellStyle name="Normal 3 6 4 3 2 4" xfId="8819" xr:uid="{00000000-0005-0000-0000-00008D280000}"/>
    <cellStyle name="Normal 3 6 4 3 3" xfId="2461" xr:uid="{00000000-0005-0000-0000-00008E280000}"/>
    <cellStyle name="Normal 3 6 4 3 3 2" xfId="6288" xr:uid="{00000000-0005-0000-0000-00008F280000}"/>
    <cellStyle name="Normal 3 6 4 3 3 2 2" xfId="13517" xr:uid="{00000000-0005-0000-0000-000090280000}"/>
    <cellStyle name="Normal 3 6 4 3 3 3" xfId="9690" xr:uid="{00000000-0005-0000-0000-000091280000}"/>
    <cellStyle name="Normal 3 6 4 3 4" xfId="6285" xr:uid="{00000000-0005-0000-0000-000092280000}"/>
    <cellStyle name="Normal 3 6 4 3 4 2" xfId="13514" xr:uid="{00000000-0005-0000-0000-000093280000}"/>
    <cellStyle name="Normal 3 6 4 3 5" xfId="7952" xr:uid="{00000000-0005-0000-0000-000094280000}"/>
    <cellStyle name="Normal 3 6 4 4" xfId="1158" xr:uid="{00000000-0005-0000-0000-000095280000}"/>
    <cellStyle name="Normal 3 6 4 4 2" xfId="2897" xr:uid="{00000000-0005-0000-0000-000096280000}"/>
    <cellStyle name="Normal 3 6 4 4 2 2" xfId="6290" xr:uid="{00000000-0005-0000-0000-000097280000}"/>
    <cellStyle name="Normal 3 6 4 4 2 2 2" xfId="13519" xr:uid="{00000000-0005-0000-0000-000098280000}"/>
    <cellStyle name="Normal 3 6 4 4 2 3" xfId="10126" xr:uid="{00000000-0005-0000-0000-000099280000}"/>
    <cellStyle name="Normal 3 6 4 4 3" xfId="6289" xr:uid="{00000000-0005-0000-0000-00009A280000}"/>
    <cellStyle name="Normal 3 6 4 4 3 2" xfId="13518" xr:uid="{00000000-0005-0000-0000-00009B280000}"/>
    <cellStyle name="Normal 3 6 4 4 4" xfId="8388" xr:uid="{00000000-0005-0000-0000-00009C280000}"/>
    <cellStyle name="Normal 3 6 4 5" xfId="2030" xr:uid="{00000000-0005-0000-0000-00009D280000}"/>
    <cellStyle name="Normal 3 6 4 5 2" xfId="6291" xr:uid="{00000000-0005-0000-0000-00009E280000}"/>
    <cellStyle name="Normal 3 6 4 5 2 2" xfId="13520" xr:uid="{00000000-0005-0000-0000-00009F280000}"/>
    <cellStyle name="Normal 3 6 4 5 3" xfId="9259" xr:uid="{00000000-0005-0000-0000-0000A0280000}"/>
    <cellStyle name="Normal 3 6 4 6" xfId="6276" xr:uid="{00000000-0005-0000-0000-0000A1280000}"/>
    <cellStyle name="Normal 3 6 4 6 2" xfId="13505" xr:uid="{00000000-0005-0000-0000-0000A2280000}"/>
    <cellStyle name="Normal 3 6 4 7" xfId="7521" xr:uid="{00000000-0005-0000-0000-0000A3280000}"/>
    <cellStyle name="Normal 3 6 5" xfId="392" xr:uid="{00000000-0005-0000-0000-0000A4280000}"/>
    <cellStyle name="Normal 3 6 5 2" xfId="838" xr:uid="{00000000-0005-0000-0000-0000A5280000}"/>
    <cellStyle name="Normal 3 6 5 2 2" xfId="1705" xr:uid="{00000000-0005-0000-0000-0000A6280000}"/>
    <cellStyle name="Normal 3 6 5 2 2 2" xfId="3444" xr:uid="{00000000-0005-0000-0000-0000A7280000}"/>
    <cellStyle name="Normal 3 6 5 2 2 2 2" xfId="6295" xr:uid="{00000000-0005-0000-0000-0000A8280000}"/>
    <cellStyle name="Normal 3 6 5 2 2 2 2 2" xfId="13524" xr:uid="{00000000-0005-0000-0000-0000A9280000}"/>
    <cellStyle name="Normal 3 6 5 2 2 2 3" xfId="10673" xr:uid="{00000000-0005-0000-0000-0000AA280000}"/>
    <cellStyle name="Normal 3 6 5 2 2 3" xfId="6294" xr:uid="{00000000-0005-0000-0000-0000AB280000}"/>
    <cellStyle name="Normal 3 6 5 2 2 3 2" xfId="13523" xr:uid="{00000000-0005-0000-0000-0000AC280000}"/>
    <cellStyle name="Normal 3 6 5 2 2 4" xfId="8935" xr:uid="{00000000-0005-0000-0000-0000AD280000}"/>
    <cellStyle name="Normal 3 6 5 2 3" xfId="2577" xr:uid="{00000000-0005-0000-0000-0000AE280000}"/>
    <cellStyle name="Normal 3 6 5 2 3 2" xfId="6296" xr:uid="{00000000-0005-0000-0000-0000AF280000}"/>
    <cellStyle name="Normal 3 6 5 2 3 2 2" xfId="13525" xr:uid="{00000000-0005-0000-0000-0000B0280000}"/>
    <cellStyle name="Normal 3 6 5 2 3 3" xfId="9806" xr:uid="{00000000-0005-0000-0000-0000B1280000}"/>
    <cellStyle name="Normal 3 6 5 2 4" xfId="6293" xr:uid="{00000000-0005-0000-0000-0000B2280000}"/>
    <cellStyle name="Normal 3 6 5 2 4 2" xfId="13522" xr:uid="{00000000-0005-0000-0000-0000B3280000}"/>
    <cellStyle name="Normal 3 6 5 2 5" xfId="8068" xr:uid="{00000000-0005-0000-0000-0000B4280000}"/>
    <cellStyle name="Normal 3 6 5 3" xfId="1274" xr:uid="{00000000-0005-0000-0000-0000B5280000}"/>
    <cellStyle name="Normal 3 6 5 3 2" xfId="3013" xr:uid="{00000000-0005-0000-0000-0000B6280000}"/>
    <cellStyle name="Normal 3 6 5 3 2 2" xfId="6298" xr:uid="{00000000-0005-0000-0000-0000B7280000}"/>
    <cellStyle name="Normal 3 6 5 3 2 2 2" xfId="13527" xr:uid="{00000000-0005-0000-0000-0000B8280000}"/>
    <cellStyle name="Normal 3 6 5 3 2 3" xfId="10242" xr:uid="{00000000-0005-0000-0000-0000B9280000}"/>
    <cellStyle name="Normal 3 6 5 3 3" xfId="6297" xr:uid="{00000000-0005-0000-0000-0000BA280000}"/>
    <cellStyle name="Normal 3 6 5 3 3 2" xfId="13526" xr:uid="{00000000-0005-0000-0000-0000BB280000}"/>
    <cellStyle name="Normal 3 6 5 3 4" xfId="8504" xr:uid="{00000000-0005-0000-0000-0000BC280000}"/>
    <cellStyle name="Normal 3 6 5 4" xfId="2146" xr:uid="{00000000-0005-0000-0000-0000BD280000}"/>
    <cellStyle name="Normal 3 6 5 4 2" xfId="6299" xr:uid="{00000000-0005-0000-0000-0000BE280000}"/>
    <cellStyle name="Normal 3 6 5 4 2 2" xfId="13528" xr:uid="{00000000-0005-0000-0000-0000BF280000}"/>
    <cellStyle name="Normal 3 6 5 4 3" xfId="9375" xr:uid="{00000000-0005-0000-0000-0000C0280000}"/>
    <cellStyle name="Normal 3 6 5 5" xfId="6292" xr:uid="{00000000-0005-0000-0000-0000C1280000}"/>
    <cellStyle name="Normal 3 6 5 5 2" xfId="13521" xr:uid="{00000000-0005-0000-0000-0000C2280000}"/>
    <cellStyle name="Normal 3 6 5 6" xfId="7637" xr:uid="{00000000-0005-0000-0000-0000C3280000}"/>
    <cellStyle name="Normal 3 6 6" xfId="609" xr:uid="{00000000-0005-0000-0000-0000C4280000}"/>
    <cellStyle name="Normal 3 6 6 2" xfId="1487" xr:uid="{00000000-0005-0000-0000-0000C5280000}"/>
    <cellStyle name="Normal 3 6 6 2 2" xfId="3226" xr:uid="{00000000-0005-0000-0000-0000C6280000}"/>
    <cellStyle name="Normal 3 6 6 2 2 2" xfId="6302" xr:uid="{00000000-0005-0000-0000-0000C7280000}"/>
    <cellStyle name="Normal 3 6 6 2 2 2 2" xfId="13531" xr:uid="{00000000-0005-0000-0000-0000C8280000}"/>
    <cellStyle name="Normal 3 6 6 2 2 3" xfId="10455" xr:uid="{00000000-0005-0000-0000-0000C9280000}"/>
    <cellStyle name="Normal 3 6 6 2 3" xfId="6301" xr:uid="{00000000-0005-0000-0000-0000CA280000}"/>
    <cellStyle name="Normal 3 6 6 2 3 2" xfId="13530" xr:uid="{00000000-0005-0000-0000-0000CB280000}"/>
    <cellStyle name="Normal 3 6 6 2 4" xfId="8717" xr:uid="{00000000-0005-0000-0000-0000CC280000}"/>
    <cellStyle name="Normal 3 6 6 3" xfId="2359" xr:uid="{00000000-0005-0000-0000-0000CD280000}"/>
    <cellStyle name="Normal 3 6 6 3 2" xfId="6303" xr:uid="{00000000-0005-0000-0000-0000CE280000}"/>
    <cellStyle name="Normal 3 6 6 3 2 2" xfId="13532" xr:uid="{00000000-0005-0000-0000-0000CF280000}"/>
    <cellStyle name="Normal 3 6 6 3 3" xfId="9588" xr:uid="{00000000-0005-0000-0000-0000D0280000}"/>
    <cellStyle name="Normal 3 6 6 4" xfId="6300" xr:uid="{00000000-0005-0000-0000-0000D1280000}"/>
    <cellStyle name="Normal 3 6 6 4 2" xfId="13529" xr:uid="{00000000-0005-0000-0000-0000D2280000}"/>
    <cellStyle name="Normal 3 6 6 5" xfId="7850" xr:uid="{00000000-0005-0000-0000-0000D3280000}"/>
    <cellStyle name="Normal 3 6 7" xfId="1056" xr:uid="{00000000-0005-0000-0000-0000D4280000}"/>
    <cellStyle name="Normal 3 6 7 2" xfId="2795" xr:uid="{00000000-0005-0000-0000-0000D5280000}"/>
    <cellStyle name="Normal 3 6 7 2 2" xfId="6305" xr:uid="{00000000-0005-0000-0000-0000D6280000}"/>
    <cellStyle name="Normal 3 6 7 2 2 2" xfId="13534" xr:uid="{00000000-0005-0000-0000-0000D7280000}"/>
    <cellStyle name="Normal 3 6 7 2 3" xfId="10024" xr:uid="{00000000-0005-0000-0000-0000D8280000}"/>
    <cellStyle name="Normal 3 6 7 3" xfId="6304" xr:uid="{00000000-0005-0000-0000-0000D9280000}"/>
    <cellStyle name="Normal 3 6 7 3 2" xfId="13533" xr:uid="{00000000-0005-0000-0000-0000DA280000}"/>
    <cellStyle name="Normal 3 6 7 4" xfId="8286" xr:uid="{00000000-0005-0000-0000-0000DB280000}"/>
    <cellStyle name="Normal 3 6 8" xfId="1928" xr:uid="{00000000-0005-0000-0000-0000DC280000}"/>
    <cellStyle name="Normal 3 6 8 2" xfId="6306" xr:uid="{00000000-0005-0000-0000-0000DD280000}"/>
    <cellStyle name="Normal 3 6 8 2 2" xfId="13535" xr:uid="{00000000-0005-0000-0000-0000DE280000}"/>
    <cellStyle name="Normal 3 6 8 3" xfId="9157" xr:uid="{00000000-0005-0000-0000-0000DF280000}"/>
    <cellStyle name="Normal 3 6 9" xfId="6211" xr:uid="{00000000-0005-0000-0000-0000E0280000}"/>
    <cellStyle name="Normal 3 6 9 2" xfId="13440" xr:uid="{00000000-0005-0000-0000-0000E1280000}"/>
    <cellStyle name="Normal 3 7" xfId="33" xr:uid="{00000000-0005-0000-0000-0000E2280000}"/>
    <cellStyle name="Normal 3 7 2" xfId="6307" xr:uid="{00000000-0005-0000-0000-0000E3280000}"/>
    <cellStyle name="Normal 3 7 2 2" xfId="13536" xr:uid="{00000000-0005-0000-0000-0000E4280000}"/>
    <cellStyle name="Normal 3 8" xfId="88" xr:uid="{00000000-0005-0000-0000-0000E5280000}"/>
    <cellStyle name="Normal 3 8 2" xfId="296" xr:uid="{00000000-0005-0000-0000-0000E6280000}"/>
    <cellStyle name="Normal 3 8 2 2" xfId="522" xr:uid="{00000000-0005-0000-0000-0000E7280000}"/>
    <cellStyle name="Normal 3 8 2 2 2" xfId="968" xr:uid="{00000000-0005-0000-0000-0000E8280000}"/>
    <cellStyle name="Normal 3 8 2 2 2 2" xfId="1835" xr:uid="{00000000-0005-0000-0000-0000E9280000}"/>
    <cellStyle name="Normal 3 8 2 2 2 2 2" xfId="3574" xr:uid="{00000000-0005-0000-0000-0000EA280000}"/>
    <cellStyle name="Normal 3 8 2 2 2 2 2 2" xfId="6313" xr:uid="{00000000-0005-0000-0000-0000EB280000}"/>
    <cellStyle name="Normal 3 8 2 2 2 2 2 2 2" xfId="13542" xr:uid="{00000000-0005-0000-0000-0000EC280000}"/>
    <cellStyle name="Normal 3 8 2 2 2 2 2 3" xfId="10803" xr:uid="{00000000-0005-0000-0000-0000ED280000}"/>
    <cellStyle name="Normal 3 8 2 2 2 2 3" xfId="6312" xr:uid="{00000000-0005-0000-0000-0000EE280000}"/>
    <cellStyle name="Normal 3 8 2 2 2 2 3 2" xfId="13541" xr:uid="{00000000-0005-0000-0000-0000EF280000}"/>
    <cellStyle name="Normal 3 8 2 2 2 2 4" xfId="9065" xr:uid="{00000000-0005-0000-0000-0000F0280000}"/>
    <cellStyle name="Normal 3 8 2 2 2 3" xfId="2707" xr:uid="{00000000-0005-0000-0000-0000F1280000}"/>
    <cellStyle name="Normal 3 8 2 2 2 3 2" xfId="6314" xr:uid="{00000000-0005-0000-0000-0000F2280000}"/>
    <cellStyle name="Normal 3 8 2 2 2 3 2 2" xfId="13543" xr:uid="{00000000-0005-0000-0000-0000F3280000}"/>
    <cellStyle name="Normal 3 8 2 2 2 3 3" xfId="9936" xr:uid="{00000000-0005-0000-0000-0000F4280000}"/>
    <cellStyle name="Normal 3 8 2 2 2 4" xfId="6311" xr:uid="{00000000-0005-0000-0000-0000F5280000}"/>
    <cellStyle name="Normal 3 8 2 2 2 4 2" xfId="13540" xr:uid="{00000000-0005-0000-0000-0000F6280000}"/>
    <cellStyle name="Normal 3 8 2 2 2 5" xfId="8198" xr:uid="{00000000-0005-0000-0000-0000F7280000}"/>
    <cellStyle name="Normal 3 8 2 2 3" xfId="1404" xr:uid="{00000000-0005-0000-0000-0000F8280000}"/>
    <cellStyle name="Normal 3 8 2 2 3 2" xfId="3143" xr:uid="{00000000-0005-0000-0000-0000F9280000}"/>
    <cellStyle name="Normal 3 8 2 2 3 2 2" xfId="6316" xr:uid="{00000000-0005-0000-0000-0000FA280000}"/>
    <cellStyle name="Normal 3 8 2 2 3 2 2 2" xfId="13545" xr:uid="{00000000-0005-0000-0000-0000FB280000}"/>
    <cellStyle name="Normal 3 8 2 2 3 2 3" xfId="10372" xr:uid="{00000000-0005-0000-0000-0000FC280000}"/>
    <cellStyle name="Normal 3 8 2 2 3 3" xfId="6315" xr:uid="{00000000-0005-0000-0000-0000FD280000}"/>
    <cellStyle name="Normal 3 8 2 2 3 3 2" xfId="13544" xr:uid="{00000000-0005-0000-0000-0000FE280000}"/>
    <cellStyle name="Normal 3 8 2 2 3 4" xfId="8634" xr:uid="{00000000-0005-0000-0000-0000FF280000}"/>
    <cellStyle name="Normal 3 8 2 2 4" xfId="2276" xr:uid="{00000000-0005-0000-0000-000000290000}"/>
    <cellStyle name="Normal 3 8 2 2 4 2" xfId="6317" xr:uid="{00000000-0005-0000-0000-000001290000}"/>
    <cellStyle name="Normal 3 8 2 2 4 2 2" xfId="13546" xr:uid="{00000000-0005-0000-0000-000002290000}"/>
    <cellStyle name="Normal 3 8 2 2 4 3" xfId="9505" xr:uid="{00000000-0005-0000-0000-000003290000}"/>
    <cellStyle name="Normal 3 8 2 2 5" xfId="6310" xr:uid="{00000000-0005-0000-0000-000004290000}"/>
    <cellStyle name="Normal 3 8 2 2 5 2" xfId="13539" xr:uid="{00000000-0005-0000-0000-000005290000}"/>
    <cellStyle name="Normal 3 8 2 2 6" xfId="7767" xr:uid="{00000000-0005-0000-0000-000006290000}"/>
    <cellStyle name="Normal 3 8 2 3" xfId="744" xr:uid="{00000000-0005-0000-0000-000007290000}"/>
    <cellStyle name="Normal 3 8 2 3 2" xfId="1617" xr:uid="{00000000-0005-0000-0000-000008290000}"/>
    <cellStyle name="Normal 3 8 2 3 2 2" xfId="3356" xr:uid="{00000000-0005-0000-0000-000009290000}"/>
    <cellStyle name="Normal 3 8 2 3 2 2 2" xfId="6320" xr:uid="{00000000-0005-0000-0000-00000A290000}"/>
    <cellStyle name="Normal 3 8 2 3 2 2 2 2" xfId="13549" xr:uid="{00000000-0005-0000-0000-00000B290000}"/>
    <cellStyle name="Normal 3 8 2 3 2 2 3" xfId="10585" xr:uid="{00000000-0005-0000-0000-00000C290000}"/>
    <cellStyle name="Normal 3 8 2 3 2 3" xfId="6319" xr:uid="{00000000-0005-0000-0000-00000D290000}"/>
    <cellStyle name="Normal 3 8 2 3 2 3 2" xfId="13548" xr:uid="{00000000-0005-0000-0000-00000E290000}"/>
    <cellStyle name="Normal 3 8 2 3 2 4" xfId="8847" xr:uid="{00000000-0005-0000-0000-00000F290000}"/>
    <cellStyle name="Normal 3 8 2 3 3" xfId="2489" xr:uid="{00000000-0005-0000-0000-000010290000}"/>
    <cellStyle name="Normal 3 8 2 3 3 2" xfId="6321" xr:uid="{00000000-0005-0000-0000-000011290000}"/>
    <cellStyle name="Normal 3 8 2 3 3 2 2" xfId="13550" xr:uid="{00000000-0005-0000-0000-000012290000}"/>
    <cellStyle name="Normal 3 8 2 3 3 3" xfId="9718" xr:uid="{00000000-0005-0000-0000-000013290000}"/>
    <cellStyle name="Normal 3 8 2 3 4" xfId="6318" xr:uid="{00000000-0005-0000-0000-000014290000}"/>
    <cellStyle name="Normal 3 8 2 3 4 2" xfId="13547" xr:uid="{00000000-0005-0000-0000-000015290000}"/>
    <cellStyle name="Normal 3 8 2 3 5" xfId="7980" xr:uid="{00000000-0005-0000-0000-000016290000}"/>
    <cellStyle name="Normal 3 8 2 4" xfId="1186" xr:uid="{00000000-0005-0000-0000-000017290000}"/>
    <cellStyle name="Normal 3 8 2 4 2" xfId="2925" xr:uid="{00000000-0005-0000-0000-000018290000}"/>
    <cellStyle name="Normal 3 8 2 4 2 2" xfId="6323" xr:uid="{00000000-0005-0000-0000-000019290000}"/>
    <cellStyle name="Normal 3 8 2 4 2 2 2" xfId="13552" xr:uid="{00000000-0005-0000-0000-00001A290000}"/>
    <cellStyle name="Normal 3 8 2 4 2 3" xfId="10154" xr:uid="{00000000-0005-0000-0000-00001B290000}"/>
    <cellStyle name="Normal 3 8 2 4 3" xfId="6322" xr:uid="{00000000-0005-0000-0000-00001C290000}"/>
    <cellStyle name="Normal 3 8 2 4 3 2" xfId="13551" xr:uid="{00000000-0005-0000-0000-00001D290000}"/>
    <cellStyle name="Normal 3 8 2 4 4" xfId="8416" xr:uid="{00000000-0005-0000-0000-00001E290000}"/>
    <cellStyle name="Normal 3 8 2 5" xfId="2058" xr:uid="{00000000-0005-0000-0000-00001F290000}"/>
    <cellStyle name="Normal 3 8 2 5 2" xfId="6324" xr:uid="{00000000-0005-0000-0000-000020290000}"/>
    <cellStyle name="Normal 3 8 2 5 2 2" xfId="13553" xr:uid="{00000000-0005-0000-0000-000021290000}"/>
    <cellStyle name="Normal 3 8 2 5 3" xfId="9287" xr:uid="{00000000-0005-0000-0000-000022290000}"/>
    <cellStyle name="Normal 3 8 2 6" xfId="6309" xr:uid="{00000000-0005-0000-0000-000023290000}"/>
    <cellStyle name="Normal 3 8 2 6 2" xfId="13538" xr:uid="{00000000-0005-0000-0000-000024290000}"/>
    <cellStyle name="Normal 3 8 2 7" xfId="7549" xr:uid="{00000000-0005-0000-0000-000025290000}"/>
    <cellStyle name="Normal 3 8 3" xfId="420" xr:uid="{00000000-0005-0000-0000-000026290000}"/>
    <cellStyle name="Normal 3 8 3 2" xfId="866" xr:uid="{00000000-0005-0000-0000-000027290000}"/>
    <cellStyle name="Normal 3 8 3 2 2" xfId="1733" xr:uid="{00000000-0005-0000-0000-000028290000}"/>
    <cellStyle name="Normal 3 8 3 2 2 2" xfId="3472" xr:uid="{00000000-0005-0000-0000-000029290000}"/>
    <cellStyle name="Normal 3 8 3 2 2 2 2" xfId="6328" xr:uid="{00000000-0005-0000-0000-00002A290000}"/>
    <cellStyle name="Normal 3 8 3 2 2 2 2 2" xfId="13557" xr:uid="{00000000-0005-0000-0000-00002B290000}"/>
    <cellStyle name="Normal 3 8 3 2 2 2 3" xfId="10701" xr:uid="{00000000-0005-0000-0000-00002C290000}"/>
    <cellStyle name="Normal 3 8 3 2 2 3" xfId="6327" xr:uid="{00000000-0005-0000-0000-00002D290000}"/>
    <cellStyle name="Normal 3 8 3 2 2 3 2" xfId="13556" xr:uid="{00000000-0005-0000-0000-00002E290000}"/>
    <cellStyle name="Normal 3 8 3 2 2 4" xfId="8963" xr:uid="{00000000-0005-0000-0000-00002F290000}"/>
    <cellStyle name="Normal 3 8 3 2 3" xfId="2605" xr:uid="{00000000-0005-0000-0000-000030290000}"/>
    <cellStyle name="Normal 3 8 3 2 3 2" xfId="6329" xr:uid="{00000000-0005-0000-0000-000031290000}"/>
    <cellStyle name="Normal 3 8 3 2 3 2 2" xfId="13558" xr:uid="{00000000-0005-0000-0000-000032290000}"/>
    <cellStyle name="Normal 3 8 3 2 3 3" xfId="9834" xr:uid="{00000000-0005-0000-0000-000033290000}"/>
    <cellStyle name="Normal 3 8 3 2 4" xfId="6326" xr:uid="{00000000-0005-0000-0000-000034290000}"/>
    <cellStyle name="Normal 3 8 3 2 4 2" xfId="13555" xr:uid="{00000000-0005-0000-0000-000035290000}"/>
    <cellStyle name="Normal 3 8 3 2 5" xfId="8096" xr:uid="{00000000-0005-0000-0000-000036290000}"/>
    <cellStyle name="Normal 3 8 3 3" xfId="1302" xr:uid="{00000000-0005-0000-0000-000037290000}"/>
    <cellStyle name="Normal 3 8 3 3 2" xfId="3041" xr:uid="{00000000-0005-0000-0000-000038290000}"/>
    <cellStyle name="Normal 3 8 3 3 2 2" xfId="6331" xr:uid="{00000000-0005-0000-0000-000039290000}"/>
    <cellStyle name="Normal 3 8 3 3 2 2 2" xfId="13560" xr:uid="{00000000-0005-0000-0000-00003A290000}"/>
    <cellStyle name="Normal 3 8 3 3 2 3" xfId="10270" xr:uid="{00000000-0005-0000-0000-00003B290000}"/>
    <cellStyle name="Normal 3 8 3 3 3" xfId="6330" xr:uid="{00000000-0005-0000-0000-00003C290000}"/>
    <cellStyle name="Normal 3 8 3 3 3 2" xfId="13559" xr:uid="{00000000-0005-0000-0000-00003D290000}"/>
    <cellStyle name="Normal 3 8 3 3 4" xfId="8532" xr:uid="{00000000-0005-0000-0000-00003E290000}"/>
    <cellStyle name="Normal 3 8 3 4" xfId="2174" xr:uid="{00000000-0005-0000-0000-00003F290000}"/>
    <cellStyle name="Normal 3 8 3 4 2" xfId="6332" xr:uid="{00000000-0005-0000-0000-000040290000}"/>
    <cellStyle name="Normal 3 8 3 4 2 2" xfId="13561" xr:uid="{00000000-0005-0000-0000-000041290000}"/>
    <cellStyle name="Normal 3 8 3 4 3" xfId="9403" xr:uid="{00000000-0005-0000-0000-000042290000}"/>
    <cellStyle name="Normal 3 8 3 5" xfId="6325" xr:uid="{00000000-0005-0000-0000-000043290000}"/>
    <cellStyle name="Normal 3 8 3 5 2" xfId="13554" xr:uid="{00000000-0005-0000-0000-000044290000}"/>
    <cellStyle name="Normal 3 8 3 6" xfId="7665" xr:uid="{00000000-0005-0000-0000-000045290000}"/>
    <cellStyle name="Normal 3 8 4" xfId="639" xr:uid="{00000000-0005-0000-0000-000046290000}"/>
    <cellStyle name="Normal 3 8 4 2" xfId="1515" xr:uid="{00000000-0005-0000-0000-000047290000}"/>
    <cellStyle name="Normal 3 8 4 2 2" xfId="3254" xr:uid="{00000000-0005-0000-0000-000048290000}"/>
    <cellStyle name="Normal 3 8 4 2 2 2" xfId="6335" xr:uid="{00000000-0005-0000-0000-000049290000}"/>
    <cellStyle name="Normal 3 8 4 2 2 2 2" xfId="13564" xr:uid="{00000000-0005-0000-0000-00004A290000}"/>
    <cellStyle name="Normal 3 8 4 2 2 3" xfId="10483" xr:uid="{00000000-0005-0000-0000-00004B290000}"/>
    <cellStyle name="Normal 3 8 4 2 3" xfId="6334" xr:uid="{00000000-0005-0000-0000-00004C290000}"/>
    <cellStyle name="Normal 3 8 4 2 3 2" xfId="13563" xr:uid="{00000000-0005-0000-0000-00004D290000}"/>
    <cellStyle name="Normal 3 8 4 2 4" xfId="8745" xr:uid="{00000000-0005-0000-0000-00004E290000}"/>
    <cellStyle name="Normal 3 8 4 3" xfId="2387" xr:uid="{00000000-0005-0000-0000-00004F290000}"/>
    <cellStyle name="Normal 3 8 4 3 2" xfId="6336" xr:uid="{00000000-0005-0000-0000-000050290000}"/>
    <cellStyle name="Normal 3 8 4 3 2 2" xfId="13565" xr:uid="{00000000-0005-0000-0000-000051290000}"/>
    <cellStyle name="Normal 3 8 4 3 3" xfId="9616" xr:uid="{00000000-0005-0000-0000-000052290000}"/>
    <cellStyle name="Normal 3 8 4 4" xfId="6333" xr:uid="{00000000-0005-0000-0000-000053290000}"/>
    <cellStyle name="Normal 3 8 4 4 2" xfId="13562" xr:uid="{00000000-0005-0000-0000-000054290000}"/>
    <cellStyle name="Normal 3 8 4 5" xfId="7878" xr:uid="{00000000-0005-0000-0000-000055290000}"/>
    <cellStyle name="Normal 3 8 5" xfId="1084" xr:uid="{00000000-0005-0000-0000-000056290000}"/>
    <cellStyle name="Normal 3 8 5 2" xfId="2823" xr:uid="{00000000-0005-0000-0000-000057290000}"/>
    <cellStyle name="Normal 3 8 5 2 2" xfId="6338" xr:uid="{00000000-0005-0000-0000-000058290000}"/>
    <cellStyle name="Normal 3 8 5 2 2 2" xfId="13567" xr:uid="{00000000-0005-0000-0000-000059290000}"/>
    <cellStyle name="Normal 3 8 5 2 3" xfId="10052" xr:uid="{00000000-0005-0000-0000-00005A290000}"/>
    <cellStyle name="Normal 3 8 5 3" xfId="6337" xr:uid="{00000000-0005-0000-0000-00005B290000}"/>
    <cellStyle name="Normal 3 8 5 3 2" xfId="13566" xr:uid="{00000000-0005-0000-0000-00005C290000}"/>
    <cellStyle name="Normal 3 8 5 4" xfId="8314" xr:uid="{00000000-0005-0000-0000-00005D290000}"/>
    <cellStyle name="Normal 3 8 6" xfId="1956" xr:uid="{00000000-0005-0000-0000-00005E290000}"/>
    <cellStyle name="Normal 3 8 6 2" xfId="6339" xr:uid="{00000000-0005-0000-0000-00005F290000}"/>
    <cellStyle name="Normal 3 8 6 2 2" xfId="13568" xr:uid="{00000000-0005-0000-0000-000060290000}"/>
    <cellStyle name="Normal 3 8 6 3" xfId="9185" xr:uid="{00000000-0005-0000-0000-000061290000}"/>
    <cellStyle name="Normal 3 8 7" xfId="6308" xr:uid="{00000000-0005-0000-0000-000062290000}"/>
    <cellStyle name="Normal 3 8 7 2" xfId="13537" xr:uid="{00000000-0005-0000-0000-000063290000}"/>
    <cellStyle name="Normal 3 8 8" xfId="7445" xr:uid="{00000000-0005-0000-0000-000064290000}"/>
    <cellStyle name="Normal 3 9" xfId="71" xr:uid="{00000000-0005-0000-0000-000065290000}"/>
    <cellStyle name="Normal 3 9 2" xfId="290" xr:uid="{00000000-0005-0000-0000-000066290000}"/>
    <cellStyle name="Normal 3 9 2 2" xfId="516" xr:uid="{00000000-0005-0000-0000-000067290000}"/>
    <cellStyle name="Normal 3 9 2 2 2" xfId="962" xr:uid="{00000000-0005-0000-0000-000068290000}"/>
    <cellStyle name="Normal 3 9 2 2 2 2" xfId="1829" xr:uid="{00000000-0005-0000-0000-000069290000}"/>
    <cellStyle name="Normal 3 9 2 2 2 2 2" xfId="3568" xr:uid="{00000000-0005-0000-0000-00006A290000}"/>
    <cellStyle name="Normal 3 9 2 2 2 2 2 2" xfId="6345" xr:uid="{00000000-0005-0000-0000-00006B290000}"/>
    <cellStyle name="Normal 3 9 2 2 2 2 2 2 2" xfId="13574" xr:uid="{00000000-0005-0000-0000-00006C290000}"/>
    <cellStyle name="Normal 3 9 2 2 2 2 2 3" xfId="10797" xr:uid="{00000000-0005-0000-0000-00006D290000}"/>
    <cellStyle name="Normal 3 9 2 2 2 2 3" xfId="6344" xr:uid="{00000000-0005-0000-0000-00006E290000}"/>
    <cellStyle name="Normal 3 9 2 2 2 2 3 2" xfId="13573" xr:uid="{00000000-0005-0000-0000-00006F290000}"/>
    <cellStyle name="Normal 3 9 2 2 2 2 4" xfId="9059" xr:uid="{00000000-0005-0000-0000-000070290000}"/>
    <cellStyle name="Normal 3 9 2 2 2 3" xfId="2701" xr:uid="{00000000-0005-0000-0000-000071290000}"/>
    <cellStyle name="Normal 3 9 2 2 2 3 2" xfId="6346" xr:uid="{00000000-0005-0000-0000-000072290000}"/>
    <cellStyle name="Normal 3 9 2 2 2 3 2 2" xfId="13575" xr:uid="{00000000-0005-0000-0000-000073290000}"/>
    <cellStyle name="Normal 3 9 2 2 2 3 3" xfId="9930" xr:uid="{00000000-0005-0000-0000-000074290000}"/>
    <cellStyle name="Normal 3 9 2 2 2 4" xfId="6343" xr:uid="{00000000-0005-0000-0000-000075290000}"/>
    <cellStyle name="Normal 3 9 2 2 2 4 2" xfId="13572" xr:uid="{00000000-0005-0000-0000-000076290000}"/>
    <cellStyle name="Normal 3 9 2 2 2 5" xfId="8192" xr:uid="{00000000-0005-0000-0000-000077290000}"/>
    <cellStyle name="Normal 3 9 2 2 3" xfId="1398" xr:uid="{00000000-0005-0000-0000-000078290000}"/>
    <cellStyle name="Normal 3 9 2 2 3 2" xfId="3137" xr:uid="{00000000-0005-0000-0000-000079290000}"/>
    <cellStyle name="Normal 3 9 2 2 3 2 2" xfId="6348" xr:uid="{00000000-0005-0000-0000-00007A290000}"/>
    <cellStyle name="Normal 3 9 2 2 3 2 2 2" xfId="13577" xr:uid="{00000000-0005-0000-0000-00007B290000}"/>
    <cellStyle name="Normal 3 9 2 2 3 2 3" xfId="10366" xr:uid="{00000000-0005-0000-0000-00007C290000}"/>
    <cellStyle name="Normal 3 9 2 2 3 3" xfId="6347" xr:uid="{00000000-0005-0000-0000-00007D290000}"/>
    <cellStyle name="Normal 3 9 2 2 3 3 2" xfId="13576" xr:uid="{00000000-0005-0000-0000-00007E290000}"/>
    <cellStyle name="Normal 3 9 2 2 3 4" xfId="8628" xr:uid="{00000000-0005-0000-0000-00007F290000}"/>
    <cellStyle name="Normal 3 9 2 2 4" xfId="2270" xr:uid="{00000000-0005-0000-0000-000080290000}"/>
    <cellStyle name="Normal 3 9 2 2 4 2" xfId="6349" xr:uid="{00000000-0005-0000-0000-000081290000}"/>
    <cellStyle name="Normal 3 9 2 2 4 2 2" xfId="13578" xr:uid="{00000000-0005-0000-0000-000082290000}"/>
    <cellStyle name="Normal 3 9 2 2 4 3" xfId="9499" xr:uid="{00000000-0005-0000-0000-000083290000}"/>
    <cellStyle name="Normal 3 9 2 2 5" xfId="6342" xr:uid="{00000000-0005-0000-0000-000084290000}"/>
    <cellStyle name="Normal 3 9 2 2 5 2" xfId="13571" xr:uid="{00000000-0005-0000-0000-000085290000}"/>
    <cellStyle name="Normal 3 9 2 2 6" xfId="7761" xr:uid="{00000000-0005-0000-0000-000086290000}"/>
    <cellStyle name="Normal 3 9 2 3" xfId="738" xr:uid="{00000000-0005-0000-0000-000087290000}"/>
    <cellStyle name="Normal 3 9 2 3 2" xfId="1611" xr:uid="{00000000-0005-0000-0000-000088290000}"/>
    <cellStyle name="Normal 3 9 2 3 2 2" xfId="3350" xr:uid="{00000000-0005-0000-0000-000089290000}"/>
    <cellStyle name="Normal 3 9 2 3 2 2 2" xfId="6352" xr:uid="{00000000-0005-0000-0000-00008A290000}"/>
    <cellStyle name="Normal 3 9 2 3 2 2 2 2" xfId="13581" xr:uid="{00000000-0005-0000-0000-00008B290000}"/>
    <cellStyle name="Normal 3 9 2 3 2 2 3" xfId="10579" xr:uid="{00000000-0005-0000-0000-00008C290000}"/>
    <cellStyle name="Normal 3 9 2 3 2 3" xfId="6351" xr:uid="{00000000-0005-0000-0000-00008D290000}"/>
    <cellStyle name="Normal 3 9 2 3 2 3 2" xfId="13580" xr:uid="{00000000-0005-0000-0000-00008E290000}"/>
    <cellStyle name="Normal 3 9 2 3 2 4" xfId="8841" xr:uid="{00000000-0005-0000-0000-00008F290000}"/>
    <cellStyle name="Normal 3 9 2 3 3" xfId="2483" xr:uid="{00000000-0005-0000-0000-000090290000}"/>
    <cellStyle name="Normal 3 9 2 3 3 2" xfId="6353" xr:uid="{00000000-0005-0000-0000-000091290000}"/>
    <cellStyle name="Normal 3 9 2 3 3 2 2" xfId="13582" xr:uid="{00000000-0005-0000-0000-000092290000}"/>
    <cellStyle name="Normal 3 9 2 3 3 3" xfId="9712" xr:uid="{00000000-0005-0000-0000-000093290000}"/>
    <cellStyle name="Normal 3 9 2 3 4" xfId="6350" xr:uid="{00000000-0005-0000-0000-000094290000}"/>
    <cellStyle name="Normal 3 9 2 3 4 2" xfId="13579" xr:uid="{00000000-0005-0000-0000-000095290000}"/>
    <cellStyle name="Normal 3 9 2 3 5" xfId="7974" xr:uid="{00000000-0005-0000-0000-000096290000}"/>
    <cellStyle name="Normal 3 9 2 4" xfId="1180" xr:uid="{00000000-0005-0000-0000-000097290000}"/>
    <cellStyle name="Normal 3 9 2 4 2" xfId="2919" xr:uid="{00000000-0005-0000-0000-000098290000}"/>
    <cellStyle name="Normal 3 9 2 4 2 2" xfId="6355" xr:uid="{00000000-0005-0000-0000-000099290000}"/>
    <cellStyle name="Normal 3 9 2 4 2 2 2" xfId="13584" xr:uid="{00000000-0005-0000-0000-00009A290000}"/>
    <cellStyle name="Normal 3 9 2 4 2 3" xfId="10148" xr:uid="{00000000-0005-0000-0000-00009B290000}"/>
    <cellStyle name="Normal 3 9 2 4 3" xfId="6354" xr:uid="{00000000-0005-0000-0000-00009C290000}"/>
    <cellStyle name="Normal 3 9 2 4 3 2" xfId="13583" xr:uid="{00000000-0005-0000-0000-00009D290000}"/>
    <cellStyle name="Normal 3 9 2 4 4" xfId="8410" xr:uid="{00000000-0005-0000-0000-00009E290000}"/>
    <cellStyle name="Normal 3 9 2 5" xfId="2052" xr:uid="{00000000-0005-0000-0000-00009F290000}"/>
    <cellStyle name="Normal 3 9 2 5 2" xfId="6356" xr:uid="{00000000-0005-0000-0000-0000A0290000}"/>
    <cellStyle name="Normal 3 9 2 5 2 2" xfId="13585" xr:uid="{00000000-0005-0000-0000-0000A1290000}"/>
    <cellStyle name="Normal 3 9 2 5 3" xfId="9281" xr:uid="{00000000-0005-0000-0000-0000A2290000}"/>
    <cellStyle name="Normal 3 9 2 6" xfId="6341" xr:uid="{00000000-0005-0000-0000-0000A3290000}"/>
    <cellStyle name="Normal 3 9 2 6 2" xfId="13570" xr:uid="{00000000-0005-0000-0000-0000A4290000}"/>
    <cellStyle name="Normal 3 9 2 7" xfId="7543" xr:uid="{00000000-0005-0000-0000-0000A5290000}"/>
    <cellStyle name="Normal 3 9 3" xfId="414" xr:uid="{00000000-0005-0000-0000-0000A6290000}"/>
    <cellStyle name="Normal 3 9 3 2" xfId="860" xr:uid="{00000000-0005-0000-0000-0000A7290000}"/>
    <cellStyle name="Normal 3 9 3 2 2" xfId="1727" xr:uid="{00000000-0005-0000-0000-0000A8290000}"/>
    <cellStyle name="Normal 3 9 3 2 2 2" xfId="3466" xr:uid="{00000000-0005-0000-0000-0000A9290000}"/>
    <cellStyle name="Normal 3 9 3 2 2 2 2" xfId="6360" xr:uid="{00000000-0005-0000-0000-0000AA290000}"/>
    <cellStyle name="Normal 3 9 3 2 2 2 2 2" xfId="13589" xr:uid="{00000000-0005-0000-0000-0000AB290000}"/>
    <cellStyle name="Normal 3 9 3 2 2 2 3" xfId="10695" xr:uid="{00000000-0005-0000-0000-0000AC290000}"/>
    <cellStyle name="Normal 3 9 3 2 2 3" xfId="6359" xr:uid="{00000000-0005-0000-0000-0000AD290000}"/>
    <cellStyle name="Normal 3 9 3 2 2 3 2" xfId="13588" xr:uid="{00000000-0005-0000-0000-0000AE290000}"/>
    <cellStyle name="Normal 3 9 3 2 2 4" xfId="8957" xr:uid="{00000000-0005-0000-0000-0000AF290000}"/>
    <cellStyle name="Normal 3 9 3 2 3" xfId="2599" xr:uid="{00000000-0005-0000-0000-0000B0290000}"/>
    <cellStyle name="Normal 3 9 3 2 3 2" xfId="6361" xr:uid="{00000000-0005-0000-0000-0000B1290000}"/>
    <cellStyle name="Normal 3 9 3 2 3 2 2" xfId="13590" xr:uid="{00000000-0005-0000-0000-0000B2290000}"/>
    <cellStyle name="Normal 3 9 3 2 3 3" xfId="9828" xr:uid="{00000000-0005-0000-0000-0000B3290000}"/>
    <cellStyle name="Normal 3 9 3 2 4" xfId="6358" xr:uid="{00000000-0005-0000-0000-0000B4290000}"/>
    <cellStyle name="Normal 3 9 3 2 4 2" xfId="13587" xr:uid="{00000000-0005-0000-0000-0000B5290000}"/>
    <cellStyle name="Normal 3 9 3 2 5" xfId="8090" xr:uid="{00000000-0005-0000-0000-0000B6290000}"/>
    <cellStyle name="Normal 3 9 3 3" xfId="1296" xr:uid="{00000000-0005-0000-0000-0000B7290000}"/>
    <cellStyle name="Normal 3 9 3 3 2" xfId="3035" xr:uid="{00000000-0005-0000-0000-0000B8290000}"/>
    <cellStyle name="Normal 3 9 3 3 2 2" xfId="6363" xr:uid="{00000000-0005-0000-0000-0000B9290000}"/>
    <cellStyle name="Normal 3 9 3 3 2 2 2" xfId="13592" xr:uid="{00000000-0005-0000-0000-0000BA290000}"/>
    <cellStyle name="Normal 3 9 3 3 2 3" xfId="10264" xr:uid="{00000000-0005-0000-0000-0000BB290000}"/>
    <cellStyle name="Normal 3 9 3 3 3" xfId="6362" xr:uid="{00000000-0005-0000-0000-0000BC290000}"/>
    <cellStyle name="Normal 3 9 3 3 3 2" xfId="13591" xr:uid="{00000000-0005-0000-0000-0000BD290000}"/>
    <cellStyle name="Normal 3 9 3 3 4" xfId="8526" xr:uid="{00000000-0005-0000-0000-0000BE290000}"/>
    <cellStyle name="Normal 3 9 3 4" xfId="2168" xr:uid="{00000000-0005-0000-0000-0000BF290000}"/>
    <cellStyle name="Normal 3 9 3 4 2" xfId="6364" xr:uid="{00000000-0005-0000-0000-0000C0290000}"/>
    <cellStyle name="Normal 3 9 3 4 2 2" xfId="13593" xr:uid="{00000000-0005-0000-0000-0000C1290000}"/>
    <cellStyle name="Normal 3 9 3 4 3" xfId="9397" xr:uid="{00000000-0005-0000-0000-0000C2290000}"/>
    <cellStyle name="Normal 3 9 3 5" xfId="6357" xr:uid="{00000000-0005-0000-0000-0000C3290000}"/>
    <cellStyle name="Normal 3 9 3 5 2" xfId="13586" xr:uid="{00000000-0005-0000-0000-0000C4290000}"/>
    <cellStyle name="Normal 3 9 3 6" xfId="7659" xr:uid="{00000000-0005-0000-0000-0000C5290000}"/>
    <cellStyle name="Normal 3 9 4" xfId="633" xr:uid="{00000000-0005-0000-0000-0000C6290000}"/>
    <cellStyle name="Normal 3 9 4 2" xfId="1509" xr:uid="{00000000-0005-0000-0000-0000C7290000}"/>
    <cellStyle name="Normal 3 9 4 2 2" xfId="3248" xr:uid="{00000000-0005-0000-0000-0000C8290000}"/>
    <cellStyle name="Normal 3 9 4 2 2 2" xfId="6367" xr:uid="{00000000-0005-0000-0000-0000C9290000}"/>
    <cellStyle name="Normal 3 9 4 2 2 2 2" xfId="13596" xr:uid="{00000000-0005-0000-0000-0000CA290000}"/>
    <cellStyle name="Normal 3 9 4 2 2 3" xfId="10477" xr:uid="{00000000-0005-0000-0000-0000CB290000}"/>
    <cellStyle name="Normal 3 9 4 2 3" xfId="6366" xr:uid="{00000000-0005-0000-0000-0000CC290000}"/>
    <cellStyle name="Normal 3 9 4 2 3 2" xfId="13595" xr:uid="{00000000-0005-0000-0000-0000CD290000}"/>
    <cellStyle name="Normal 3 9 4 2 4" xfId="8739" xr:uid="{00000000-0005-0000-0000-0000CE290000}"/>
    <cellStyle name="Normal 3 9 4 3" xfId="2381" xr:uid="{00000000-0005-0000-0000-0000CF290000}"/>
    <cellStyle name="Normal 3 9 4 3 2" xfId="6368" xr:uid="{00000000-0005-0000-0000-0000D0290000}"/>
    <cellStyle name="Normal 3 9 4 3 2 2" xfId="13597" xr:uid="{00000000-0005-0000-0000-0000D1290000}"/>
    <cellStyle name="Normal 3 9 4 3 3" xfId="9610" xr:uid="{00000000-0005-0000-0000-0000D2290000}"/>
    <cellStyle name="Normal 3 9 4 4" xfId="6365" xr:uid="{00000000-0005-0000-0000-0000D3290000}"/>
    <cellStyle name="Normal 3 9 4 4 2" xfId="13594" xr:uid="{00000000-0005-0000-0000-0000D4290000}"/>
    <cellStyle name="Normal 3 9 4 5" xfId="7872" xr:uid="{00000000-0005-0000-0000-0000D5290000}"/>
    <cellStyle name="Normal 3 9 5" xfId="1078" xr:uid="{00000000-0005-0000-0000-0000D6290000}"/>
    <cellStyle name="Normal 3 9 5 2" xfId="2817" xr:uid="{00000000-0005-0000-0000-0000D7290000}"/>
    <cellStyle name="Normal 3 9 5 2 2" xfId="6370" xr:uid="{00000000-0005-0000-0000-0000D8290000}"/>
    <cellStyle name="Normal 3 9 5 2 2 2" xfId="13599" xr:uid="{00000000-0005-0000-0000-0000D9290000}"/>
    <cellStyle name="Normal 3 9 5 2 3" xfId="10046" xr:uid="{00000000-0005-0000-0000-0000DA290000}"/>
    <cellStyle name="Normal 3 9 5 3" xfId="6369" xr:uid="{00000000-0005-0000-0000-0000DB290000}"/>
    <cellStyle name="Normal 3 9 5 3 2" xfId="13598" xr:uid="{00000000-0005-0000-0000-0000DC290000}"/>
    <cellStyle name="Normal 3 9 5 4" xfId="8308" xr:uid="{00000000-0005-0000-0000-0000DD290000}"/>
    <cellStyle name="Normal 3 9 6" xfId="1950" xr:uid="{00000000-0005-0000-0000-0000DE290000}"/>
    <cellStyle name="Normal 3 9 6 2" xfId="6371" xr:uid="{00000000-0005-0000-0000-0000DF290000}"/>
    <cellStyle name="Normal 3 9 6 2 2" xfId="13600" xr:uid="{00000000-0005-0000-0000-0000E0290000}"/>
    <cellStyle name="Normal 3 9 6 3" xfId="9179" xr:uid="{00000000-0005-0000-0000-0000E1290000}"/>
    <cellStyle name="Normal 3 9 7" xfId="6340" xr:uid="{00000000-0005-0000-0000-0000E2290000}"/>
    <cellStyle name="Normal 3 9 7 2" xfId="13569" xr:uid="{00000000-0005-0000-0000-0000E3290000}"/>
    <cellStyle name="Normal 3 9 8" xfId="7439" xr:uid="{00000000-0005-0000-0000-0000E4290000}"/>
    <cellStyle name="Normal 30" xfId="62" xr:uid="{00000000-0005-0000-0000-0000E5290000}"/>
    <cellStyle name="Normal 30 2" xfId="6372" xr:uid="{00000000-0005-0000-0000-0000E6290000}"/>
    <cellStyle name="Normal 30 2 2" xfId="13601" xr:uid="{00000000-0005-0000-0000-0000E7290000}"/>
    <cellStyle name="Normal 31" xfId="382" xr:uid="{00000000-0005-0000-0000-0000E8290000}"/>
    <cellStyle name="Normal 31 2" xfId="828" xr:uid="{00000000-0005-0000-0000-0000E9290000}"/>
    <cellStyle name="Normal 31 2 2" xfId="1695" xr:uid="{00000000-0005-0000-0000-0000EA290000}"/>
    <cellStyle name="Normal 31 2 2 2" xfId="3434" xr:uid="{00000000-0005-0000-0000-0000EB290000}"/>
    <cellStyle name="Normal 31 2 2 2 2" xfId="6376" xr:uid="{00000000-0005-0000-0000-0000EC290000}"/>
    <cellStyle name="Normal 31 2 2 2 2 2" xfId="13605" xr:uid="{00000000-0005-0000-0000-0000ED290000}"/>
    <cellStyle name="Normal 31 2 2 2 3" xfId="10663" xr:uid="{00000000-0005-0000-0000-0000EE290000}"/>
    <cellStyle name="Normal 31 2 2 3" xfId="6375" xr:uid="{00000000-0005-0000-0000-0000EF290000}"/>
    <cellStyle name="Normal 31 2 2 3 2" xfId="13604" xr:uid="{00000000-0005-0000-0000-0000F0290000}"/>
    <cellStyle name="Normal 31 2 2 4" xfId="8925" xr:uid="{00000000-0005-0000-0000-0000F1290000}"/>
    <cellStyle name="Normal 31 2 3" xfId="2567" xr:uid="{00000000-0005-0000-0000-0000F2290000}"/>
    <cellStyle name="Normal 31 2 3 2" xfId="6377" xr:uid="{00000000-0005-0000-0000-0000F3290000}"/>
    <cellStyle name="Normal 31 2 3 2 2" xfId="13606" xr:uid="{00000000-0005-0000-0000-0000F4290000}"/>
    <cellStyle name="Normal 31 2 3 3" xfId="9796" xr:uid="{00000000-0005-0000-0000-0000F5290000}"/>
    <cellStyle name="Normal 31 2 4" xfId="6374" xr:uid="{00000000-0005-0000-0000-0000F6290000}"/>
    <cellStyle name="Normal 31 2 4 2" xfId="13603" xr:uid="{00000000-0005-0000-0000-0000F7290000}"/>
    <cellStyle name="Normal 31 2 5" xfId="8058" xr:uid="{00000000-0005-0000-0000-0000F8290000}"/>
    <cellStyle name="Normal 31 3" xfId="1264" xr:uid="{00000000-0005-0000-0000-0000F9290000}"/>
    <cellStyle name="Normal 31 3 2" xfId="3003" xr:uid="{00000000-0005-0000-0000-0000FA290000}"/>
    <cellStyle name="Normal 31 3 2 2" xfId="6379" xr:uid="{00000000-0005-0000-0000-0000FB290000}"/>
    <cellStyle name="Normal 31 3 2 2 2" xfId="13608" xr:uid="{00000000-0005-0000-0000-0000FC290000}"/>
    <cellStyle name="Normal 31 3 2 3" xfId="10232" xr:uid="{00000000-0005-0000-0000-0000FD290000}"/>
    <cellStyle name="Normal 31 3 3" xfId="6378" xr:uid="{00000000-0005-0000-0000-0000FE290000}"/>
    <cellStyle name="Normal 31 3 3 2" xfId="13607" xr:uid="{00000000-0005-0000-0000-0000FF290000}"/>
    <cellStyle name="Normal 31 3 4" xfId="8494" xr:uid="{00000000-0005-0000-0000-0000002A0000}"/>
    <cellStyle name="Normal 31 4" xfId="2136" xr:uid="{00000000-0005-0000-0000-0000012A0000}"/>
    <cellStyle name="Normal 31 4 2" xfId="6380" xr:uid="{00000000-0005-0000-0000-0000022A0000}"/>
    <cellStyle name="Normal 31 4 2 2" xfId="13609" xr:uid="{00000000-0005-0000-0000-0000032A0000}"/>
    <cellStyle name="Normal 31 4 3" xfId="9365" xr:uid="{00000000-0005-0000-0000-0000042A0000}"/>
    <cellStyle name="Normal 31 5" xfId="6373" xr:uid="{00000000-0005-0000-0000-0000052A0000}"/>
    <cellStyle name="Normal 31 5 2" xfId="13602" xr:uid="{00000000-0005-0000-0000-0000062A0000}"/>
    <cellStyle name="Normal 31 6" xfId="7627" xr:uid="{00000000-0005-0000-0000-0000072A0000}"/>
    <cellStyle name="Normal 32" xfId="385" xr:uid="{00000000-0005-0000-0000-0000082A0000}"/>
    <cellStyle name="Normal 32 2" xfId="831" xr:uid="{00000000-0005-0000-0000-0000092A0000}"/>
    <cellStyle name="Normal 32 2 2" xfId="1698" xr:uid="{00000000-0005-0000-0000-00000A2A0000}"/>
    <cellStyle name="Normal 32 2 2 2" xfId="3437" xr:uid="{00000000-0005-0000-0000-00000B2A0000}"/>
    <cellStyle name="Normal 32 2 2 2 2" xfId="6384" xr:uid="{00000000-0005-0000-0000-00000C2A0000}"/>
    <cellStyle name="Normal 32 2 2 2 2 2" xfId="13613" xr:uid="{00000000-0005-0000-0000-00000D2A0000}"/>
    <cellStyle name="Normal 32 2 2 2 3" xfId="10666" xr:uid="{00000000-0005-0000-0000-00000E2A0000}"/>
    <cellStyle name="Normal 32 2 2 3" xfId="6383" xr:uid="{00000000-0005-0000-0000-00000F2A0000}"/>
    <cellStyle name="Normal 32 2 2 3 2" xfId="13612" xr:uid="{00000000-0005-0000-0000-0000102A0000}"/>
    <cellStyle name="Normal 32 2 2 4" xfId="8928" xr:uid="{00000000-0005-0000-0000-0000112A0000}"/>
    <cellStyle name="Normal 32 2 3" xfId="2570" xr:uid="{00000000-0005-0000-0000-0000122A0000}"/>
    <cellStyle name="Normal 32 2 3 2" xfId="6385" xr:uid="{00000000-0005-0000-0000-0000132A0000}"/>
    <cellStyle name="Normal 32 2 3 2 2" xfId="13614" xr:uid="{00000000-0005-0000-0000-0000142A0000}"/>
    <cellStyle name="Normal 32 2 3 3" xfId="9799" xr:uid="{00000000-0005-0000-0000-0000152A0000}"/>
    <cellStyle name="Normal 32 2 4" xfId="6382" xr:uid="{00000000-0005-0000-0000-0000162A0000}"/>
    <cellStyle name="Normal 32 2 4 2" xfId="13611" xr:uid="{00000000-0005-0000-0000-0000172A0000}"/>
    <cellStyle name="Normal 32 2 5" xfId="8061" xr:uid="{00000000-0005-0000-0000-0000182A0000}"/>
    <cellStyle name="Normal 32 3" xfId="1267" xr:uid="{00000000-0005-0000-0000-0000192A0000}"/>
    <cellStyle name="Normal 32 3 2" xfId="3006" xr:uid="{00000000-0005-0000-0000-00001A2A0000}"/>
    <cellStyle name="Normal 32 3 2 2" xfId="6387" xr:uid="{00000000-0005-0000-0000-00001B2A0000}"/>
    <cellStyle name="Normal 32 3 2 2 2" xfId="13616" xr:uid="{00000000-0005-0000-0000-00001C2A0000}"/>
    <cellStyle name="Normal 32 3 2 3" xfId="10235" xr:uid="{00000000-0005-0000-0000-00001D2A0000}"/>
    <cellStyle name="Normal 32 3 3" xfId="6386" xr:uid="{00000000-0005-0000-0000-00001E2A0000}"/>
    <cellStyle name="Normal 32 3 3 2" xfId="13615" xr:uid="{00000000-0005-0000-0000-00001F2A0000}"/>
    <cellStyle name="Normal 32 3 4" xfId="8497" xr:uid="{00000000-0005-0000-0000-0000202A0000}"/>
    <cellStyle name="Normal 32 4" xfId="2139" xr:uid="{00000000-0005-0000-0000-0000212A0000}"/>
    <cellStyle name="Normal 32 4 2" xfId="6388" xr:uid="{00000000-0005-0000-0000-0000222A0000}"/>
    <cellStyle name="Normal 32 4 2 2" xfId="13617" xr:uid="{00000000-0005-0000-0000-0000232A0000}"/>
    <cellStyle name="Normal 32 4 3" xfId="9368" xr:uid="{00000000-0005-0000-0000-0000242A0000}"/>
    <cellStyle name="Normal 32 5" xfId="6381" xr:uid="{00000000-0005-0000-0000-0000252A0000}"/>
    <cellStyle name="Normal 32 5 2" xfId="13610" xr:uid="{00000000-0005-0000-0000-0000262A0000}"/>
    <cellStyle name="Normal 32 6" xfId="7630" xr:uid="{00000000-0005-0000-0000-0000272A0000}"/>
    <cellStyle name="Normal 33" xfId="593" xr:uid="{00000000-0005-0000-0000-0000282A0000}"/>
    <cellStyle name="Normal 33 2" xfId="1039" xr:uid="{00000000-0005-0000-0000-0000292A0000}"/>
    <cellStyle name="Normal 33 2 2" xfId="1906" xr:uid="{00000000-0005-0000-0000-00002A2A0000}"/>
    <cellStyle name="Normal 33 2 2 2" xfId="3645" xr:uid="{00000000-0005-0000-0000-00002B2A0000}"/>
    <cellStyle name="Normal 33 2 2 2 2" xfId="6392" xr:uid="{00000000-0005-0000-0000-00002C2A0000}"/>
    <cellStyle name="Normal 33 2 2 2 2 2" xfId="13621" xr:uid="{00000000-0005-0000-0000-00002D2A0000}"/>
    <cellStyle name="Normal 33 2 2 2 3" xfId="10874" xr:uid="{00000000-0005-0000-0000-00002E2A0000}"/>
    <cellStyle name="Normal 33 2 2 3" xfId="6391" xr:uid="{00000000-0005-0000-0000-00002F2A0000}"/>
    <cellStyle name="Normal 33 2 2 3 2" xfId="13620" xr:uid="{00000000-0005-0000-0000-0000302A0000}"/>
    <cellStyle name="Normal 33 2 2 4" xfId="9136" xr:uid="{00000000-0005-0000-0000-0000312A0000}"/>
    <cellStyle name="Normal 33 2 3" xfId="2778" xr:uid="{00000000-0005-0000-0000-0000322A0000}"/>
    <cellStyle name="Normal 33 2 3 2" xfId="6393" xr:uid="{00000000-0005-0000-0000-0000332A0000}"/>
    <cellStyle name="Normal 33 2 3 2 2" xfId="13622" xr:uid="{00000000-0005-0000-0000-0000342A0000}"/>
    <cellStyle name="Normal 33 2 3 3" xfId="10007" xr:uid="{00000000-0005-0000-0000-0000352A0000}"/>
    <cellStyle name="Normal 33 2 4" xfId="6390" xr:uid="{00000000-0005-0000-0000-0000362A0000}"/>
    <cellStyle name="Normal 33 2 4 2" xfId="13619" xr:uid="{00000000-0005-0000-0000-0000372A0000}"/>
    <cellStyle name="Normal 33 2 5" xfId="8269" xr:uid="{00000000-0005-0000-0000-0000382A0000}"/>
    <cellStyle name="Normal 33 3" xfId="1475" xr:uid="{00000000-0005-0000-0000-0000392A0000}"/>
    <cellStyle name="Normal 33 3 2" xfId="3214" xr:uid="{00000000-0005-0000-0000-00003A2A0000}"/>
    <cellStyle name="Normal 33 3 2 2" xfId="6395" xr:uid="{00000000-0005-0000-0000-00003B2A0000}"/>
    <cellStyle name="Normal 33 3 2 2 2" xfId="13624" xr:uid="{00000000-0005-0000-0000-00003C2A0000}"/>
    <cellStyle name="Normal 33 3 2 3" xfId="10443" xr:uid="{00000000-0005-0000-0000-00003D2A0000}"/>
    <cellStyle name="Normal 33 3 3" xfId="6394" xr:uid="{00000000-0005-0000-0000-00003E2A0000}"/>
    <cellStyle name="Normal 33 3 3 2" xfId="13623" xr:uid="{00000000-0005-0000-0000-00003F2A0000}"/>
    <cellStyle name="Normal 33 3 4" xfId="8705" xr:uid="{00000000-0005-0000-0000-0000402A0000}"/>
    <cellStyle name="Normal 33 4" xfId="2347" xr:uid="{00000000-0005-0000-0000-0000412A0000}"/>
    <cellStyle name="Normal 33 4 2" xfId="6396" xr:uid="{00000000-0005-0000-0000-0000422A0000}"/>
    <cellStyle name="Normal 33 4 2 2" xfId="13625" xr:uid="{00000000-0005-0000-0000-0000432A0000}"/>
    <cellStyle name="Normal 33 4 3" xfId="9576" xr:uid="{00000000-0005-0000-0000-0000442A0000}"/>
    <cellStyle name="Normal 33 5" xfId="6389" xr:uid="{00000000-0005-0000-0000-0000452A0000}"/>
    <cellStyle name="Normal 33 5 2" xfId="13618" xr:uid="{00000000-0005-0000-0000-0000462A0000}"/>
    <cellStyle name="Normal 33 6" xfId="7838" xr:uid="{00000000-0005-0000-0000-0000472A0000}"/>
    <cellStyle name="Normal 34" xfId="600" xr:uid="{00000000-0005-0000-0000-0000482A0000}"/>
    <cellStyle name="Normal 34 2" xfId="6397" xr:uid="{00000000-0005-0000-0000-0000492A0000}"/>
    <cellStyle name="Normal 34 2 2" xfId="13626" xr:uid="{00000000-0005-0000-0000-00004A2A0000}"/>
    <cellStyle name="Normal 35" xfId="596" xr:uid="{00000000-0005-0000-0000-00004B2A0000}"/>
    <cellStyle name="Normal 35 2" xfId="1478" xr:uid="{00000000-0005-0000-0000-00004C2A0000}"/>
    <cellStyle name="Normal 35 2 2" xfId="3217" xr:uid="{00000000-0005-0000-0000-00004D2A0000}"/>
    <cellStyle name="Normal 35 2 2 2" xfId="6400" xr:uid="{00000000-0005-0000-0000-00004E2A0000}"/>
    <cellStyle name="Normal 35 2 2 2 2" xfId="13629" xr:uid="{00000000-0005-0000-0000-00004F2A0000}"/>
    <cellStyle name="Normal 35 2 2 3" xfId="10446" xr:uid="{00000000-0005-0000-0000-0000502A0000}"/>
    <cellStyle name="Normal 35 2 3" xfId="6399" xr:uid="{00000000-0005-0000-0000-0000512A0000}"/>
    <cellStyle name="Normal 35 2 3 2" xfId="13628" xr:uid="{00000000-0005-0000-0000-0000522A0000}"/>
    <cellStyle name="Normal 35 2 4" xfId="8708" xr:uid="{00000000-0005-0000-0000-0000532A0000}"/>
    <cellStyle name="Normal 35 3" xfId="2350" xr:uid="{00000000-0005-0000-0000-0000542A0000}"/>
    <cellStyle name="Normal 35 3 2" xfId="6401" xr:uid="{00000000-0005-0000-0000-0000552A0000}"/>
    <cellStyle name="Normal 35 3 2 2" xfId="13630" xr:uid="{00000000-0005-0000-0000-0000562A0000}"/>
    <cellStyle name="Normal 35 3 3" xfId="9579" xr:uid="{00000000-0005-0000-0000-0000572A0000}"/>
    <cellStyle name="Normal 35 4" xfId="6398" xr:uid="{00000000-0005-0000-0000-0000582A0000}"/>
    <cellStyle name="Normal 35 4 2" xfId="13627" xr:uid="{00000000-0005-0000-0000-0000592A0000}"/>
    <cellStyle name="Normal 35 5" xfId="7841" xr:uid="{00000000-0005-0000-0000-00005A2A0000}"/>
    <cellStyle name="Normal 36" xfId="1042" xr:uid="{00000000-0005-0000-0000-00005B2A0000}"/>
    <cellStyle name="Normal 36 2" xfId="1909" xr:uid="{00000000-0005-0000-0000-00005C2A0000}"/>
    <cellStyle name="Normal 36 2 2" xfId="3648" xr:uid="{00000000-0005-0000-0000-00005D2A0000}"/>
    <cellStyle name="Normal 36 2 2 2" xfId="6404" xr:uid="{00000000-0005-0000-0000-00005E2A0000}"/>
    <cellStyle name="Normal 36 2 2 2 2" xfId="13633" xr:uid="{00000000-0005-0000-0000-00005F2A0000}"/>
    <cellStyle name="Normal 36 2 2 3" xfId="10877" xr:uid="{00000000-0005-0000-0000-0000602A0000}"/>
    <cellStyle name="Normal 36 2 3" xfId="6403" xr:uid="{00000000-0005-0000-0000-0000612A0000}"/>
    <cellStyle name="Normal 36 2 3 2" xfId="13632" xr:uid="{00000000-0005-0000-0000-0000622A0000}"/>
    <cellStyle name="Normal 36 2 4" xfId="9139" xr:uid="{00000000-0005-0000-0000-0000632A0000}"/>
    <cellStyle name="Normal 36 3" xfId="2781" xr:uid="{00000000-0005-0000-0000-0000642A0000}"/>
    <cellStyle name="Normal 36 3 2" xfId="6405" xr:uid="{00000000-0005-0000-0000-0000652A0000}"/>
    <cellStyle name="Normal 36 3 2 2" xfId="13634" xr:uid="{00000000-0005-0000-0000-0000662A0000}"/>
    <cellStyle name="Normal 36 3 3" xfId="10010" xr:uid="{00000000-0005-0000-0000-0000672A0000}"/>
    <cellStyle name="Normal 36 4" xfId="6402" xr:uid="{00000000-0005-0000-0000-0000682A0000}"/>
    <cellStyle name="Normal 36 4 2" xfId="13631" xr:uid="{00000000-0005-0000-0000-0000692A0000}"/>
    <cellStyle name="Normal 36 5" xfId="8272" xr:uid="{00000000-0005-0000-0000-00006A2A0000}"/>
    <cellStyle name="Normal 37" xfId="1045" xr:uid="{00000000-0005-0000-0000-00006B2A0000}"/>
    <cellStyle name="Normal 37 2" xfId="1912" xr:uid="{00000000-0005-0000-0000-00006C2A0000}"/>
    <cellStyle name="Normal 37 2 2" xfId="3651" xr:uid="{00000000-0005-0000-0000-00006D2A0000}"/>
    <cellStyle name="Normal 37 2 2 2" xfId="6408" xr:uid="{00000000-0005-0000-0000-00006E2A0000}"/>
    <cellStyle name="Normal 37 2 2 2 2" xfId="13637" xr:uid="{00000000-0005-0000-0000-00006F2A0000}"/>
    <cellStyle name="Normal 37 2 2 3" xfId="10880" xr:uid="{00000000-0005-0000-0000-0000702A0000}"/>
    <cellStyle name="Normal 37 2 3" xfId="6407" xr:uid="{00000000-0005-0000-0000-0000712A0000}"/>
    <cellStyle name="Normal 37 2 3 2" xfId="13636" xr:uid="{00000000-0005-0000-0000-0000722A0000}"/>
    <cellStyle name="Normal 37 2 4" xfId="9142" xr:uid="{00000000-0005-0000-0000-0000732A0000}"/>
    <cellStyle name="Normal 37 3" xfId="2784" xr:uid="{00000000-0005-0000-0000-0000742A0000}"/>
    <cellStyle name="Normal 37 3 2" xfId="6409" xr:uid="{00000000-0005-0000-0000-0000752A0000}"/>
    <cellStyle name="Normal 37 3 2 2" xfId="13638" xr:uid="{00000000-0005-0000-0000-0000762A0000}"/>
    <cellStyle name="Normal 37 3 3" xfId="10013" xr:uid="{00000000-0005-0000-0000-0000772A0000}"/>
    <cellStyle name="Normal 37 4" xfId="6406" xr:uid="{00000000-0005-0000-0000-0000782A0000}"/>
    <cellStyle name="Normal 37 4 2" xfId="13635" xr:uid="{00000000-0005-0000-0000-0000792A0000}"/>
    <cellStyle name="Normal 37 5" xfId="8275" xr:uid="{00000000-0005-0000-0000-00007A2A0000}"/>
    <cellStyle name="Normal 38" xfId="1048" xr:uid="{00000000-0005-0000-0000-00007B2A0000}"/>
    <cellStyle name="Normal 38 2" xfId="1915" xr:uid="{00000000-0005-0000-0000-00007C2A0000}"/>
    <cellStyle name="Normal 38 2 2" xfId="3654" xr:uid="{00000000-0005-0000-0000-00007D2A0000}"/>
    <cellStyle name="Normal 38 2 2 2" xfId="6412" xr:uid="{00000000-0005-0000-0000-00007E2A0000}"/>
    <cellStyle name="Normal 38 2 2 2 2" xfId="13641" xr:uid="{00000000-0005-0000-0000-00007F2A0000}"/>
    <cellStyle name="Normal 38 2 2 3" xfId="10883" xr:uid="{00000000-0005-0000-0000-0000802A0000}"/>
    <cellStyle name="Normal 38 2 3" xfId="6411" xr:uid="{00000000-0005-0000-0000-0000812A0000}"/>
    <cellStyle name="Normal 38 2 3 2" xfId="13640" xr:uid="{00000000-0005-0000-0000-0000822A0000}"/>
    <cellStyle name="Normal 38 2 4" xfId="9145" xr:uid="{00000000-0005-0000-0000-0000832A0000}"/>
    <cellStyle name="Normal 38 3" xfId="2787" xr:uid="{00000000-0005-0000-0000-0000842A0000}"/>
    <cellStyle name="Normal 38 3 2" xfId="6413" xr:uid="{00000000-0005-0000-0000-0000852A0000}"/>
    <cellStyle name="Normal 38 3 2 2" xfId="13642" xr:uid="{00000000-0005-0000-0000-0000862A0000}"/>
    <cellStyle name="Normal 38 3 3" xfId="10016" xr:uid="{00000000-0005-0000-0000-0000872A0000}"/>
    <cellStyle name="Normal 38 4" xfId="6410" xr:uid="{00000000-0005-0000-0000-0000882A0000}"/>
    <cellStyle name="Normal 38 4 2" xfId="13639" xr:uid="{00000000-0005-0000-0000-0000892A0000}"/>
    <cellStyle name="Normal 38 5" xfId="8278" xr:uid="{00000000-0005-0000-0000-00008A2A0000}"/>
    <cellStyle name="Normal 39" xfId="1918" xr:uid="{00000000-0005-0000-0000-00008B2A0000}"/>
    <cellStyle name="Normal 39 2" xfId="3657" xr:uid="{00000000-0005-0000-0000-00008C2A0000}"/>
    <cellStyle name="Normal 39 2 2" xfId="6415" xr:uid="{00000000-0005-0000-0000-00008D2A0000}"/>
    <cellStyle name="Normal 39 2 2 2" xfId="13644" xr:uid="{00000000-0005-0000-0000-00008E2A0000}"/>
    <cellStyle name="Normal 39 2 3" xfId="10886" xr:uid="{00000000-0005-0000-0000-00008F2A0000}"/>
    <cellStyle name="Normal 39 3" xfId="6414" xr:uid="{00000000-0005-0000-0000-0000902A0000}"/>
    <cellStyle name="Normal 39 3 2" xfId="13643" xr:uid="{00000000-0005-0000-0000-0000912A0000}"/>
    <cellStyle name="Normal 39 4" xfId="9148" xr:uid="{00000000-0005-0000-0000-0000922A0000}"/>
    <cellStyle name="Normal 4" xfId="34" xr:uid="{00000000-0005-0000-0000-0000932A0000}"/>
    <cellStyle name="Normal 4 10" xfId="6416" xr:uid="{00000000-0005-0000-0000-0000942A0000}"/>
    <cellStyle name="Normal 4 10 2" xfId="13645" xr:uid="{00000000-0005-0000-0000-0000952A0000}"/>
    <cellStyle name="Normal 4 11" xfId="7420" xr:uid="{00000000-0005-0000-0000-0000962A0000}"/>
    <cellStyle name="Normal 4 2" xfId="97" xr:uid="{00000000-0005-0000-0000-0000972A0000}"/>
    <cellStyle name="Normal 4 2 2" xfId="223" xr:uid="{00000000-0005-0000-0000-0000982A0000}"/>
    <cellStyle name="Normal 4 2 2 2" xfId="345" xr:uid="{00000000-0005-0000-0000-0000992A0000}"/>
    <cellStyle name="Normal 4 2 2 2 2" xfId="571" xr:uid="{00000000-0005-0000-0000-00009A2A0000}"/>
    <cellStyle name="Normal 4 2 2 2 2 2" xfId="1017" xr:uid="{00000000-0005-0000-0000-00009B2A0000}"/>
    <cellStyle name="Normal 4 2 2 2 2 2 2" xfId="1884" xr:uid="{00000000-0005-0000-0000-00009C2A0000}"/>
    <cellStyle name="Normal 4 2 2 2 2 2 2 2" xfId="3623" xr:uid="{00000000-0005-0000-0000-00009D2A0000}"/>
    <cellStyle name="Normal 4 2 2 2 2 2 2 2 2" xfId="6423" xr:uid="{00000000-0005-0000-0000-00009E2A0000}"/>
    <cellStyle name="Normal 4 2 2 2 2 2 2 2 2 2" xfId="13652" xr:uid="{00000000-0005-0000-0000-00009F2A0000}"/>
    <cellStyle name="Normal 4 2 2 2 2 2 2 2 3" xfId="10852" xr:uid="{00000000-0005-0000-0000-0000A02A0000}"/>
    <cellStyle name="Normal 4 2 2 2 2 2 2 3" xfId="6422" xr:uid="{00000000-0005-0000-0000-0000A12A0000}"/>
    <cellStyle name="Normal 4 2 2 2 2 2 2 3 2" xfId="13651" xr:uid="{00000000-0005-0000-0000-0000A22A0000}"/>
    <cellStyle name="Normal 4 2 2 2 2 2 2 4" xfId="9114" xr:uid="{00000000-0005-0000-0000-0000A32A0000}"/>
    <cellStyle name="Normal 4 2 2 2 2 2 3" xfId="2756" xr:uid="{00000000-0005-0000-0000-0000A42A0000}"/>
    <cellStyle name="Normal 4 2 2 2 2 2 3 2" xfId="6424" xr:uid="{00000000-0005-0000-0000-0000A52A0000}"/>
    <cellStyle name="Normal 4 2 2 2 2 2 3 2 2" xfId="13653" xr:uid="{00000000-0005-0000-0000-0000A62A0000}"/>
    <cellStyle name="Normal 4 2 2 2 2 2 3 3" xfId="9985" xr:uid="{00000000-0005-0000-0000-0000A72A0000}"/>
    <cellStyle name="Normal 4 2 2 2 2 2 4" xfId="6421" xr:uid="{00000000-0005-0000-0000-0000A82A0000}"/>
    <cellStyle name="Normal 4 2 2 2 2 2 4 2" xfId="13650" xr:uid="{00000000-0005-0000-0000-0000A92A0000}"/>
    <cellStyle name="Normal 4 2 2 2 2 2 5" xfId="8247" xr:uid="{00000000-0005-0000-0000-0000AA2A0000}"/>
    <cellStyle name="Normal 4 2 2 2 2 3" xfId="1453" xr:uid="{00000000-0005-0000-0000-0000AB2A0000}"/>
    <cellStyle name="Normal 4 2 2 2 2 3 2" xfId="3192" xr:uid="{00000000-0005-0000-0000-0000AC2A0000}"/>
    <cellStyle name="Normal 4 2 2 2 2 3 2 2" xfId="6426" xr:uid="{00000000-0005-0000-0000-0000AD2A0000}"/>
    <cellStyle name="Normal 4 2 2 2 2 3 2 2 2" xfId="13655" xr:uid="{00000000-0005-0000-0000-0000AE2A0000}"/>
    <cellStyle name="Normal 4 2 2 2 2 3 2 3" xfId="10421" xr:uid="{00000000-0005-0000-0000-0000AF2A0000}"/>
    <cellStyle name="Normal 4 2 2 2 2 3 3" xfId="6425" xr:uid="{00000000-0005-0000-0000-0000B02A0000}"/>
    <cellStyle name="Normal 4 2 2 2 2 3 3 2" xfId="13654" xr:uid="{00000000-0005-0000-0000-0000B12A0000}"/>
    <cellStyle name="Normal 4 2 2 2 2 3 4" xfId="8683" xr:uid="{00000000-0005-0000-0000-0000B22A0000}"/>
    <cellStyle name="Normal 4 2 2 2 2 4" xfId="2325" xr:uid="{00000000-0005-0000-0000-0000B32A0000}"/>
    <cellStyle name="Normal 4 2 2 2 2 4 2" xfId="6427" xr:uid="{00000000-0005-0000-0000-0000B42A0000}"/>
    <cellStyle name="Normal 4 2 2 2 2 4 2 2" xfId="13656" xr:uid="{00000000-0005-0000-0000-0000B52A0000}"/>
    <cellStyle name="Normal 4 2 2 2 2 4 3" xfId="9554" xr:uid="{00000000-0005-0000-0000-0000B62A0000}"/>
    <cellStyle name="Normal 4 2 2 2 2 5" xfId="6420" xr:uid="{00000000-0005-0000-0000-0000B72A0000}"/>
    <cellStyle name="Normal 4 2 2 2 2 5 2" xfId="13649" xr:uid="{00000000-0005-0000-0000-0000B82A0000}"/>
    <cellStyle name="Normal 4 2 2 2 2 6" xfId="7816" xr:uid="{00000000-0005-0000-0000-0000B92A0000}"/>
    <cellStyle name="Normal 4 2 2 2 3" xfId="793" xr:uid="{00000000-0005-0000-0000-0000BA2A0000}"/>
    <cellStyle name="Normal 4 2 2 2 3 2" xfId="1666" xr:uid="{00000000-0005-0000-0000-0000BB2A0000}"/>
    <cellStyle name="Normal 4 2 2 2 3 2 2" xfId="3405" xr:uid="{00000000-0005-0000-0000-0000BC2A0000}"/>
    <cellStyle name="Normal 4 2 2 2 3 2 2 2" xfId="6430" xr:uid="{00000000-0005-0000-0000-0000BD2A0000}"/>
    <cellStyle name="Normal 4 2 2 2 3 2 2 2 2" xfId="13659" xr:uid="{00000000-0005-0000-0000-0000BE2A0000}"/>
    <cellStyle name="Normal 4 2 2 2 3 2 2 3" xfId="10634" xr:uid="{00000000-0005-0000-0000-0000BF2A0000}"/>
    <cellStyle name="Normal 4 2 2 2 3 2 3" xfId="6429" xr:uid="{00000000-0005-0000-0000-0000C02A0000}"/>
    <cellStyle name="Normal 4 2 2 2 3 2 3 2" xfId="13658" xr:uid="{00000000-0005-0000-0000-0000C12A0000}"/>
    <cellStyle name="Normal 4 2 2 2 3 2 4" xfId="8896" xr:uid="{00000000-0005-0000-0000-0000C22A0000}"/>
    <cellStyle name="Normal 4 2 2 2 3 3" xfId="2538" xr:uid="{00000000-0005-0000-0000-0000C32A0000}"/>
    <cellStyle name="Normal 4 2 2 2 3 3 2" xfId="6431" xr:uid="{00000000-0005-0000-0000-0000C42A0000}"/>
    <cellStyle name="Normal 4 2 2 2 3 3 2 2" xfId="13660" xr:uid="{00000000-0005-0000-0000-0000C52A0000}"/>
    <cellStyle name="Normal 4 2 2 2 3 3 3" xfId="9767" xr:uid="{00000000-0005-0000-0000-0000C62A0000}"/>
    <cellStyle name="Normal 4 2 2 2 3 4" xfId="6428" xr:uid="{00000000-0005-0000-0000-0000C72A0000}"/>
    <cellStyle name="Normal 4 2 2 2 3 4 2" xfId="13657" xr:uid="{00000000-0005-0000-0000-0000C82A0000}"/>
    <cellStyle name="Normal 4 2 2 2 3 5" xfId="8029" xr:uid="{00000000-0005-0000-0000-0000C92A0000}"/>
    <cellStyle name="Normal 4 2 2 2 4" xfId="1235" xr:uid="{00000000-0005-0000-0000-0000CA2A0000}"/>
    <cellStyle name="Normal 4 2 2 2 4 2" xfId="2974" xr:uid="{00000000-0005-0000-0000-0000CB2A0000}"/>
    <cellStyle name="Normal 4 2 2 2 4 2 2" xfId="6433" xr:uid="{00000000-0005-0000-0000-0000CC2A0000}"/>
    <cellStyle name="Normal 4 2 2 2 4 2 2 2" xfId="13662" xr:uid="{00000000-0005-0000-0000-0000CD2A0000}"/>
    <cellStyle name="Normal 4 2 2 2 4 2 3" xfId="10203" xr:uid="{00000000-0005-0000-0000-0000CE2A0000}"/>
    <cellStyle name="Normal 4 2 2 2 4 3" xfId="6432" xr:uid="{00000000-0005-0000-0000-0000CF2A0000}"/>
    <cellStyle name="Normal 4 2 2 2 4 3 2" xfId="13661" xr:uid="{00000000-0005-0000-0000-0000D02A0000}"/>
    <cellStyle name="Normal 4 2 2 2 4 4" xfId="8465" xr:uid="{00000000-0005-0000-0000-0000D12A0000}"/>
    <cellStyle name="Normal 4 2 2 2 5" xfId="2107" xr:uid="{00000000-0005-0000-0000-0000D22A0000}"/>
    <cellStyle name="Normal 4 2 2 2 5 2" xfId="6434" xr:uid="{00000000-0005-0000-0000-0000D32A0000}"/>
    <cellStyle name="Normal 4 2 2 2 5 2 2" xfId="13663" xr:uid="{00000000-0005-0000-0000-0000D42A0000}"/>
    <cellStyle name="Normal 4 2 2 2 5 3" xfId="9336" xr:uid="{00000000-0005-0000-0000-0000D52A0000}"/>
    <cellStyle name="Normal 4 2 2 2 6" xfId="6419" xr:uid="{00000000-0005-0000-0000-0000D62A0000}"/>
    <cellStyle name="Normal 4 2 2 2 6 2" xfId="13648" xr:uid="{00000000-0005-0000-0000-0000D72A0000}"/>
    <cellStyle name="Normal 4 2 2 2 7" xfId="7598" xr:uid="{00000000-0005-0000-0000-0000D82A0000}"/>
    <cellStyle name="Normal 4 2 2 3" xfId="469" xr:uid="{00000000-0005-0000-0000-0000D92A0000}"/>
    <cellStyle name="Normal 4 2 2 3 2" xfId="915" xr:uid="{00000000-0005-0000-0000-0000DA2A0000}"/>
    <cellStyle name="Normal 4 2 2 3 2 2" xfId="1782" xr:uid="{00000000-0005-0000-0000-0000DB2A0000}"/>
    <cellStyle name="Normal 4 2 2 3 2 2 2" xfId="3521" xr:uid="{00000000-0005-0000-0000-0000DC2A0000}"/>
    <cellStyle name="Normal 4 2 2 3 2 2 2 2" xfId="6438" xr:uid="{00000000-0005-0000-0000-0000DD2A0000}"/>
    <cellStyle name="Normal 4 2 2 3 2 2 2 2 2" xfId="13667" xr:uid="{00000000-0005-0000-0000-0000DE2A0000}"/>
    <cellStyle name="Normal 4 2 2 3 2 2 2 3" xfId="10750" xr:uid="{00000000-0005-0000-0000-0000DF2A0000}"/>
    <cellStyle name="Normal 4 2 2 3 2 2 3" xfId="6437" xr:uid="{00000000-0005-0000-0000-0000E02A0000}"/>
    <cellStyle name="Normal 4 2 2 3 2 2 3 2" xfId="13666" xr:uid="{00000000-0005-0000-0000-0000E12A0000}"/>
    <cellStyle name="Normal 4 2 2 3 2 2 4" xfId="9012" xr:uid="{00000000-0005-0000-0000-0000E22A0000}"/>
    <cellStyle name="Normal 4 2 2 3 2 3" xfId="2654" xr:uid="{00000000-0005-0000-0000-0000E32A0000}"/>
    <cellStyle name="Normal 4 2 2 3 2 3 2" xfId="6439" xr:uid="{00000000-0005-0000-0000-0000E42A0000}"/>
    <cellStyle name="Normal 4 2 2 3 2 3 2 2" xfId="13668" xr:uid="{00000000-0005-0000-0000-0000E52A0000}"/>
    <cellStyle name="Normal 4 2 2 3 2 3 3" xfId="9883" xr:uid="{00000000-0005-0000-0000-0000E62A0000}"/>
    <cellStyle name="Normal 4 2 2 3 2 4" xfId="6436" xr:uid="{00000000-0005-0000-0000-0000E72A0000}"/>
    <cellStyle name="Normal 4 2 2 3 2 4 2" xfId="13665" xr:uid="{00000000-0005-0000-0000-0000E82A0000}"/>
    <cellStyle name="Normal 4 2 2 3 2 5" xfId="8145" xr:uid="{00000000-0005-0000-0000-0000E92A0000}"/>
    <cellStyle name="Normal 4 2 2 3 3" xfId="1351" xr:uid="{00000000-0005-0000-0000-0000EA2A0000}"/>
    <cellStyle name="Normal 4 2 2 3 3 2" xfId="3090" xr:uid="{00000000-0005-0000-0000-0000EB2A0000}"/>
    <cellStyle name="Normal 4 2 2 3 3 2 2" xfId="6441" xr:uid="{00000000-0005-0000-0000-0000EC2A0000}"/>
    <cellStyle name="Normal 4 2 2 3 3 2 2 2" xfId="13670" xr:uid="{00000000-0005-0000-0000-0000ED2A0000}"/>
    <cellStyle name="Normal 4 2 2 3 3 2 3" xfId="10319" xr:uid="{00000000-0005-0000-0000-0000EE2A0000}"/>
    <cellStyle name="Normal 4 2 2 3 3 3" xfId="6440" xr:uid="{00000000-0005-0000-0000-0000EF2A0000}"/>
    <cellStyle name="Normal 4 2 2 3 3 3 2" xfId="13669" xr:uid="{00000000-0005-0000-0000-0000F02A0000}"/>
    <cellStyle name="Normal 4 2 2 3 3 4" xfId="8581" xr:uid="{00000000-0005-0000-0000-0000F12A0000}"/>
    <cellStyle name="Normal 4 2 2 3 4" xfId="2223" xr:uid="{00000000-0005-0000-0000-0000F22A0000}"/>
    <cellStyle name="Normal 4 2 2 3 4 2" xfId="6442" xr:uid="{00000000-0005-0000-0000-0000F32A0000}"/>
    <cellStyle name="Normal 4 2 2 3 4 2 2" xfId="13671" xr:uid="{00000000-0005-0000-0000-0000F42A0000}"/>
    <cellStyle name="Normal 4 2 2 3 4 3" xfId="9452" xr:uid="{00000000-0005-0000-0000-0000F52A0000}"/>
    <cellStyle name="Normal 4 2 2 3 5" xfId="6435" xr:uid="{00000000-0005-0000-0000-0000F62A0000}"/>
    <cellStyle name="Normal 4 2 2 3 5 2" xfId="13664" xr:uid="{00000000-0005-0000-0000-0000F72A0000}"/>
    <cellStyle name="Normal 4 2 2 3 6" xfId="7714" xr:uid="{00000000-0005-0000-0000-0000F82A0000}"/>
    <cellStyle name="Normal 4 2 2 4" xfId="691" xr:uid="{00000000-0005-0000-0000-0000F92A0000}"/>
    <cellStyle name="Normal 4 2 2 4 2" xfId="1564" xr:uid="{00000000-0005-0000-0000-0000FA2A0000}"/>
    <cellStyle name="Normal 4 2 2 4 2 2" xfId="3303" xr:uid="{00000000-0005-0000-0000-0000FB2A0000}"/>
    <cellStyle name="Normal 4 2 2 4 2 2 2" xfId="6445" xr:uid="{00000000-0005-0000-0000-0000FC2A0000}"/>
    <cellStyle name="Normal 4 2 2 4 2 2 2 2" xfId="13674" xr:uid="{00000000-0005-0000-0000-0000FD2A0000}"/>
    <cellStyle name="Normal 4 2 2 4 2 2 3" xfId="10532" xr:uid="{00000000-0005-0000-0000-0000FE2A0000}"/>
    <cellStyle name="Normal 4 2 2 4 2 3" xfId="6444" xr:uid="{00000000-0005-0000-0000-0000FF2A0000}"/>
    <cellStyle name="Normal 4 2 2 4 2 3 2" xfId="13673" xr:uid="{00000000-0005-0000-0000-0000002B0000}"/>
    <cellStyle name="Normal 4 2 2 4 2 4" xfId="8794" xr:uid="{00000000-0005-0000-0000-0000012B0000}"/>
    <cellStyle name="Normal 4 2 2 4 3" xfId="2436" xr:uid="{00000000-0005-0000-0000-0000022B0000}"/>
    <cellStyle name="Normal 4 2 2 4 3 2" xfId="6446" xr:uid="{00000000-0005-0000-0000-0000032B0000}"/>
    <cellStyle name="Normal 4 2 2 4 3 2 2" xfId="13675" xr:uid="{00000000-0005-0000-0000-0000042B0000}"/>
    <cellStyle name="Normal 4 2 2 4 3 3" xfId="9665" xr:uid="{00000000-0005-0000-0000-0000052B0000}"/>
    <cellStyle name="Normal 4 2 2 4 4" xfId="6443" xr:uid="{00000000-0005-0000-0000-0000062B0000}"/>
    <cellStyle name="Normal 4 2 2 4 4 2" xfId="13672" xr:uid="{00000000-0005-0000-0000-0000072B0000}"/>
    <cellStyle name="Normal 4 2 2 4 5" xfId="7927" xr:uid="{00000000-0005-0000-0000-0000082B0000}"/>
    <cellStyle name="Normal 4 2 2 5" xfId="1133" xr:uid="{00000000-0005-0000-0000-0000092B0000}"/>
    <cellStyle name="Normal 4 2 2 5 2" xfId="2872" xr:uid="{00000000-0005-0000-0000-00000A2B0000}"/>
    <cellStyle name="Normal 4 2 2 5 2 2" xfId="6448" xr:uid="{00000000-0005-0000-0000-00000B2B0000}"/>
    <cellStyle name="Normal 4 2 2 5 2 2 2" xfId="13677" xr:uid="{00000000-0005-0000-0000-00000C2B0000}"/>
    <cellStyle name="Normal 4 2 2 5 2 3" xfId="10101" xr:uid="{00000000-0005-0000-0000-00000D2B0000}"/>
    <cellStyle name="Normal 4 2 2 5 3" xfId="6447" xr:uid="{00000000-0005-0000-0000-00000E2B0000}"/>
    <cellStyle name="Normal 4 2 2 5 3 2" xfId="13676" xr:uid="{00000000-0005-0000-0000-00000F2B0000}"/>
    <cellStyle name="Normal 4 2 2 5 4" xfId="8363" xr:uid="{00000000-0005-0000-0000-0000102B0000}"/>
    <cellStyle name="Normal 4 2 2 6" xfId="2005" xr:uid="{00000000-0005-0000-0000-0000112B0000}"/>
    <cellStyle name="Normal 4 2 2 6 2" xfId="6449" xr:uid="{00000000-0005-0000-0000-0000122B0000}"/>
    <cellStyle name="Normal 4 2 2 6 2 2" xfId="13678" xr:uid="{00000000-0005-0000-0000-0000132B0000}"/>
    <cellStyle name="Normal 4 2 2 6 3" xfId="9234" xr:uid="{00000000-0005-0000-0000-0000142B0000}"/>
    <cellStyle name="Normal 4 2 2 7" xfId="6418" xr:uid="{00000000-0005-0000-0000-0000152B0000}"/>
    <cellStyle name="Normal 4 2 2 7 2" xfId="13647" xr:uid="{00000000-0005-0000-0000-0000162B0000}"/>
    <cellStyle name="Normal 4 2 2 8" xfId="7496" xr:uid="{00000000-0005-0000-0000-0000172B0000}"/>
    <cellStyle name="Normal 4 2 3" xfId="304" xr:uid="{00000000-0005-0000-0000-0000182B0000}"/>
    <cellStyle name="Normal 4 2 3 2" xfId="530" xr:uid="{00000000-0005-0000-0000-0000192B0000}"/>
    <cellStyle name="Normal 4 2 3 2 2" xfId="976" xr:uid="{00000000-0005-0000-0000-00001A2B0000}"/>
    <cellStyle name="Normal 4 2 3 2 2 2" xfId="1843" xr:uid="{00000000-0005-0000-0000-00001B2B0000}"/>
    <cellStyle name="Normal 4 2 3 2 2 2 2" xfId="3582" xr:uid="{00000000-0005-0000-0000-00001C2B0000}"/>
    <cellStyle name="Normal 4 2 3 2 2 2 2 2" xfId="6454" xr:uid="{00000000-0005-0000-0000-00001D2B0000}"/>
    <cellStyle name="Normal 4 2 3 2 2 2 2 2 2" xfId="13683" xr:uid="{00000000-0005-0000-0000-00001E2B0000}"/>
    <cellStyle name="Normal 4 2 3 2 2 2 2 3" xfId="10811" xr:uid="{00000000-0005-0000-0000-00001F2B0000}"/>
    <cellStyle name="Normal 4 2 3 2 2 2 3" xfId="6453" xr:uid="{00000000-0005-0000-0000-0000202B0000}"/>
    <cellStyle name="Normal 4 2 3 2 2 2 3 2" xfId="13682" xr:uid="{00000000-0005-0000-0000-0000212B0000}"/>
    <cellStyle name="Normal 4 2 3 2 2 2 4" xfId="9073" xr:uid="{00000000-0005-0000-0000-0000222B0000}"/>
    <cellStyle name="Normal 4 2 3 2 2 3" xfId="2715" xr:uid="{00000000-0005-0000-0000-0000232B0000}"/>
    <cellStyle name="Normal 4 2 3 2 2 3 2" xfId="6455" xr:uid="{00000000-0005-0000-0000-0000242B0000}"/>
    <cellStyle name="Normal 4 2 3 2 2 3 2 2" xfId="13684" xr:uid="{00000000-0005-0000-0000-0000252B0000}"/>
    <cellStyle name="Normal 4 2 3 2 2 3 3" xfId="9944" xr:uid="{00000000-0005-0000-0000-0000262B0000}"/>
    <cellStyle name="Normal 4 2 3 2 2 4" xfId="6452" xr:uid="{00000000-0005-0000-0000-0000272B0000}"/>
    <cellStyle name="Normal 4 2 3 2 2 4 2" xfId="13681" xr:uid="{00000000-0005-0000-0000-0000282B0000}"/>
    <cellStyle name="Normal 4 2 3 2 2 5" xfId="8206" xr:uid="{00000000-0005-0000-0000-0000292B0000}"/>
    <cellStyle name="Normal 4 2 3 2 3" xfId="1412" xr:uid="{00000000-0005-0000-0000-00002A2B0000}"/>
    <cellStyle name="Normal 4 2 3 2 3 2" xfId="3151" xr:uid="{00000000-0005-0000-0000-00002B2B0000}"/>
    <cellStyle name="Normal 4 2 3 2 3 2 2" xfId="6457" xr:uid="{00000000-0005-0000-0000-00002C2B0000}"/>
    <cellStyle name="Normal 4 2 3 2 3 2 2 2" xfId="13686" xr:uid="{00000000-0005-0000-0000-00002D2B0000}"/>
    <cellStyle name="Normal 4 2 3 2 3 2 3" xfId="10380" xr:uid="{00000000-0005-0000-0000-00002E2B0000}"/>
    <cellStyle name="Normal 4 2 3 2 3 3" xfId="6456" xr:uid="{00000000-0005-0000-0000-00002F2B0000}"/>
    <cellStyle name="Normal 4 2 3 2 3 3 2" xfId="13685" xr:uid="{00000000-0005-0000-0000-0000302B0000}"/>
    <cellStyle name="Normal 4 2 3 2 3 4" xfId="8642" xr:uid="{00000000-0005-0000-0000-0000312B0000}"/>
    <cellStyle name="Normal 4 2 3 2 4" xfId="2284" xr:uid="{00000000-0005-0000-0000-0000322B0000}"/>
    <cellStyle name="Normal 4 2 3 2 4 2" xfId="6458" xr:uid="{00000000-0005-0000-0000-0000332B0000}"/>
    <cellStyle name="Normal 4 2 3 2 4 2 2" xfId="13687" xr:uid="{00000000-0005-0000-0000-0000342B0000}"/>
    <cellStyle name="Normal 4 2 3 2 4 3" xfId="9513" xr:uid="{00000000-0005-0000-0000-0000352B0000}"/>
    <cellStyle name="Normal 4 2 3 2 5" xfId="6451" xr:uid="{00000000-0005-0000-0000-0000362B0000}"/>
    <cellStyle name="Normal 4 2 3 2 5 2" xfId="13680" xr:uid="{00000000-0005-0000-0000-0000372B0000}"/>
    <cellStyle name="Normal 4 2 3 2 6" xfId="7775" xr:uid="{00000000-0005-0000-0000-0000382B0000}"/>
    <cellStyle name="Normal 4 2 3 3" xfId="752" xr:uid="{00000000-0005-0000-0000-0000392B0000}"/>
    <cellStyle name="Normal 4 2 3 3 2" xfId="1625" xr:uid="{00000000-0005-0000-0000-00003A2B0000}"/>
    <cellStyle name="Normal 4 2 3 3 2 2" xfId="3364" xr:uid="{00000000-0005-0000-0000-00003B2B0000}"/>
    <cellStyle name="Normal 4 2 3 3 2 2 2" xfId="6461" xr:uid="{00000000-0005-0000-0000-00003C2B0000}"/>
    <cellStyle name="Normal 4 2 3 3 2 2 2 2" xfId="13690" xr:uid="{00000000-0005-0000-0000-00003D2B0000}"/>
    <cellStyle name="Normal 4 2 3 3 2 2 3" xfId="10593" xr:uid="{00000000-0005-0000-0000-00003E2B0000}"/>
    <cellStyle name="Normal 4 2 3 3 2 3" xfId="6460" xr:uid="{00000000-0005-0000-0000-00003F2B0000}"/>
    <cellStyle name="Normal 4 2 3 3 2 3 2" xfId="13689" xr:uid="{00000000-0005-0000-0000-0000402B0000}"/>
    <cellStyle name="Normal 4 2 3 3 2 4" xfId="8855" xr:uid="{00000000-0005-0000-0000-0000412B0000}"/>
    <cellStyle name="Normal 4 2 3 3 3" xfId="2497" xr:uid="{00000000-0005-0000-0000-0000422B0000}"/>
    <cellStyle name="Normal 4 2 3 3 3 2" xfId="6462" xr:uid="{00000000-0005-0000-0000-0000432B0000}"/>
    <cellStyle name="Normal 4 2 3 3 3 2 2" xfId="13691" xr:uid="{00000000-0005-0000-0000-0000442B0000}"/>
    <cellStyle name="Normal 4 2 3 3 3 3" xfId="9726" xr:uid="{00000000-0005-0000-0000-0000452B0000}"/>
    <cellStyle name="Normal 4 2 3 3 4" xfId="6459" xr:uid="{00000000-0005-0000-0000-0000462B0000}"/>
    <cellStyle name="Normal 4 2 3 3 4 2" xfId="13688" xr:uid="{00000000-0005-0000-0000-0000472B0000}"/>
    <cellStyle name="Normal 4 2 3 3 5" xfId="7988" xr:uid="{00000000-0005-0000-0000-0000482B0000}"/>
    <cellStyle name="Normal 4 2 3 4" xfId="1194" xr:uid="{00000000-0005-0000-0000-0000492B0000}"/>
    <cellStyle name="Normal 4 2 3 4 2" xfId="2933" xr:uid="{00000000-0005-0000-0000-00004A2B0000}"/>
    <cellStyle name="Normal 4 2 3 4 2 2" xfId="6464" xr:uid="{00000000-0005-0000-0000-00004B2B0000}"/>
    <cellStyle name="Normal 4 2 3 4 2 2 2" xfId="13693" xr:uid="{00000000-0005-0000-0000-00004C2B0000}"/>
    <cellStyle name="Normal 4 2 3 4 2 3" xfId="10162" xr:uid="{00000000-0005-0000-0000-00004D2B0000}"/>
    <cellStyle name="Normal 4 2 3 4 3" xfId="6463" xr:uid="{00000000-0005-0000-0000-00004E2B0000}"/>
    <cellStyle name="Normal 4 2 3 4 3 2" xfId="13692" xr:uid="{00000000-0005-0000-0000-00004F2B0000}"/>
    <cellStyle name="Normal 4 2 3 4 4" xfId="8424" xr:uid="{00000000-0005-0000-0000-0000502B0000}"/>
    <cellStyle name="Normal 4 2 3 5" xfId="2066" xr:uid="{00000000-0005-0000-0000-0000512B0000}"/>
    <cellStyle name="Normal 4 2 3 5 2" xfId="6465" xr:uid="{00000000-0005-0000-0000-0000522B0000}"/>
    <cellStyle name="Normal 4 2 3 5 2 2" xfId="13694" xr:uid="{00000000-0005-0000-0000-0000532B0000}"/>
    <cellStyle name="Normal 4 2 3 5 3" xfId="9295" xr:uid="{00000000-0005-0000-0000-0000542B0000}"/>
    <cellStyle name="Normal 4 2 3 6" xfId="6450" xr:uid="{00000000-0005-0000-0000-0000552B0000}"/>
    <cellStyle name="Normal 4 2 3 6 2" xfId="13679" xr:uid="{00000000-0005-0000-0000-0000562B0000}"/>
    <cellStyle name="Normal 4 2 3 7" xfId="7557" xr:uid="{00000000-0005-0000-0000-0000572B0000}"/>
    <cellStyle name="Normal 4 2 4" xfId="428" xr:uid="{00000000-0005-0000-0000-0000582B0000}"/>
    <cellStyle name="Normal 4 2 4 2" xfId="874" xr:uid="{00000000-0005-0000-0000-0000592B0000}"/>
    <cellStyle name="Normal 4 2 4 2 2" xfId="1741" xr:uid="{00000000-0005-0000-0000-00005A2B0000}"/>
    <cellStyle name="Normal 4 2 4 2 2 2" xfId="3480" xr:uid="{00000000-0005-0000-0000-00005B2B0000}"/>
    <cellStyle name="Normal 4 2 4 2 2 2 2" xfId="6469" xr:uid="{00000000-0005-0000-0000-00005C2B0000}"/>
    <cellStyle name="Normal 4 2 4 2 2 2 2 2" xfId="13698" xr:uid="{00000000-0005-0000-0000-00005D2B0000}"/>
    <cellStyle name="Normal 4 2 4 2 2 2 3" xfId="10709" xr:uid="{00000000-0005-0000-0000-00005E2B0000}"/>
    <cellStyle name="Normal 4 2 4 2 2 3" xfId="6468" xr:uid="{00000000-0005-0000-0000-00005F2B0000}"/>
    <cellStyle name="Normal 4 2 4 2 2 3 2" xfId="13697" xr:uid="{00000000-0005-0000-0000-0000602B0000}"/>
    <cellStyle name="Normal 4 2 4 2 2 4" xfId="8971" xr:uid="{00000000-0005-0000-0000-0000612B0000}"/>
    <cellStyle name="Normal 4 2 4 2 3" xfId="2613" xr:uid="{00000000-0005-0000-0000-0000622B0000}"/>
    <cellStyle name="Normal 4 2 4 2 3 2" xfId="6470" xr:uid="{00000000-0005-0000-0000-0000632B0000}"/>
    <cellStyle name="Normal 4 2 4 2 3 2 2" xfId="13699" xr:uid="{00000000-0005-0000-0000-0000642B0000}"/>
    <cellStyle name="Normal 4 2 4 2 3 3" xfId="9842" xr:uid="{00000000-0005-0000-0000-0000652B0000}"/>
    <cellStyle name="Normal 4 2 4 2 4" xfId="6467" xr:uid="{00000000-0005-0000-0000-0000662B0000}"/>
    <cellStyle name="Normal 4 2 4 2 4 2" xfId="13696" xr:uid="{00000000-0005-0000-0000-0000672B0000}"/>
    <cellStyle name="Normal 4 2 4 2 5" xfId="8104" xr:uid="{00000000-0005-0000-0000-0000682B0000}"/>
    <cellStyle name="Normal 4 2 4 3" xfId="1310" xr:uid="{00000000-0005-0000-0000-0000692B0000}"/>
    <cellStyle name="Normal 4 2 4 3 2" xfId="3049" xr:uid="{00000000-0005-0000-0000-00006A2B0000}"/>
    <cellStyle name="Normal 4 2 4 3 2 2" xfId="6472" xr:uid="{00000000-0005-0000-0000-00006B2B0000}"/>
    <cellStyle name="Normal 4 2 4 3 2 2 2" xfId="13701" xr:uid="{00000000-0005-0000-0000-00006C2B0000}"/>
    <cellStyle name="Normal 4 2 4 3 2 3" xfId="10278" xr:uid="{00000000-0005-0000-0000-00006D2B0000}"/>
    <cellStyle name="Normal 4 2 4 3 3" xfId="6471" xr:uid="{00000000-0005-0000-0000-00006E2B0000}"/>
    <cellStyle name="Normal 4 2 4 3 3 2" xfId="13700" xr:uid="{00000000-0005-0000-0000-00006F2B0000}"/>
    <cellStyle name="Normal 4 2 4 3 4" xfId="8540" xr:uid="{00000000-0005-0000-0000-0000702B0000}"/>
    <cellStyle name="Normal 4 2 4 4" xfId="2182" xr:uid="{00000000-0005-0000-0000-0000712B0000}"/>
    <cellStyle name="Normal 4 2 4 4 2" xfId="6473" xr:uid="{00000000-0005-0000-0000-0000722B0000}"/>
    <cellStyle name="Normal 4 2 4 4 2 2" xfId="13702" xr:uid="{00000000-0005-0000-0000-0000732B0000}"/>
    <cellStyle name="Normal 4 2 4 4 3" xfId="9411" xr:uid="{00000000-0005-0000-0000-0000742B0000}"/>
    <cellStyle name="Normal 4 2 4 5" xfId="6466" xr:uid="{00000000-0005-0000-0000-0000752B0000}"/>
    <cellStyle name="Normal 4 2 4 5 2" xfId="13695" xr:uid="{00000000-0005-0000-0000-0000762B0000}"/>
    <cellStyle name="Normal 4 2 4 6" xfId="7673" xr:uid="{00000000-0005-0000-0000-0000772B0000}"/>
    <cellStyle name="Normal 4 2 5" xfId="647" xr:uid="{00000000-0005-0000-0000-0000782B0000}"/>
    <cellStyle name="Normal 4 2 5 2" xfId="1523" xr:uid="{00000000-0005-0000-0000-0000792B0000}"/>
    <cellStyle name="Normal 4 2 5 2 2" xfId="3262" xr:uid="{00000000-0005-0000-0000-00007A2B0000}"/>
    <cellStyle name="Normal 4 2 5 2 2 2" xfId="6476" xr:uid="{00000000-0005-0000-0000-00007B2B0000}"/>
    <cellStyle name="Normal 4 2 5 2 2 2 2" xfId="13705" xr:uid="{00000000-0005-0000-0000-00007C2B0000}"/>
    <cellStyle name="Normal 4 2 5 2 2 3" xfId="10491" xr:uid="{00000000-0005-0000-0000-00007D2B0000}"/>
    <cellStyle name="Normal 4 2 5 2 3" xfId="6475" xr:uid="{00000000-0005-0000-0000-00007E2B0000}"/>
    <cellStyle name="Normal 4 2 5 2 3 2" xfId="13704" xr:uid="{00000000-0005-0000-0000-00007F2B0000}"/>
    <cellStyle name="Normal 4 2 5 2 4" xfId="8753" xr:uid="{00000000-0005-0000-0000-0000802B0000}"/>
    <cellStyle name="Normal 4 2 5 3" xfId="2395" xr:uid="{00000000-0005-0000-0000-0000812B0000}"/>
    <cellStyle name="Normal 4 2 5 3 2" xfId="6477" xr:uid="{00000000-0005-0000-0000-0000822B0000}"/>
    <cellStyle name="Normal 4 2 5 3 2 2" xfId="13706" xr:uid="{00000000-0005-0000-0000-0000832B0000}"/>
    <cellStyle name="Normal 4 2 5 3 3" xfId="9624" xr:uid="{00000000-0005-0000-0000-0000842B0000}"/>
    <cellStyle name="Normal 4 2 5 4" xfId="6474" xr:uid="{00000000-0005-0000-0000-0000852B0000}"/>
    <cellStyle name="Normal 4 2 5 4 2" xfId="13703" xr:uid="{00000000-0005-0000-0000-0000862B0000}"/>
    <cellStyle name="Normal 4 2 5 5" xfId="7886" xr:uid="{00000000-0005-0000-0000-0000872B0000}"/>
    <cellStyle name="Normal 4 2 6" xfId="1092" xr:uid="{00000000-0005-0000-0000-0000882B0000}"/>
    <cellStyle name="Normal 4 2 6 2" xfId="2831" xr:uid="{00000000-0005-0000-0000-0000892B0000}"/>
    <cellStyle name="Normal 4 2 6 2 2" xfId="6479" xr:uid="{00000000-0005-0000-0000-00008A2B0000}"/>
    <cellStyle name="Normal 4 2 6 2 2 2" xfId="13708" xr:uid="{00000000-0005-0000-0000-00008B2B0000}"/>
    <cellStyle name="Normal 4 2 6 2 3" xfId="10060" xr:uid="{00000000-0005-0000-0000-00008C2B0000}"/>
    <cellStyle name="Normal 4 2 6 3" xfId="6478" xr:uid="{00000000-0005-0000-0000-00008D2B0000}"/>
    <cellStyle name="Normal 4 2 6 3 2" xfId="13707" xr:uid="{00000000-0005-0000-0000-00008E2B0000}"/>
    <cellStyle name="Normal 4 2 6 4" xfId="8322" xr:uid="{00000000-0005-0000-0000-00008F2B0000}"/>
    <cellStyle name="Normal 4 2 7" xfId="1964" xr:uid="{00000000-0005-0000-0000-0000902B0000}"/>
    <cellStyle name="Normal 4 2 7 2" xfId="6480" xr:uid="{00000000-0005-0000-0000-0000912B0000}"/>
    <cellStyle name="Normal 4 2 7 2 2" xfId="13709" xr:uid="{00000000-0005-0000-0000-0000922B0000}"/>
    <cellStyle name="Normal 4 2 7 3" xfId="9193" xr:uid="{00000000-0005-0000-0000-0000932B0000}"/>
    <cellStyle name="Normal 4 2 8" xfId="6417" xr:uid="{00000000-0005-0000-0000-0000942B0000}"/>
    <cellStyle name="Normal 4 2 8 2" xfId="13646" xr:uid="{00000000-0005-0000-0000-0000952B0000}"/>
    <cellStyle name="Normal 4 2 9" xfId="7453" xr:uid="{00000000-0005-0000-0000-0000962B0000}"/>
    <cellStyle name="Normal 4 3" xfId="224" xr:uid="{00000000-0005-0000-0000-0000972B0000}"/>
    <cellStyle name="Normal 4 3 2" xfId="346" xr:uid="{00000000-0005-0000-0000-0000982B0000}"/>
    <cellStyle name="Normal 4 3 2 2" xfId="572" xr:uid="{00000000-0005-0000-0000-0000992B0000}"/>
    <cellStyle name="Normal 4 3 2 2 2" xfId="1018" xr:uid="{00000000-0005-0000-0000-00009A2B0000}"/>
    <cellStyle name="Normal 4 3 2 2 2 2" xfId="1885" xr:uid="{00000000-0005-0000-0000-00009B2B0000}"/>
    <cellStyle name="Normal 4 3 2 2 2 2 2" xfId="3624" xr:uid="{00000000-0005-0000-0000-00009C2B0000}"/>
    <cellStyle name="Normal 4 3 2 2 2 2 2 2" xfId="6486" xr:uid="{00000000-0005-0000-0000-00009D2B0000}"/>
    <cellStyle name="Normal 4 3 2 2 2 2 2 2 2" xfId="13715" xr:uid="{00000000-0005-0000-0000-00009E2B0000}"/>
    <cellStyle name="Normal 4 3 2 2 2 2 2 3" xfId="10853" xr:uid="{00000000-0005-0000-0000-00009F2B0000}"/>
    <cellStyle name="Normal 4 3 2 2 2 2 3" xfId="6485" xr:uid="{00000000-0005-0000-0000-0000A02B0000}"/>
    <cellStyle name="Normal 4 3 2 2 2 2 3 2" xfId="13714" xr:uid="{00000000-0005-0000-0000-0000A12B0000}"/>
    <cellStyle name="Normal 4 3 2 2 2 2 4" xfId="9115" xr:uid="{00000000-0005-0000-0000-0000A22B0000}"/>
    <cellStyle name="Normal 4 3 2 2 2 3" xfId="2757" xr:uid="{00000000-0005-0000-0000-0000A32B0000}"/>
    <cellStyle name="Normal 4 3 2 2 2 3 2" xfId="6487" xr:uid="{00000000-0005-0000-0000-0000A42B0000}"/>
    <cellStyle name="Normal 4 3 2 2 2 3 2 2" xfId="13716" xr:uid="{00000000-0005-0000-0000-0000A52B0000}"/>
    <cellStyle name="Normal 4 3 2 2 2 3 3" xfId="9986" xr:uid="{00000000-0005-0000-0000-0000A62B0000}"/>
    <cellStyle name="Normal 4 3 2 2 2 4" xfId="6484" xr:uid="{00000000-0005-0000-0000-0000A72B0000}"/>
    <cellStyle name="Normal 4 3 2 2 2 4 2" xfId="13713" xr:uid="{00000000-0005-0000-0000-0000A82B0000}"/>
    <cellStyle name="Normal 4 3 2 2 2 5" xfId="8248" xr:uid="{00000000-0005-0000-0000-0000A92B0000}"/>
    <cellStyle name="Normal 4 3 2 2 3" xfId="1454" xr:uid="{00000000-0005-0000-0000-0000AA2B0000}"/>
    <cellStyle name="Normal 4 3 2 2 3 2" xfId="3193" xr:uid="{00000000-0005-0000-0000-0000AB2B0000}"/>
    <cellStyle name="Normal 4 3 2 2 3 2 2" xfId="6489" xr:uid="{00000000-0005-0000-0000-0000AC2B0000}"/>
    <cellStyle name="Normal 4 3 2 2 3 2 2 2" xfId="13718" xr:uid="{00000000-0005-0000-0000-0000AD2B0000}"/>
    <cellStyle name="Normal 4 3 2 2 3 2 3" xfId="10422" xr:uid="{00000000-0005-0000-0000-0000AE2B0000}"/>
    <cellStyle name="Normal 4 3 2 2 3 3" xfId="6488" xr:uid="{00000000-0005-0000-0000-0000AF2B0000}"/>
    <cellStyle name="Normal 4 3 2 2 3 3 2" xfId="13717" xr:uid="{00000000-0005-0000-0000-0000B02B0000}"/>
    <cellStyle name="Normal 4 3 2 2 3 4" xfId="8684" xr:uid="{00000000-0005-0000-0000-0000B12B0000}"/>
    <cellStyle name="Normal 4 3 2 2 4" xfId="2326" xr:uid="{00000000-0005-0000-0000-0000B22B0000}"/>
    <cellStyle name="Normal 4 3 2 2 4 2" xfId="6490" xr:uid="{00000000-0005-0000-0000-0000B32B0000}"/>
    <cellStyle name="Normal 4 3 2 2 4 2 2" xfId="13719" xr:uid="{00000000-0005-0000-0000-0000B42B0000}"/>
    <cellStyle name="Normal 4 3 2 2 4 3" xfId="9555" xr:uid="{00000000-0005-0000-0000-0000B52B0000}"/>
    <cellStyle name="Normal 4 3 2 2 5" xfId="6483" xr:uid="{00000000-0005-0000-0000-0000B62B0000}"/>
    <cellStyle name="Normal 4 3 2 2 5 2" xfId="13712" xr:uid="{00000000-0005-0000-0000-0000B72B0000}"/>
    <cellStyle name="Normal 4 3 2 2 6" xfId="7817" xr:uid="{00000000-0005-0000-0000-0000B82B0000}"/>
    <cellStyle name="Normal 4 3 2 3" xfId="794" xr:uid="{00000000-0005-0000-0000-0000B92B0000}"/>
    <cellStyle name="Normal 4 3 2 3 2" xfId="1667" xr:uid="{00000000-0005-0000-0000-0000BA2B0000}"/>
    <cellStyle name="Normal 4 3 2 3 2 2" xfId="3406" xr:uid="{00000000-0005-0000-0000-0000BB2B0000}"/>
    <cellStyle name="Normal 4 3 2 3 2 2 2" xfId="6493" xr:uid="{00000000-0005-0000-0000-0000BC2B0000}"/>
    <cellStyle name="Normal 4 3 2 3 2 2 2 2" xfId="13722" xr:uid="{00000000-0005-0000-0000-0000BD2B0000}"/>
    <cellStyle name="Normal 4 3 2 3 2 2 3" xfId="10635" xr:uid="{00000000-0005-0000-0000-0000BE2B0000}"/>
    <cellStyle name="Normal 4 3 2 3 2 3" xfId="6492" xr:uid="{00000000-0005-0000-0000-0000BF2B0000}"/>
    <cellStyle name="Normal 4 3 2 3 2 3 2" xfId="13721" xr:uid="{00000000-0005-0000-0000-0000C02B0000}"/>
    <cellStyle name="Normal 4 3 2 3 2 4" xfId="8897" xr:uid="{00000000-0005-0000-0000-0000C12B0000}"/>
    <cellStyle name="Normal 4 3 2 3 3" xfId="2539" xr:uid="{00000000-0005-0000-0000-0000C22B0000}"/>
    <cellStyle name="Normal 4 3 2 3 3 2" xfId="6494" xr:uid="{00000000-0005-0000-0000-0000C32B0000}"/>
    <cellStyle name="Normal 4 3 2 3 3 2 2" xfId="13723" xr:uid="{00000000-0005-0000-0000-0000C42B0000}"/>
    <cellStyle name="Normal 4 3 2 3 3 3" xfId="9768" xr:uid="{00000000-0005-0000-0000-0000C52B0000}"/>
    <cellStyle name="Normal 4 3 2 3 4" xfId="6491" xr:uid="{00000000-0005-0000-0000-0000C62B0000}"/>
    <cellStyle name="Normal 4 3 2 3 4 2" xfId="13720" xr:uid="{00000000-0005-0000-0000-0000C72B0000}"/>
    <cellStyle name="Normal 4 3 2 3 5" xfId="8030" xr:uid="{00000000-0005-0000-0000-0000C82B0000}"/>
    <cellStyle name="Normal 4 3 2 4" xfId="1236" xr:uid="{00000000-0005-0000-0000-0000C92B0000}"/>
    <cellStyle name="Normal 4 3 2 4 2" xfId="2975" xr:uid="{00000000-0005-0000-0000-0000CA2B0000}"/>
    <cellStyle name="Normal 4 3 2 4 2 2" xfId="6496" xr:uid="{00000000-0005-0000-0000-0000CB2B0000}"/>
    <cellStyle name="Normal 4 3 2 4 2 2 2" xfId="13725" xr:uid="{00000000-0005-0000-0000-0000CC2B0000}"/>
    <cellStyle name="Normal 4 3 2 4 2 3" xfId="10204" xr:uid="{00000000-0005-0000-0000-0000CD2B0000}"/>
    <cellStyle name="Normal 4 3 2 4 3" xfId="6495" xr:uid="{00000000-0005-0000-0000-0000CE2B0000}"/>
    <cellStyle name="Normal 4 3 2 4 3 2" xfId="13724" xr:uid="{00000000-0005-0000-0000-0000CF2B0000}"/>
    <cellStyle name="Normal 4 3 2 4 4" xfId="8466" xr:uid="{00000000-0005-0000-0000-0000D02B0000}"/>
    <cellStyle name="Normal 4 3 2 5" xfId="2108" xr:uid="{00000000-0005-0000-0000-0000D12B0000}"/>
    <cellStyle name="Normal 4 3 2 5 2" xfId="6497" xr:uid="{00000000-0005-0000-0000-0000D22B0000}"/>
    <cellStyle name="Normal 4 3 2 5 2 2" xfId="13726" xr:uid="{00000000-0005-0000-0000-0000D32B0000}"/>
    <cellStyle name="Normal 4 3 2 5 3" xfId="9337" xr:uid="{00000000-0005-0000-0000-0000D42B0000}"/>
    <cellStyle name="Normal 4 3 2 6" xfId="6482" xr:uid="{00000000-0005-0000-0000-0000D52B0000}"/>
    <cellStyle name="Normal 4 3 2 6 2" xfId="13711" xr:uid="{00000000-0005-0000-0000-0000D62B0000}"/>
    <cellStyle name="Normal 4 3 2 7" xfId="7599" xr:uid="{00000000-0005-0000-0000-0000D72B0000}"/>
    <cellStyle name="Normal 4 3 3" xfId="470" xr:uid="{00000000-0005-0000-0000-0000D82B0000}"/>
    <cellStyle name="Normal 4 3 3 2" xfId="916" xr:uid="{00000000-0005-0000-0000-0000D92B0000}"/>
    <cellStyle name="Normal 4 3 3 2 2" xfId="1783" xr:uid="{00000000-0005-0000-0000-0000DA2B0000}"/>
    <cellStyle name="Normal 4 3 3 2 2 2" xfId="3522" xr:uid="{00000000-0005-0000-0000-0000DB2B0000}"/>
    <cellStyle name="Normal 4 3 3 2 2 2 2" xfId="6501" xr:uid="{00000000-0005-0000-0000-0000DC2B0000}"/>
    <cellStyle name="Normal 4 3 3 2 2 2 2 2" xfId="13730" xr:uid="{00000000-0005-0000-0000-0000DD2B0000}"/>
    <cellStyle name="Normal 4 3 3 2 2 2 3" xfId="10751" xr:uid="{00000000-0005-0000-0000-0000DE2B0000}"/>
    <cellStyle name="Normal 4 3 3 2 2 3" xfId="6500" xr:uid="{00000000-0005-0000-0000-0000DF2B0000}"/>
    <cellStyle name="Normal 4 3 3 2 2 3 2" xfId="13729" xr:uid="{00000000-0005-0000-0000-0000E02B0000}"/>
    <cellStyle name="Normal 4 3 3 2 2 4" xfId="9013" xr:uid="{00000000-0005-0000-0000-0000E12B0000}"/>
    <cellStyle name="Normal 4 3 3 2 3" xfId="2655" xr:uid="{00000000-0005-0000-0000-0000E22B0000}"/>
    <cellStyle name="Normal 4 3 3 2 3 2" xfId="6502" xr:uid="{00000000-0005-0000-0000-0000E32B0000}"/>
    <cellStyle name="Normal 4 3 3 2 3 2 2" xfId="13731" xr:uid="{00000000-0005-0000-0000-0000E42B0000}"/>
    <cellStyle name="Normal 4 3 3 2 3 3" xfId="9884" xr:uid="{00000000-0005-0000-0000-0000E52B0000}"/>
    <cellStyle name="Normal 4 3 3 2 4" xfId="6499" xr:uid="{00000000-0005-0000-0000-0000E62B0000}"/>
    <cellStyle name="Normal 4 3 3 2 4 2" xfId="13728" xr:uid="{00000000-0005-0000-0000-0000E72B0000}"/>
    <cellStyle name="Normal 4 3 3 2 5" xfId="8146" xr:uid="{00000000-0005-0000-0000-0000E82B0000}"/>
    <cellStyle name="Normal 4 3 3 3" xfId="1352" xr:uid="{00000000-0005-0000-0000-0000E92B0000}"/>
    <cellStyle name="Normal 4 3 3 3 2" xfId="3091" xr:uid="{00000000-0005-0000-0000-0000EA2B0000}"/>
    <cellStyle name="Normal 4 3 3 3 2 2" xfId="6504" xr:uid="{00000000-0005-0000-0000-0000EB2B0000}"/>
    <cellStyle name="Normal 4 3 3 3 2 2 2" xfId="13733" xr:uid="{00000000-0005-0000-0000-0000EC2B0000}"/>
    <cellStyle name="Normal 4 3 3 3 2 3" xfId="10320" xr:uid="{00000000-0005-0000-0000-0000ED2B0000}"/>
    <cellStyle name="Normal 4 3 3 3 3" xfId="6503" xr:uid="{00000000-0005-0000-0000-0000EE2B0000}"/>
    <cellStyle name="Normal 4 3 3 3 3 2" xfId="13732" xr:uid="{00000000-0005-0000-0000-0000EF2B0000}"/>
    <cellStyle name="Normal 4 3 3 3 4" xfId="8582" xr:uid="{00000000-0005-0000-0000-0000F02B0000}"/>
    <cellStyle name="Normal 4 3 3 4" xfId="2224" xr:uid="{00000000-0005-0000-0000-0000F12B0000}"/>
    <cellStyle name="Normal 4 3 3 4 2" xfId="6505" xr:uid="{00000000-0005-0000-0000-0000F22B0000}"/>
    <cellStyle name="Normal 4 3 3 4 2 2" xfId="13734" xr:uid="{00000000-0005-0000-0000-0000F32B0000}"/>
    <cellStyle name="Normal 4 3 3 4 3" xfId="9453" xr:uid="{00000000-0005-0000-0000-0000F42B0000}"/>
    <cellStyle name="Normal 4 3 3 5" xfId="6498" xr:uid="{00000000-0005-0000-0000-0000F52B0000}"/>
    <cellStyle name="Normal 4 3 3 5 2" xfId="13727" xr:uid="{00000000-0005-0000-0000-0000F62B0000}"/>
    <cellStyle name="Normal 4 3 3 6" xfId="7715" xr:uid="{00000000-0005-0000-0000-0000F72B0000}"/>
    <cellStyle name="Normal 4 3 4" xfId="692" xr:uid="{00000000-0005-0000-0000-0000F82B0000}"/>
    <cellStyle name="Normal 4 3 4 2" xfId="1565" xr:uid="{00000000-0005-0000-0000-0000F92B0000}"/>
    <cellStyle name="Normal 4 3 4 2 2" xfId="3304" xr:uid="{00000000-0005-0000-0000-0000FA2B0000}"/>
    <cellStyle name="Normal 4 3 4 2 2 2" xfId="6508" xr:uid="{00000000-0005-0000-0000-0000FB2B0000}"/>
    <cellStyle name="Normal 4 3 4 2 2 2 2" xfId="13737" xr:uid="{00000000-0005-0000-0000-0000FC2B0000}"/>
    <cellStyle name="Normal 4 3 4 2 2 3" xfId="10533" xr:uid="{00000000-0005-0000-0000-0000FD2B0000}"/>
    <cellStyle name="Normal 4 3 4 2 3" xfId="6507" xr:uid="{00000000-0005-0000-0000-0000FE2B0000}"/>
    <cellStyle name="Normal 4 3 4 2 3 2" xfId="13736" xr:uid="{00000000-0005-0000-0000-0000FF2B0000}"/>
    <cellStyle name="Normal 4 3 4 2 4" xfId="8795" xr:uid="{00000000-0005-0000-0000-0000002C0000}"/>
    <cellStyle name="Normal 4 3 4 3" xfId="2437" xr:uid="{00000000-0005-0000-0000-0000012C0000}"/>
    <cellStyle name="Normal 4 3 4 3 2" xfId="6509" xr:uid="{00000000-0005-0000-0000-0000022C0000}"/>
    <cellStyle name="Normal 4 3 4 3 2 2" xfId="13738" xr:uid="{00000000-0005-0000-0000-0000032C0000}"/>
    <cellStyle name="Normal 4 3 4 3 3" xfId="9666" xr:uid="{00000000-0005-0000-0000-0000042C0000}"/>
    <cellStyle name="Normal 4 3 4 4" xfId="6506" xr:uid="{00000000-0005-0000-0000-0000052C0000}"/>
    <cellStyle name="Normal 4 3 4 4 2" xfId="13735" xr:uid="{00000000-0005-0000-0000-0000062C0000}"/>
    <cellStyle name="Normal 4 3 4 5" xfId="7928" xr:uid="{00000000-0005-0000-0000-0000072C0000}"/>
    <cellStyle name="Normal 4 3 5" xfId="1134" xr:uid="{00000000-0005-0000-0000-0000082C0000}"/>
    <cellStyle name="Normal 4 3 5 2" xfId="2873" xr:uid="{00000000-0005-0000-0000-0000092C0000}"/>
    <cellStyle name="Normal 4 3 5 2 2" xfId="6511" xr:uid="{00000000-0005-0000-0000-00000A2C0000}"/>
    <cellStyle name="Normal 4 3 5 2 2 2" xfId="13740" xr:uid="{00000000-0005-0000-0000-00000B2C0000}"/>
    <cellStyle name="Normal 4 3 5 2 3" xfId="10102" xr:uid="{00000000-0005-0000-0000-00000C2C0000}"/>
    <cellStyle name="Normal 4 3 5 3" xfId="6510" xr:uid="{00000000-0005-0000-0000-00000D2C0000}"/>
    <cellStyle name="Normal 4 3 5 3 2" xfId="13739" xr:uid="{00000000-0005-0000-0000-00000E2C0000}"/>
    <cellStyle name="Normal 4 3 5 4" xfId="8364" xr:uid="{00000000-0005-0000-0000-00000F2C0000}"/>
    <cellStyle name="Normal 4 3 6" xfId="2006" xr:uid="{00000000-0005-0000-0000-0000102C0000}"/>
    <cellStyle name="Normal 4 3 6 2" xfId="6512" xr:uid="{00000000-0005-0000-0000-0000112C0000}"/>
    <cellStyle name="Normal 4 3 6 2 2" xfId="13741" xr:uid="{00000000-0005-0000-0000-0000122C0000}"/>
    <cellStyle name="Normal 4 3 6 3" xfId="9235" xr:uid="{00000000-0005-0000-0000-0000132C0000}"/>
    <cellStyle name="Normal 4 3 7" xfId="6481" xr:uid="{00000000-0005-0000-0000-0000142C0000}"/>
    <cellStyle name="Normal 4 3 7 2" xfId="13710" xr:uid="{00000000-0005-0000-0000-0000152C0000}"/>
    <cellStyle name="Normal 4 3 8" xfId="7497" xr:uid="{00000000-0005-0000-0000-0000162C0000}"/>
    <cellStyle name="Normal 4 4" xfId="225" xr:uid="{00000000-0005-0000-0000-0000172C0000}"/>
    <cellStyle name="Normal 4 4 2" xfId="6513" xr:uid="{00000000-0005-0000-0000-0000182C0000}"/>
    <cellStyle name="Normal 4 4 2 2" xfId="13742" xr:uid="{00000000-0005-0000-0000-0000192C0000}"/>
    <cellStyle name="Normal 4 5" xfId="271" xr:uid="{00000000-0005-0000-0000-00001A2C0000}"/>
    <cellStyle name="Normal 4 5 2" xfId="497" xr:uid="{00000000-0005-0000-0000-00001B2C0000}"/>
    <cellStyle name="Normal 4 5 2 2" xfId="943" xr:uid="{00000000-0005-0000-0000-00001C2C0000}"/>
    <cellStyle name="Normal 4 5 2 2 2" xfId="1810" xr:uid="{00000000-0005-0000-0000-00001D2C0000}"/>
    <cellStyle name="Normal 4 5 2 2 2 2" xfId="3549" xr:uid="{00000000-0005-0000-0000-00001E2C0000}"/>
    <cellStyle name="Normal 4 5 2 2 2 2 2" xfId="6518" xr:uid="{00000000-0005-0000-0000-00001F2C0000}"/>
    <cellStyle name="Normal 4 5 2 2 2 2 2 2" xfId="13747" xr:uid="{00000000-0005-0000-0000-0000202C0000}"/>
    <cellStyle name="Normal 4 5 2 2 2 2 3" xfId="10778" xr:uid="{00000000-0005-0000-0000-0000212C0000}"/>
    <cellStyle name="Normal 4 5 2 2 2 3" xfId="6517" xr:uid="{00000000-0005-0000-0000-0000222C0000}"/>
    <cellStyle name="Normal 4 5 2 2 2 3 2" xfId="13746" xr:uid="{00000000-0005-0000-0000-0000232C0000}"/>
    <cellStyle name="Normal 4 5 2 2 2 4" xfId="9040" xr:uid="{00000000-0005-0000-0000-0000242C0000}"/>
    <cellStyle name="Normal 4 5 2 2 3" xfId="2682" xr:uid="{00000000-0005-0000-0000-0000252C0000}"/>
    <cellStyle name="Normal 4 5 2 2 3 2" xfId="6519" xr:uid="{00000000-0005-0000-0000-0000262C0000}"/>
    <cellStyle name="Normal 4 5 2 2 3 2 2" xfId="13748" xr:uid="{00000000-0005-0000-0000-0000272C0000}"/>
    <cellStyle name="Normal 4 5 2 2 3 3" xfId="9911" xr:uid="{00000000-0005-0000-0000-0000282C0000}"/>
    <cellStyle name="Normal 4 5 2 2 4" xfId="6516" xr:uid="{00000000-0005-0000-0000-0000292C0000}"/>
    <cellStyle name="Normal 4 5 2 2 4 2" xfId="13745" xr:uid="{00000000-0005-0000-0000-00002A2C0000}"/>
    <cellStyle name="Normal 4 5 2 2 5" xfId="8173" xr:uid="{00000000-0005-0000-0000-00002B2C0000}"/>
    <cellStyle name="Normal 4 5 2 3" xfId="1379" xr:uid="{00000000-0005-0000-0000-00002C2C0000}"/>
    <cellStyle name="Normal 4 5 2 3 2" xfId="3118" xr:uid="{00000000-0005-0000-0000-00002D2C0000}"/>
    <cellStyle name="Normal 4 5 2 3 2 2" xfId="6521" xr:uid="{00000000-0005-0000-0000-00002E2C0000}"/>
    <cellStyle name="Normal 4 5 2 3 2 2 2" xfId="13750" xr:uid="{00000000-0005-0000-0000-00002F2C0000}"/>
    <cellStyle name="Normal 4 5 2 3 2 3" xfId="10347" xr:uid="{00000000-0005-0000-0000-0000302C0000}"/>
    <cellStyle name="Normal 4 5 2 3 3" xfId="6520" xr:uid="{00000000-0005-0000-0000-0000312C0000}"/>
    <cellStyle name="Normal 4 5 2 3 3 2" xfId="13749" xr:uid="{00000000-0005-0000-0000-0000322C0000}"/>
    <cellStyle name="Normal 4 5 2 3 4" xfId="8609" xr:uid="{00000000-0005-0000-0000-0000332C0000}"/>
    <cellStyle name="Normal 4 5 2 4" xfId="2251" xr:uid="{00000000-0005-0000-0000-0000342C0000}"/>
    <cellStyle name="Normal 4 5 2 4 2" xfId="6522" xr:uid="{00000000-0005-0000-0000-0000352C0000}"/>
    <cellStyle name="Normal 4 5 2 4 2 2" xfId="13751" xr:uid="{00000000-0005-0000-0000-0000362C0000}"/>
    <cellStyle name="Normal 4 5 2 4 3" xfId="9480" xr:uid="{00000000-0005-0000-0000-0000372C0000}"/>
    <cellStyle name="Normal 4 5 2 5" xfId="6515" xr:uid="{00000000-0005-0000-0000-0000382C0000}"/>
    <cellStyle name="Normal 4 5 2 5 2" xfId="13744" xr:uid="{00000000-0005-0000-0000-0000392C0000}"/>
    <cellStyle name="Normal 4 5 2 6" xfId="7742" xr:uid="{00000000-0005-0000-0000-00003A2C0000}"/>
    <cellStyle name="Normal 4 5 3" xfId="719" xr:uid="{00000000-0005-0000-0000-00003B2C0000}"/>
    <cellStyle name="Normal 4 5 3 2" xfId="1592" xr:uid="{00000000-0005-0000-0000-00003C2C0000}"/>
    <cellStyle name="Normal 4 5 3 2 2" xfId="3331" xr:uid="{00000000-0005-0000-0000-00003D2C0000}"/>
    <cellStyle name="Normal 4 5 3 2 2 2" xfId="6525" xr:uid="{00000000-0005-0000-0000-00003E2C0000}"/>
    <cellStyle name="Normal 4 5 3 2 2 2 2" xfId="13754" xr:uid="{00000000-0005-0000-0000-00003F2C0000}"/>
    <cellStyle name="Normal 4 5 3 2 2 3" xfId="10560" xr:uid="{00000000-0005-0000-0000-0000402C0000}"/>
    <cellStyle name="Normal 4 5 3 2 3" xfId="6524" xr:uid="{00000000-0005-0000-0000-0000412C0000}"/>
    <cellStyle name="Normal 4 5 3 2 3 2" xfId="13753" xr:uid="{00000000-0005-0000-0000-0000422C0000}"/>
    <cellStyle name="Normal 4 5 3 2 4" xfId="8822" xr:uid="{00000000-0005-0000-0000-0000432C0000}"/>
    <cellStyle name="Normal 4 5 3 3" xfId="2464" xr:uid="{00000000-0005-0000-0000-0000442C0000}"/>
    <cellStyle name="Normal 4 5 3 3 2" xfId="6526" xr:uid="{00000000-0005-0000-0000-0000452C0000}"/>
    <cellStyle name="Normal 4 5 3 3 2 2" xfId="13755" xr:uid="{00000000-0005-0000-0000-0000462C0000}"/>
    <cellStyle name="Normal 4 5 3 3 3" xfId="9693" xr:uid="{00000000-0005-0000-0000-0000472C0000}"/>
    <cellStyle name="Normal 4 5 3 4" xfId="6523" xr:uid="{00000000-0005-0000-0000-0000482C0000}"/>
    <cellStyle name="Normal 4 5 3 4 2" xfId="13752" xr:uid="{00000000-0005-0000-0000-0000492C0000}"/>
    <cellStyle name="Normal 4 5 3 5" xfId="7955" xr:uid="{00000000-0005-0000-0000-00004A2C0000}"/>
    <cellStyle name="Normal 4 5 4" xfId="1161" xr:uid="{00000000-0005-0000-0000-00004B2C0000}"/>
    <cellStyle name="Normal 4 5 4 2" xfId="2900" xr:uid="{00000000-0005-0000-0000-00004C2C0000}"/>
    <cellStyle name="Normal 4 5 4 2 2" xfId="6528" xr:uid="{00000000-0005-0000-0000-00004D2C0000}"/>
    <cellStyle name="Normal 4 5 4 2 2 2" xfId="13757" xr:uid="{00000000-0005-0000-0000-00004E2C0000}"/>
    <cellStyle name="Normal 4 5 4 2 3" xfId="10129" xr:uid="{00000000-0005-0000-0000-00004F2C0000}"/>
    <cellStyle name="Normal 4 5 4 3" xfId="6527" xr:uid="{00000000-0005-0000-0000-0000502C0000}"/>
    <cellStyle name="Normal 4 5 4 3 2" xfId="13756" xr:uid="{00000000-0005-0000-0000-0000512C0000}"/>
    <cellStyle name="Normal 4 5 4 4" xfId="8391" xr:uid="{00000000-0005-0000-0000-0000522C0000}"/>
    <cellStyle name="Normal 4 5 5" xfId="2033" xr:uid="{00000000-0005-0000-0000-0000532C0000}"/>
    <cellStyle name="Normal 4 5 5 2" xfId="6529" xr:uid="{00000000-0005-0000-0000-0000542C0000}"/>
    <cellStyle name="Normal 4 5 5 2 2" xfId="13758" xr:uid="{00000000-0005-0000-0000-0000552C0000}"/>
    <cellStyle name="Normal 4 5 5 3" xfId="9262" xr:uid="{00000000-0005-0000-0000-0000562C0000}"/>
    <cellStyle name="Normal 4 5 6" xfId="6514" xr:uid="{00000000-0005-0000-0000-0000572C0000}"/>
    <cellStyle name="Normal 4 5 6 2" xfId="13743" xr:uid="{00000000-0005-0000-0000-0000582C0000}"/>
    <cellStyle name="Normal 4 5 7" xfId="7524" xr:uid="{00000000-0005-0000-0000-0000592C0000}"/>
    <cellStyle name="Normal 4 6" xfId="395" xr:uid="{00000000-0005-0000-0000-00005A2C0000}"/>
    <cellStyle name="Normal 4 6 2" xfId="841" xr:uid="{00000000-0005-0000-0000-00005B2C0000}"/>
    <cellStyle name="Normal 4 6 2 2" xfId="1708" xr:uid="{00000000-0005-0000-0000-00005C2C0000}"/>
    <cellStyle name="Normal 4 6 2 2 2" xfId="3447" xr:uid="{00000000-0005-0000-0000-00005D2C0000}"/>
    <cellStyle name="Normal 4 6 2 2 2 2" xfId="6533" xr:uid="{00000000-0005-0000-0000-00005E2C0000}"/>
    <cellStyle name="Normal 4 6 2 2 2 2 2" xfId="13762" xr:uid="{00000000-0005-0000-0000-00005F2C0000}"/>
    <cellStyle name="Normal 4 6 2 2 2 3" xfId="10676" xr:uid="{00000000-0005-0000-0000-0000602C0000}"/>
    <cellStyle name="Normal 4 6 2 2 3" xfId="6532" xr:uid="{00000000-0005-0000-0000-0000612C0000}"/>
    <cellStyle name="Normal 4 6 2 2 3 2" xfId="13761" xr:uid="{00000000-0005-0000-0000-0000622C0000}"/>
    <cellStyle name="Normal 4 6 2 2 4" xfId="8938" xr:uid="{00000000-0005-0000-0000-0000632C0000}"/>
    <cellStyle name="Normal 4 6 2 3" xfId="2580" xr:uid="{00000000-0005-0000-0000-0000642C0000}"/>
    <cellStyle name="Normal 4 6 2 3 2" xfId="6534" xr:uid="{00000000-0005-0000-0000-0000652C0000}"/>
    <cellStyle name="Normal 4 6 2 3 2 2" xfId="13763" xr:uid="{00000000-0005-0000-0000-0000662C0000}"/>
    <cellStyle name="Normal 4 6 2 3 3" xfId="9809" xr:uid="{00000000-0005-0000-0000-0000672C0000}"/>
    <cellStyle name="Normal 4 6 2 4" xfId="6531" xr:uid="{00000000-0005-0000-0000-0000682C0000}"/>
    <cellStyle name="Normal 4 6 2 4 2" xfId="13760" xr:uid="{00000000-0005-0000-0000-0000692C0000}"/>
    <cellStyle name="Normal 4 6 2 5" xfId="8071" xr:uid="{00000000-0005-0000-0000-00006A2C0000}"/>
    <cellStyle name="Normal 4 6 3" xfId="1277" xr:uid="{00000000-0005-0000-0000-00006B2C0000}"/>
    <cellStyle name="Normal 4 6 3 2" xfId="3016" xr:uid="{00000000-0005-0000-0000-00006C2C0000}"/>
    <cellStyle name="Normal 4 6 3 2 2" xfId="6536" xr:uid="{00000000-0005-0000-0000-00006D2C0000}"/>
    <cellStyle name="Normal 4 6 3 2 2 2" xfId="13765" xr:uid="{00000000-0005-0000-0000-00006E2C0000}"/>
    <cellStyle name="Normal 4 6 3 2 3" xfId="10245" xr:uid="{00000000-0005-0000-0000-00006F2C0000}"/>
    <cellStyle name="Normal 4 6 3 3" xfId="6535" xr:uid="{00000000-0005-0000-0000-0000702C0000}"/>
    <cellStyle name="Normal 4 6 3 3 2" xfId="13764" xr:uid="{00000000-0005-0000-0000-0000712C0000}"/>
    <cellStyle name="Normal 4 6 3 4" xfId="8507" xr:uid="{00000000-0005-0000-0000-0000722C0000}"/>
    <cellStyle name="Normal 4 6 4" xfId="2149" xr:uid="{00000000-0005-0000-0000-0000732C0000}"/>
    <cellStyle name="Normal 4 6 4 2" xfId="6537" xr:uid="{00000000-0005-0000-0000-0000742C0000}"/>
    <cellStyle name="Normal 4 6 4 2 2" xfId="13766" xr:uid="{00000000-0005-0000-0000-0000752C0000}"/>
    <cellStyle name="Normal 4 6 4 3" xfId="9378" xr:uid="{00000000-0005-0000-0000-0000762C0000}"/>
    <cellStyle name="Normal 4 6 5" xfId="6530" xr:uid="{00000000-0005-0000-0000-0000772C0000}"/>
    <cellStyle name="Normal 4 6 5 2" xfId="13759" xr:uid="{00000000-0005-0000-0000-0000782C0000}"/>
    <cellStyle name="Normal 4 6 6" xfId="7640" xr:uid="{00000000-0005-0000-0000-0000792C0000}"/>
    <cellStyle name="Normal 4 7" xfId="613" xr:uid="{00000000-0005-0000-0000-00007A2C0000}"/>
    <cellStyle name="Normal 4 7 2" xfId="1490" xr:uid="{00000000-0005-0000-0000-00007B2C0000}"/>
    <cellStyle name="Normal 4 7 2 2" xfId="3229" xr:uid="{00000000-0005-0000-0000-00007C2C0000}"/>
    <cellStyle name="Normal 4 7 2 2 2" xfId="6540" xr:uid="{00000000-0005-0000-0000-00007D2C0000}"/>
    <cellStyle name="Normal 4 7 2 2 2 2" xfId="13769" xr:uid="{00000000-0005-0000-0000-00007E2C0000}"/>
    <cellStyle name="Normal 4 7 2 2 3" xfId="10458" xr:uid="{00000000-0005-0000-0000-00007F2C0000}"/>
    <cellStyle name="Normal 4 7 2 3" xfId="6539" xr:uid="{00000000-0005-0000-0000-0000802C0000}"/>
    <cellStyle name="Normal 4 7 2 3 2" xfId="13768" xr:uid="{00000000-0005-0000-0000-0000812C0000}"/>
    <cellStyle name="Normal 4 7 2 4" xfId="8720" xr:uid="{00000000-0005-0000-0000-0000822C0000}"/>
    <cellStyle name="Normal 4 7 3" xfId="2362" xr:uid="{00000000-0005-0000-0000-0000832C0000}"/>
    <cellStyle name="Normal 4 7 3 2" xfId="6541" xr:uid="{00000000-0005-0000-0000-0000842C0000}"/>
    <cellStyle name="Normal 4 7 3 2 2" xfId="13770" xr:uid="{00000000-0005-0000-0000-0000852C0000}"/>
    <cellStyle name="Normal 4 7 3 3" xfId="9591" xr:uid="{00000000-0005-0000-0000-0000862C0000}"/>
    <cellStyle name="Normal 4 7 4" xfId="6538" xr:uid="{00000000-0005-0000-0000-0000872C0000}"/>
    <cellStyle name="Normal 4 7 4 2" xfId="13767" xr:uid="{00000000-0005-0000-0000-0000882C0000}"/>
    <cellStyle name="Normal 4 7 5" xfId="7853" xr:uid="{00000000-0005-0000-0000-0000892C0000}"/>
    <cellStyle name="Normal 4 8" xfId="1059" xr:uid="{00000000-0005-0000-0000-00008A2C0000}"/>
    <cellStyle name="Normal 4 8 2" xfId="2798" xr:uid="{00000000-0005-0000-0000-00008B2C0000}"/>
    <cellStyle name="Normal 4 8 2 2" xfId="6543" xr:uid="{00000000-0005-0000-0000-00008C2C0000}"/>
    <cellStyle name="Normal 4 8 2 2 2" xfId="13772" xr:uid="{00000000-0005-0000-0000-00008D2C0000}"/>
    <cellStyle name="Normal 4 8 2 3" xfId="10027" xr:uid="{00000000-0005-0000-0000-00008E2C0000}"/>
    <cellStyle name="Normal 4 8 3" xfId="6542" xr:uid="{00000000-0005-0000-0000-00008F2C0000}"/>
    <cellStyle name="Normal 4 8 3 2" xfId="13771" xr:uid="{00000000-0005-0000-0000-0000902C0000}"/>
    <cellStyle name="Normal 4 8 4" xfId="8289" xr:uid="{00000000-0005-0000-0000-0000912C0000}"/>
    <cellStyle name="Normal 4 9" xfId="1931" xr:uid="{00000000-0005-0000-0000-0000922C0000}"/>
    <cellStyle name="Normal 4 9 2" xfId="6544" xr:uid="{00000000-0005-0000-0000-0000932C0000}"/>
    <cellStyle name="Normal 4 9 2 2" xfId="13773" xr:uid="{00000000-0005-0000-0000-0000942C0000}"/>
    <cellStyle name="Normal 4 9 3" xfId="9160" xr:uid="{00000000-0005-0000-0000-0000952C0000}"/>
    <cellStyle name="Normal 40" xfId="3661" xr:uid="{00000000-0005-0000-0000-0000962C0000}"/>
    <cellStyle name="Normal 40 2" xfId="6545" xr:uid="{00000000-0005-0000-0000-0000972C0000}"/>
    <cellStyle name="Normal 40 2 2" xfId="13774" xr:uid="{00000000-0005-0000-0000-0000982C0000}"/>
    <cellStyle name="Normal 40 3" xfId="10890" xr:uid="{00000000-0005-0000-0000-0000992C0000}"/>
    <cellStyle name="Normal 41" xfId="3665" xr:uid="{00000000-0005-0000-0000-00009A2C0000}"/>
    <cellStyle name="Normal 41 2" xfId="6546" xr:uid="{00000000-0005-0000-0000-00009B2C0000}"/>
    <cellStyle name="Normal 41 2 2" xfId="13775" xr:uid="{00000000-0005-0000-0000-00009C2C0000}"/>
    <cellStyle name="Normal 41 3" xfId="10894" xr:uid="{00000000-0005-0000-0000-00009D2C0000}"/>
    <cellStyle name="Normal 42" xfId="3669" xr:uid="{00000000-0005-0000-0000-00009E2C0000}"/>
    <cellStyle name="Normal 42 2" xfId="10898" xr:uid="{00000000-0005-0000-0000-00009F2C0000}"/>
    <cellStyle name="Normal 43" xfId="7344" xr:uid="{00000000-0005-0000-0000-0000A02C0000}"/>
    <cellStyle name="Normal 43 2" xfId="14571" xr:uid="{00000000-0005-0000-0000-0000A12C0000}"/>
    <cellStyle name="Normal 44" xfId="7347" xr:uid="{00000000-0005-0000-0000-0000A22C0000}"/>
    <cellStyle name="Normal 44 2" xfId="14574" xr:uid="{00000000-0005-0000-0000-0000A32C0000}"/>
    <cellStyle name="Normal 45" xfId="7351" xr:uid="{00000000-0005-0000-0000-0000A42C0000}"/>
    <cellStyle name="Normal 45 2" xfId="14578" xr:uid="{00000000-0005-0000-0000-0000A52C0000}"/>
    <cellStyle name="Normal 46" xfId="7354" xr:uid="{00000000-0005-0000-0000-0000A62C0000}"/>
    <cellStyle name="Normal 46 2" xfId="14581" xr:uid="{00000000-0005-0000-0000-0000A72C0000}"/>
    <cellStyle name="Normal 47" xfId="7357" xr:uid="{00000000-0005-0000-0000-0000A82C0000}"/>
    <cellStyle name="Normal 47 2" xfId="14584" xr:uid="{00000000-0005-0000-0000-0000A92C0000}"/>
    <cellStyle name="Normal 48" xfId="7392" xr:uid="{00000000-0005-0000-0000-0000AA2C0000}"/>
    <cellStyle name="Normal 48 2" xfId="14599" xr:uid="{00000000-0005-0000-0000-0000AB2C0000}"/>
    <cellStyle name="Normal 49" xfId="14609" xr:uid="{00000000-0005-0000-0000-0000AC2C0000}"/>
    <cellStyle name="Normal 5" xfId="27" xr:uid="{00000000-0005-0000-0000-0000AD2C0000}"/>
    <cellStyle name="Normal 5 2" xfId="60" xr:uid="{00000000-0005-0000-0000-0000AE2C0000}"/>
    <cellStyle name="Normal 5 2 10" xfId="6548" xr:uid="{00000000-0005-0000-0000-0000AF2C0000}"/>
    <cellStyle name="Normal 5 2 10 2" xfId="13777" xr:uid="{00000000-0005-0000-0000-0000B02C0000}"/>
    <cellStyle name="Normal 5 2 11" xfId="7438" xr:uid="{00000000-0005-0000-0000-0000B12C0000}"/>
    <cellStyle name="Normal 5 2 2" xfId="115" xr:uid="{00000000-0005-0000-0000-0000B22C0000}"/>
    <cellStyle name="Normal 5 2 2 2" xfId="226" xr:uid="{00000000-0005-0000-0000-0000B32C0000}"/>
    <cellStyle name="Normal 5 2 2 2 2" xfId="347" xr:uid="{00000000-0005-0000-0000-0000B42C0000}"/>
    <cellStyle name="Normal 5 2 2 2 2 2" xfId="573" xr:uid="{00000000-0005-0000-0000-0000B52C0000}"/>
    <cellStyle name="Normal 5 2 2 2 2 2 2" xfId="1019" xr:uid="{00000000-0005-0000-0000-0000B62C0000}"/>
    <cellStyle name="Normal 5 2 2 2 2 2 2 2" xfId="1886" xr:uid="{00000000-0005-0000-0000-0000B72C0000}"/>
    <cellStyle name="Normal 5 2 2 2 2 2 2 2 2" xfId="3625" xr:uid="{00000000-0005-0000-0000-0000B82C0000}"/>
    <cellStyle name="Normal 5 2 2 2 2 2 2 2 2 2" xfId="6555" xr:uid="{00000000-0005-0000-0000-0000B92C0000}"/>
    <cellStyle name="Normal 5 2 2 2 2 2 2 2 2 2 2" xfId="13784" xr:uid="{00000000-0005-0000-0000-0000BA2C0000}"/>
    <cellStyle name="Normal 5 2 2 2 2 2 2 2 2 3" xfId="10854" xr:uid="{00000000-0005-0000-0000-0000BB2C0000}"/>
    <cellStyle name="Normal 5 2 2 2 2 2 2 2 3" xfId="6554" xr:uid="{00000000-0005-0000-0000-0000BC2C0000}"/>
    <cellStyle name="Normal 5 2 2 2 2 2 2 2 3 2" xfId="13783" xr:uid="{00000000-0005-0000-0000-0000BD2C0000}"/>
    <cellStyle name="Normal 5 2 2 2 2 2 2 2 4" xfId="9116" xr:uid="{00000000-0005-0000-0000-0000BE2C0000}"/>
    <cellStyle name="Normal 5 2 2 2 2 2 2 3" xfId="2758" xr:uid="{00000000-0005-0000-0000-0000BF2C0000}"/>
    <cellStyle name="Normal 5 2 2 2 2 2 2 3 2" xfId="6556" xr:uid="{00000000-0005-0000-0000-0000C02C0000}"/>
    <cellStyle name="Normal 5 2 2 2 2 2 2 3 2 2" xfId="13785" xr:uid="{00000000-0005-0000-0000-0000C12C0000}"/>
    <cellStyle name="Normal 5 2 2 2 2 2 2 3 3" xfId="9987" xr:uid="{00000000-0005-0000-0000-0000C22C0000}"/>
    <cellStyle name="Normal 5 2 2 2 2 2 2 4" xfId="6553" xr:uid="{00000000-0005-0000-0000-0000C32C0000}"/>
    <cellStyle name="Normal 5 2 2 2 2 2 2 4 2" xfId="13782" xr:uid="{00000000-0005-0000-0000-0000C42C0000}"/>
    <cellStyle name="Normal 5 2 2 2 2 2 2 5" xfId="8249" xr:uid="{00000000-0005-0000-0000-0000C52C0000}"/>
    <cellStyle name="Normal 5 2 2 2 2 2 3" xfId="1455" xr:uid="{00000000-0005-0000-0000-0000C62C0000}"/>
    <cellStyle name="Normal 5 2 2 2 2 2 3 2" xfId="3194" xr:uid="{00000000-0005-0000-0000-0000C72C0000}"/>
    <cellStyle name="Normal 5 2 2 2 2 2 3 2 2" xfId="6558" xr:uid="{00000000-0005-0000-0000-0000C82C0000}"/>
    <cellStyle name="Normal 5 2 2 2 2 2 3 2 2 2" xfId="13787" xr:uid="{00000000-0005-0000-0000-0000C92C0000}"/>
    <cellStyle name="Normal 5 2 2 2 2 2 3 2 3" xfId="10423" xr:uid="{00000000-0005-0000-0000-0000CA2C0000}"/>
    <cellStyle name="Normal 5 2 2 2 2 2 3 3" xfId="6557" xr:uid="{00000000-0005-0000-0000-0000CB2C0000}"/>
    <cellStyle name="Normal 5 2 2 2 2 2 3 3 2" xfId="13786" xr:uid="{00000000-0005-0000-0000-0000CC2C0000}"/>
    <cellStyle name="Normal 5 2 2 2 2 2 3 4" xfId="8685" xr:uid="{00000000-0005-0000-0000-0000CD2C0000}"/>
    <cellStyle name="Normal 5 2 2 2 2 2 4" xfId="2327" xr:uid="{00000000-0005-0000-0000-0000CE2C0000}"/>
    <cellStyle name="Normal 5 2 2 2 2 2 4 2" xfId="6559" xr:uid="{00000000-0005-0000-0000-0000CF2C0000}"/>
    <cellStyle name="Normal 5 2 2 2 2 2 4 2 2" xfId="13788" xr:uid="{00000000-0005-0000-0000-0000D02C0000}"/>
    <cellStyle name="Normal 5 2 2 2 2 2 4 3" xfId="9556" xr:uid="{00000000-0005-0000-0000-0000D12C0000}"/>
    <cellStyle name="Normal 5 2 2 2 2 2 5" xfId="6552" xr:uid="{00000000-0005-0000-0000-0000D22C0000}"/>
    <cellStyle name="Normal 5 2 2 2 2 2 5 2" xfId="13781" xr:uid="{00000000-0005-0000-0000-0000D32C0000}"/>
    <cellStyle name="Normal 5 2 2 2 2 2 6" xfId="7818" xr:uid="{00000000-0005-0000-0000-0000D42C0000}"/>
    <cellStyle name="Normal 5 2 2 2 2 3" xfId="795" xr:uid="{00000000-0005-0000-0000-0000D52C0000}"/>
    <cellStyle name="Normal 5 2 2 2 2 3 2" xfId="1668" xr:uid="{00000000-0005-0000-0000-0000D62C0000}"/>
    <cellStyle name="Normal 5 2 2 2 2 3 2 2" xfId="3407" xr:uid="{00000000-0005-0000-0000-0000D72C0000}"/>
    <cellStyle name="Normal 5 2 2 2 2 3 2 2 2" xfId="6562" xr:uid="{00000000-0005-0000-0000-0000D82C0000}"/>
    <cellStyle name="Normal 5 2 2 2 2 3 2 2 2 2" xfId="13791" xr:uid="{00000000-0005-0000-0000-0000D92C0000}"/>
    <cellStyle name="Normal 5 2 2 2 2 3 2 2 3" xfId="10636" xr:uid="{00000000-0005-0000-0000-0000DA2C0000}"/>
    <cellStyle name="Normal 5 2 2 2 2 3 2 3" xfId="6561" xr:uid="{00000000-0005-0000-0000-0000DB2C0000}"/>
    <cellStyle name="Normal 5 2 2 2 2 3 2 3 2" xfId="13790" xr:uid="{00000000-0005-0000-0000-0000DC2C0000}"/>
    <cellStyle name="Normal 5 2 2 2 2 3 2 4" xfId="8898" xr:uid="{00000000-0005-0000-0000-0000DD2C0000}"/>
    <cellStyle name="Normal 5 2 2 2 2 3 3" xfId="2540" xr:uid="{00000000-0005-0000-0000-0000DE2C0000}"/>
    <cellStyle name="Normal 5 2 2 2 2 3 3 2" xfId="6563" xr:uid="{00000000-0005-0000-0000-0000DF2C0000}"/>
    <cellStyle name="Normal 5 2 2 2 2 3 3 2 2" xfId="13792" xr:uid="{00000000-0005-0000-0000-0000E02C0000}"/>
    <cellStyle name="Normal 5 2 2 2 2 3 3 3" xfId="9769" xr:uid="{00000000-0005-0000-0000-0000E12C0000}"/>
    <cellStyle name="Normal 5 2 2 2 2 3 4" xfId="6560" xr:uid="{00000000-0005-0000-0000-0000E22C0000}"/>
    <cellStyle name="Normal 5 2 2 2 2 3 4 2" xfId="13789" xr:uid="{00000000-0005-0000-0000-0000E32C0000}"/>
    <cellStyle name="Normal 5 2 2 2 2 3 5" xfId="8031" xr:uid="{00000000-0005-0000-0000-0000E42C0000}"/>
    <cellStyle name="Normal 5 2 2 2 2 4" xfId="1237" xr:uid="{00000000-0005-0000-0000-0000E52C0000}"/>
    <cellStyle name="Normal 5 2 2 2 2 4 2" xfId="2976" xr:uid="{00000000-0005-0000-0000-0000E62C0000}"/>
    <cellStyle name="Normal 5 2 2 2 2 4 2 2" xfId="6565" xr:uid="{00000000-0005-0000-0000-0000E72C0000}"/>
    <cellStyle name="Normal 5 2 2 2 2 4 2 2 2" xfId="13794" xr:uid="{00000000-0005-0000-0000-0000E82C0000}"/>
    <cellStyle name="Normal 5 2 2 2 2 4 2 3" xfId="10205" xr:uid="{00000000-0005-0000-0000-0000E92C0000}"/>
    <cellStyle name="Normal 5 2 2 2 2 4 3" xfId="6564" xr:uid="{00000000-0005-0000-0000-0000EA2C0000}"/>
    <cellStyle name="Normal 5 2 2 2 2 4 3 2" xfId="13793" xr:uid="{00000000-0005-0000-0000-0000EB2C0000}"/>
    <cellStyle name="Normal 5 2 2 2 2 4 4" xfId="8467" xr:uid="{00000000-0005-0000-0000-0000EC2C0000}"/>
    <cellStyle name="Normal 5 2 2 2 2 5" xfId="2109" xr:uid="{00000000-0005-0000-0000-0000ED2C0000}"/>
    <cellStyle name="Normal 5 2 2 2 2 5 2" xfId="6566" xr:uid="{00000000-0005-0000-0000-0000EE2C0000}"/>
    <cellStyle name="Normal 5 2 2 2 2 5 2 2" xfId="13795" xr:uid="{00000000-0005-0000-0000-0000EF2C0000}"/>
    <cellStyle name="Normal 5 2 2 2 2 5 3" xfId="9338" xr:uid="{00000000-0005-0000-0000-0000F02C0000}"/>
    <cellStyle name="Normal 5 2 2 2 2 6" xfId="6551" xr:uid="{00000000-0005-0000-0000-0000F12C0000}"/>
    <cellStyle name="Normal 5 2 2 2 2 6 2" xfId="13780" xr:uid="{00000000-0005-0000-0000-0000F22C0000}"/>
    <cellStyle name="Normal 5 2 2 2 2 7" xfId="7600" xr:uid="{00000000-0005-0000-0000-0000F32C0000}"/>
    <cellStyle name="Normal 5 2 2 2 3" xfId="471" xr:uid="{00000000-0005-0000-0000-0000F42C0000}"/>
    <cellStyle name="Normal 5 2 2 2 3 2" xfId="917" xr:uid="{00000000-0005-0000-0000-0000F52C0000}"/>
    <cellStyle name="Normal 5 2 2 2 3 2 2" xfId="1784" xr:uid="{00000000-0005-0000-0000-0000F62C0000}"/>
    <cellStyle name="Normal 5 2 2 2 3 2 2 2" xfId="3523" xr:uid="{00000000-0005-0000-0000-0000F72C0000}"/>
    <cellStyle name="Normal 5 2 2 2 3 2 2 2 2" xfId="6570" xr:uid="{00000000-0005-0000-0000-0000F82C0000}"/>
    <cellStyle name="Normal 5 2 2 2 3 2 2 2 2 2" xfId="13799" xr:uid="{00000000-0005-0000-0000-0000F92C0000}"/>
    <cellStyle name="Normal 5 2 2 2 3 2 2 2 3" xfId="10752" xr:uid="{00000000-0005-0000-0000-0000FA2C0000}"/>
    <cellStyle name="Normal 5 2 2 2 3 2 2 3" xfId="6569" xr:uid="{00000000-0005-0000-0000-0000FB2C0000}"/>
    <cellStyle name="Normal 5 2 2 2 3 2 2 3 2" xfId="13798" xr:uid="{00000000-0005-0000-0000-0000FC2C0000}"/>
    <cellStyle name="Normal 5 2 2 2 3 2 2 4" xfId="9014" xr:uid="{00000000-0005-0000-0000-0000FD2C0000}"/>
    <cellStyle name="Normal 5 2 2 2 3 2 3" xfId="2656" xr:uid="{00000000-0005-0000-0000-0000FE2C0000}"/>
    <cellStyle name="Normal 5 2 2 2 3 2 3 2" xfId="6571" xr:uid="{00000000-0005-0000-0000-0000FF2C0000}"/>
    <cellStyle name="Normal 5 2 2 2 3 2 3 2 2" xfId="13800" xr:uid="{00000000-0005-0000-0000-0000002D0000}"/>
    <cellStyle name="Normal 5 2 2 2 3 2 3 3" xfId="9885" xr:uid="{00000000-0005-0000-0000-0000012D0000}"/>
    <cellStyle name="Normal 5 2 2 2 3 2 4" xfId="6568" xr:uid="{00000000-0005-0000-0000-0000022D0000}"/>
    <cellStyle name="Normal 5 2 2 2 3 2 4 2" xfId="13797" xr:uid="{00000000-0005-0000-0000-0000032D0000}"/>
    <cellStyle name="Normal 5 2 2 2 3 2 5" xfId="8147" xr:uid="{00000000-0005-0000-0000-0000042D0000}"/>
    <cellStyle name="Normal 5 2 2 2 3 3" xfId="1353" xr:uid="{00000000-0005-0000-0000-0000052D0000}"/>
    <cellStyle name="Normal 5 2 2 2 3 3 2" xfId="3092" xr:uid="{00000000-0005-0000-0000-0000062D0000}"/>
    <cellStyle name="Normal 5 2 2 2 3 3 2 2" xfId="6573" xr:uid="{00000000-0005-0000-0000-0000072D0000}"/>
    <cellStyle name="Normal 5 2 2 2 3 3 2 2 2" xfId="13802" xr:uid="{00000000-0005-0000-0000-0000082D0000}"/>
    <cellStyle name="Normal 5 2 2 2 3 3 2 3" xfId="10321" xr:uid="{00000000-0005-0000-0000-0000092D0000}"/>
    <cellStyle name="Normal 5 2 2 2 3 3 3" xfId="6572" xr:uid="{00000000-0005-0000-0000-00000A2D0000}"/>
    <cellStyle name="Normal 5 2 2 2 3 3 3 2" xfId="13801" xr:uid="{00000000-0005-0000-0000-00000B2D0000}"/>
    <cellStyle name="Normal 5 2 2 2 3 3 4" xfId="8583" xr:uid="{00000000-0005-0000-0000-00000C2D0000}"/>
    <cellStyle name="Normal 5 2 2 2 3 4" xfId="2225" xr:uid="{00000000-0005-0000-0000-00000D2D0000}"/>
    <cellStyle name="Normal 5 2 2 2 3 4 2" xfId="6574" xr:uid="{00000000-0005-0000-0000-00000E2D0000}"/>
    <cellStyle name="Normal 5 2 2 2 3 4 2 2" xfId="13803" xr:uid="{00000000-0005-0000-0000-00000F2D0000}"/>
    <cellStyle name="Normal 5 2 2 2 3 4 3" xfId="9454" xr:uid="{00000000-0005-0000-0000-0000102D0000}"/>
    <cellStyle name="Normal 5 2 2 2 3 5" xfId="6567" xr:uid="{00000000-0005-0000-0000-0000112D0000}"/>
    <cellStyle name="Normal 5 2 2 2 3 5 2" xfId="13796" xr:uid="{00000000-0005-0000-0000-0000122D0000}"/>
    <cellStyle name="Normal 5 2 2 2 3 6" xfId="7716" xr:uid="{00000000-0005-0000-0000-0000132D0000}"/>
    <cellStyle name="Normal 5 2 2 2 4" xfId="693" xr:uid="{00000000-0005-0000-0000-0000142D0000}"/>
    <cellStyle name="Normal 5 2 2 2 4 2" xfId="1566" xr:uid="{00000000-0005-0000-0000-0000152D0000}"/>
    <cellStyle name="Normal 5 2 2 2 4 2 2" xfId="3305" xr:uid="{00000000-0005-0000-0000-0000162D0000}"/>
    <cellStyle name="Normal 5 2 2 2 4 2 2 2" xfId="6577" xr:uid="{00000000-0005-0000-0000-0000172D0000}"/>
    <cellStyle name="Normal 5 2 2 2 4 2 2 2 2" xfId="13806" xr:uid="{00000000-0005-0000-0000-0000182D0000}"/>
    <cellStyle name="Normal 5 2 2 2 4 2 2 3" xfId="10534" xr:uid="{00000000-0005-0000-0000-0000192D0000}"/>
    <cellStyle name="Normal 5 2 2 2 4 2 3" xfId="6576" xr:uid="{00000000-0005-0000-0000-00001A2D0000}"/>
    <cellStyle name="Normal 5 2 2 2 4 2 3 2" xfId="13805" xr:uid="{00000000-0005-0000-0000-00001B2D0000}"/>
    <cellStyle name="Normal 5 2 2 2 4 2 4" xfId="8796" xr:uid="{00000000-0005-0000-0000-00001C2D0000}"/>
    <cellStyle name="Normal 5 2 2 2 4 3" xfId="2438" xr:uid="{00000000-0005-0000-0000-00001D2D0000}"/>
    <cellStyle name="Normal 5 2 2 2 4 3 2" xfId="6578" xr:uid="{00000000-0005-0000-0000-00001E2D0000}"/>
    <cellStyle name="Normal 5 2 2 2 4 3 2 2" xfId="13807" xr:uid="{00000000-0005-0000-0000-00001F2D0000}"/>
    <cellStyle name="Normal 5 2 2 2 4 3 3" xfId="9667" xr:uid="{00000000-0005-0000-0000-0000202D0000}"/>
    <cellStyle name="Normal 5 2 2 2 4 4" xfId="6575" xr:uid="{00000000-0005-0000-0000-0000212D0000}"/>
    <cellStyle name="Normal 5 2 2 2 4 4 2" xfId="13804" xr:uid="{00000000-0005-0000-0000-0000222D0000}"/>
    <cellStyle name="Normal 5 2 2 2 4 5" xfId="7929" xr:uid="{00000000-0005-0000-0000-0000232D0000}"/>
    <cellStyle name="Normal 5 2 2 2 5" xfId="1135" xr:uid="{00000000-0005-0000-0000-0000242D0000}"/>
    <cellStyle name="Normal 5 2 2 2 5 2" xfId="2874" xr:uid="{00000000-0005-0000-0000-0000252D0000}"/>
    <cellStyle name="Normal 5 2 2 2 5 2 2" xfId="6580" xr:uid="{00000000-0005-0000-0000-0000262D0000}"/>
    <cellStyle name="Normal 5 2 2 2 5 2 2 2" xfId="13809" xr:uid="{00000000-0005-0000-0000-0000272D0000}"/>
    <cellStyle name="Normal 5 2 2 2 5 2 3" xfId="10103" xr:uid="{00000000-0005-0000-0000-0000282D0000}"/>
    <cellStyle name="Normal 5 2 2 2 5 3" xfId="6579" xr:uid="{00000000-0005-0000-0000-0000292D0000}"/>
    <cellStyle name="Normal 5 2 2 2 5 3 2" xfId="13808" xr:uid="{00000000-0005-0000-0000-00002A2D0000}"/>
    <cellStyle name="Normal 5 2 2 2 5 4" xfId="8365" xr:uid="{00000000-0005-0000-0000-00002B2D0000}"/>
    <cellStyle name="Normal 5 2 2 2 6" xfId="2007" xr:uid="{00000000-0005-0000-0000-00002C2D0000}"/>
    <cellStyle name="Normal 5 2 2 2 6 2" xfId="6581" xr:uid="{00000000-0005-0000-0000-00002D2D0000}"/>
    <cellStyle name="Normal 5 2 2 2 6 2 2" xfId="13810" xr:uid="{00000000-0005-0000-0000-00002E2D0000}"/>
    <cellStyle name="Normal 5 2 2 2 6 3" xfId="9236" xr:uid="{00000000-0005-0000-0000-00002F2D0000}"/>
    <cellStyle name="Normal 5 2 2 2 7" xfId="6550" xr:uid="{00000000-0005-0000-0000-0000302D0000}"/>
    <cellStyle name="Normal 5 2 2 2 7 2" xfId="13779" xr:uid="{00000000-0005-0000-0000-0000312D0000}"/>
    <cellStyle name="Normal 5 2 2 2 8" xfId="7498" xr:uid="{00000000-0005-0000-0000-0000322D0000}"/>
    <cellStyle name="Normal 5 2 2 3" xfId="322" xr:uid="{00000000-0005-0000-0000-0000332D0000}"/>
    <cellStyle name="Normal 5 2 2 3 2" xfId="548" xr:uid="{00000000-0005-0000-0000-0000342D0000}"/>
    <cellStyle name="Normal 5 2 2 3 2 2" xfId="994" xr:uid="{00000000-0005-0000-0000-0000352D0000}"/>
    <cellStyle name="Normal 5 2 2 3 2 2 2" xfId="1861" xr:uid="{00000000-0005-0000-0000-0000362D0000}"/>
    <cellStyle name="Normal 5 2 2 3 2 2 2 2" xfId="3600" xr:uid="{00000000-0005-0000-0000-0000372D0000}"/>
    <cellStyle name="Normal 5 2 2 3 2 2 2 2 2" xfId="6586" xr:uid="{00000000-0005-0000-0000-0000382D0000}"/>
    <cellStyle name="Normal 5 2 2 3 2 2 2 2 2 2" xfId="13815" xr:uid="{00000000-0005-0000-0000-0000392D0000}"/>
    <cellStyle name="Normal 5 2 2 3 2 2 2 2 3" xfId="10829" xr:uid="{00000000-0005-0000-0000-00003A2D0000}"/>
    <cellStyle name="Normal 5 2 2 3 2 2 2 3" xfId="6585" xr:uid="{00000000-0005-0000-0000-00003B2D0000}"/>
    <cellStyle name="Normal 5 2 2 3 2 2 2 3 2" xfId="13814" xr:uid="{00000000-0005-0000-0000-00003C2D0000}"/>
    <cellStyle name="Normal 5 2 2 3 2 2 2 4" xfId="9091" xr:uid="{00000000-0005-0000-0000-00003D2D0000}"/>
    <cellStyle name="Normal 5 2 2 3 2 2 3" xfId="2733" xr:uid="{00000000-0005-0000-0000-00003E2D0000}"/>
    <cellStyle name="Normal 5 2 2 3 2 2 3 2" xfId="6587" xr:uid="{00000000-0005-0000-0000-00003F2D0000}"/>
    <cellStyle name="Normal 5 2 2 3 2 2 3 2 2" xfId="13816" xr:uid="{00000000-0005-0000-0000-0000402D0000}"/>
    <cellStyle name="Normal 5 2 2 3 2 2 3 3" xfId="9962" xr:uid="{00000000-0005-0000-0000-0000412D0000}"/>
    <cellStyle name="Normal 5 2 2 3 2 2 4" xfId="6584" xr:uid="{00000000-0005-0000-0000-0000422D0000}"/>
    <cellStyle name="Normal 5 2 2 3 2 2 4 2" xfId="13813" xr:uid="{00000000-0005-0000-0000-0000432D0000}"/>
    <cellStyle name="Normal 5 2 2 3 2 2 5" xfId="8224" xr:uid="{00000000-0005-0000-0000-0000442D0000}"/>
    <cellStyle name="Normal 5 2 2 3 2 3" xfId="1430" xr:uid="{00000000-0005-0000-0000-0000452D0000}"/>
    <cellStyle name="Normal 5 2 2 3 2 3 2" xfId="3169" xr:uid="{00000000-0005-0000-0000-0000462D0000}"/>
    <cellStyle name="Normal 5 2 2 3 2 3 2 2" xfId="6589" xr:uid="{00000000-0005-0000-0000-0000472D0000}"/>
    <cellStyle name="Normal 5 2 2 3 2 3 2 2 2" xfId="13818" xr:uid="{00000000-0005-0000-0000-0000482D0000}"/>
    <cellStyle name="Normal 5 2 2 3 2 3 2 3" xfId="10398" xr:uid="{00000000-0005-0000-0000-0000492D0000}"/>
    <cellStyle name="Normal 5 2 2 3 2 3 3" xfId="6588" xr:uid="{00000000-0005-0000-0000-00004A2D0000}"/>
    <cellStyle name="Normal 5 2 2 3 2 3 3 2" xfId="13817" xr:uid="{00000000-0005-0000-0000-00004B2D0000}"/>
    <cellStyle name="Normal 5 2 2 3 2 3 4" xfId="8660" xr:uid="{00000000-0005-0000-0000-00004C2D0000}"/>
    <cellStyle name="Normal 5 2 2 3 2 4" xfId="2302" xr:uid="{00000000-0005-0000-0000-00004D2D0000}"/>
    <cellStyle name="Normal 5 2 2 3 2 4 2" xfId="6590" xr:uid="{00000000-0005-0000-0000-00004E2D0000}"/>
    <cellStyle name="Normal 5 2 2 3 2 4 2 2" xfId="13819" xr:uid="{00000000-0005-0000-0000-00004F2D0000}"/>
    <cellStyle name="Normal 5 2 2 3 2 4 3" xfId="9531" xr:uid="{00000000-0005-0000-0000-0000502D0000}"/>
    <cellStyle name="Normal 5 2 2 3 2 5" xfId="6583" xr:uid="{00000000-0005-0000-0000-0000512D0000}"/>
    <cellStyle name="Normal 5 2 2 3 2 5 2" xfId="13812" xr:uid="{00000000-0005-0000-0000-0000522D0000}"/>
    <cellStyle name="Normal 5 2 2 3 2 6" xfId="7793" xr:uid="{00000000-0005-0000-0000-0000532D0000}"/>
    <cellStyle name="Normal 5 2 2 3 3" xfId="770" xr:uid="{00000000-0005-0000-0000-0000542D0000}"/>
    <cellStyle name="Normal 5 2 2 3 3 2" xfId="1643" xr:uid="{00000000-0005-0000-0000-0000552D0000}"/>
    <cellStyle name="Normal 5 2 2 3 3 2 2" xfId="3382" xr:uid="{00000000-0005-0000-0000-0000562D0000}"/>
    <cellStyle name="Normal 5 2 2 3 3 2 2 2" xfId="6593" xr:uid="{00000000-0005-0000-0000-0000572D0000}"/>
    <cellStyle name="Normal 5 2 2 3 3 2 2 2 2" xfId="13822" xr:uid="{00000000-0005-0000-0000-0000582D0000}"/>
    <cellStyle name="Normal 5 2 2 3 3 2 2 3" xfId="10611" xr:uid="{00000000-0005-0000-0000-0000592D0000}"/>
    <cellStyle name="Normal 5 2 2 3 3 2 3" xfId="6592" xr:uid="{00000000-0005-0000-0000-00005A2D0000}"/>
    <cellStyle name="Normal 5 2 2 3 3 2 3 2" xfId="13821" xr:uid="{00000000-0005-0000-0000-00005B2D0000}"/>
    <cellStyle name="Normal 5 2 2 3 3 2 4" xfId="8873" xr:uid="{00000000-0005-0000-0000-00005C2D0000}"/>
    <cellStyle name="Normal 5 2 2 3 3 3" xfId="2515" xr:uid="{00000000-0005-0000-0000-00005D2D0000}"/>
    <cellStyle name="Normal 5 2 2 3 3 3 2" xfId="6594" xr:uid="{00000000-0005-0000-0000-00005E2D0000}"/>
    <cellStyle name="Normal 5 2 2 3 3 3 2 2" xfId="13823" xr:uid="{00000000-0005-0000-0000-00005F2D0000}"/>
    <cellStyle name="Normal 5 2 2 3 3 3 3" xfId="9744" xr:uid="{00000000-0005-0000-0000-0000602D0000}"/>
    <cellStyle name="Normal 5 2 2 3 3 4" xfId="6591" xr:uid="{00000000-0005-0000-0000-0000612D0000}"/>
    <cellStyle name="Normal 5 2 2 3 3 4 2" xfId="13820" xr:uid="{00000000-0005-0000-0000-0000622D0000}"/>
    <cellStyle name="Normal 5 2 2 3 3 5" xfId="8006" xr:uid="{00000000-0005-0000-0000-0000632D0000}"/>
    <cellStyle name="Normal 5 2 2 3 4" xfId="1212" xr:uid="{00000000-0005-0000-0000-0000642D0000}"/>
    <cellStyle name="Normal 5 2 2 3 4 2" xfId="2951" xr:uid="{00000000-0005-0000-0000-0000652D0000}"/>
    <cellStyle name="Normal 5 2 2 3 4 2 2" xfId="6596" xr:uid="{00000000-0005-0000-0000-0000662D0000}"/>
    <cellStyle name="Normal 5 2 2 3 4 2 2 2" xfId="13825" xr:uid="{00000000-0005-0000-0000-0000672D0000}"/>
    <cellStyle name="Normal 5 2 2 3 4 2 3" xfId="10180" xr:uid="{00000000-0005-0000-0000-0000682D0000}"/>
    <cellStyle name="Normal 5 2 2 3 4 3" xfId="6595" xr:uid="{00000000-0005-0000-0000-0000692D0000}"/>
    <cellStyle name="Normal 5 2 2 3 4 3 2" xfId="13824" xr:uid="{00000000-0005-0000-0000-00006A2D0000}"/>
    <cellStyle name="Normal 5 2 2 3 4 4" xfId="8442" xr:uid="{00000000-0005-0000-0000-00006B2D0000}"/>
    <cellStyle name="Normal 5 2 2 3 5" xfId="2084" xr:uid="{00000000-0005-0000-0000-00006C2D0000}"/>
    <cellStyle name="Normal 5 2 2 3 5 2" xfId="6597" xr:uid="{00000000-0005-0000-0000-00006D2D0000}"/>
    <cellStyle name="Normal 5 2 2 3 5 2 2" xfId="13826" xr:uid="{00000000-0005-0000-0000-00006E2D0000}"/>
    <cellStyle name="Normal 5 2 2 3 5 3" xfId="9313" xr:uid="{00000000-0005-0000-0000-00006F2D0000}"/>
    <cellStyle name="Normal 5 2 2 3 6" xfId="6582" xr:uid="{00000000-0005-0000-0000-0000702D0000}"/>
    <cellStyle name="Normal 5 2 2 3 6 2" xfId="13811" xr:uid="{00000000-0005-0000-0000-0000712D0000}"/>
    <cellStyle name="Normal 5 2 2 3 7" xfId="7575" xr:uid="{00000000-0005-0000-0000-0000722D0000}"/>
    <cellStyle name="Normal 5 2 2 4" xfId="446" xr:uid="{00000000-0005-0000-0000-0000732D0000}"/>
    <cellStyle name="Normal 5 2 2 4 2" xfId="892" xr:uid="{00000000-0005-0000-0000-0000742D0000}"/>
    <cellStyle name="Normal 5 2 2 4 2 2" xfId="1759" xr:uid="{00000000-0005-0000-0000-0000752D0000}"/>
    <cellStyle name="Normal 5 2 2 4 2 2 2" xfId="3498" xr:uid="{00000000-0005-0000-0000-0000762D0000}"/>
    <cellStyle name="Normal 5 2 2 4 2 2 2 2" xfId="6601" xr:uid="{00000000-0005-0000-0000-0000772D0000}"/>
    <cellStyle name="Normal 5 2 2 4 2 2 2 2 2" xfId="13830" xr:uid="{00000000-0005-0000-0000-0000782D0000}"/>
    <cellStyle name="Normal 5 2 2 4 2 2 2 3" xfId="10727" xr:uid="{00000000-0005-0000-0000-0000792D0000}"/>
    <cellStyle name="Normal 5 2 2 4 2 2 3" xfId="6600" xr:uid="{00000000-0005-0000-0000-00007A2D0000}"/>
    <cellStyle name="Normal 5 2 2 4 2 2 3 2" xfId="13829" xr:uid="{00000000-0005-0000-0000-00007B2D0000}"/>
    <cellStyle name="Normal 5 2 2 4 2 2 4" xfId="8989" xr:uid="{00000000-0005-0000-0000-00007C2D0000}"/>
    <cellStyle name="Normal 5 2 2 4 2 3" xfId="2631" xr:uid="{00000000-0005-0000-0000-00007D2D0000}"/>
    <cellStyle name="Normal 5 2 2 4 2 3 2" xfId="6602" xr:uid="{00000000-0005-0000-0000-00007E2D0000}"/>
    <cellStyle name="Normal 5 2 2 4 2 3 2 2" xfId="13831" xr:uid="{00000000-0005-0000-0000-00007F2D0000}"/>
    <cellStyle name="Normal 5 2 2 4 2 3 3" xfId="9860" xr:uid="{00000000-0005-0000-0000-0000802D0000}"/>
    <cellStyle name="Normal 5 2 2 4 2 4" xfId="6599" xr:uid="{00000000-0005-0000-0000-0000812D0000}"/>
    <cellStyle name="Normal 5 2 2 4 2 4 2" xfId="13828" xr:uid="{00000000-0005-0000-0000-0000822D0000}"/>
    <cellStyle name="Normal 5 2 2 4 2 5" xfId="8122" xr:uid="{00000000-0005-0000-0000-0000832D0000}"/>
    <cellStyle name="Normal 5 2 2 4 3" xfId="1328" xr:uid="{00000000-0005-0000-0000-0000842D0000}"/>
    <cellStyle name="Normal 5 2 2 4 3 2" xfId="3067" xr:uid="{00000000-0005-0000-0000-0000852D0000}"/>
    <cellStyle name="Normal 5 2 2 4 3 2 2" xfId="6604" xr:uid="{00000000-0005-0000-0000-0000862D0000}"/>
    <cellStyle name="Normal 5 2 2 4 3 2 2 2" xfId="13833" xr:uid="{00000000-0005-0000-0000-0000872D0000}"/>
    <cellStyle name="Normal 5 2 2 4 3 2 3" xfId="10296" xr:uid="{00000000-0005-0000-0000-0000882D0000}"/>
    <cellStyle name="Normal 5 2 2 4 3 3" xfId="6603" xr:uid="{00000000-0005-0000-0000-0000892D0000}"/>
    <cellStyle name="Normal 5 2 2 4 3 3 2" xfId="13832" xr:uid="{00000000-0005-0000-0000-00008A2D0000}"/>
    <cellStyle name="Normal 5 2 2 4 3 4" xfId="8558" xr:uid="{00000000-0005-0000-0000-00008B2D0000}"/>
    <cellStyle name="Normal 5 2 2 4 4" xfId="2200" xr:uid="{00000000-0005-0000-0000-00008C2D0000}"/>
    <cellStyle name="Normal 5 2 2 4 4 2" xfId="6605" xr:uid="{00000000-0005-0000-0000-00008D2D0000}"/>
    <cellStyle name="Normal 5 2 2 4 4 2 2" xfId="13834" xr:uid="{00000000-0005-0000-0000-00008E2D0000}"/>
    <cellStyle name="Normal 5 2 2 4 4 3" xfId="9429" xr:uid="{00000000-0005-0000-0000-00008F2D0000}"/>
    <cellStyle name="Normal 5 2 2 4 5" xfId="6598" xr:uid="{00000000-0005-0000-0000-0000902D0000}"/>
    <cellStyle name="Normal 5 2 2 4 5 2" xfId="13827" xr:uid="{00000000-0005-0000-0000-0000912D0000}"/>
    <cellStyle name="Normal 5 2 2 4 6" xfId="7691" xr:uid="{00000000-0005-0000-0000-0000922D0000}"/>
    <cellStyle name="Normal 5 2 2 5" xfId="665" xr:uid="{00000000-0005-0000-0000-0000932D0000}"/>
    <cellStyle name="Normal 5 2 2 5 2" xfId="1541" xr:uid="{00000000-0005-0000-0000-0000942D0000}"/>
    <cellStyle name="Normal 5 2 2 5 2 2" xfId="3280" xr:uid="{00000000-0005-0000-0000-0000952D0000}"/>
    <cellStyle name="Normal 5 2 2 5 2 2 2" xfId="6608" xr:uid="{00000000-0005-0000-0000-0000962D0000}"/>
    <cellStyle name="Normal 5 2 2 5 2 2 2 2" xfId="13837" xr:uid="{00000000-0005-0000-0000-0000972D0000}"/>
    <cellStyle name="Normal 5 2 2 5 2 2 3" xfId="10509" xr:uid="{00000000-0005-0000-0000-0000982D0000}"/>
    <cellStyle name="Normal 5 2 2 5 2 3" xfId="6607" xr:uid="{00000000-0005-0000-0000-0000992D0000}"/>
    <cellStyle name="Normal 5 2 2 5 2 3 2" xfId="13836" xr:uid="{00000000-0005-0000-0000-00009A2D0000}"/>
    <cellStyle name="Normal 5 2 2 5 2 4" xfId="8771" xr:uid="{00000000-0005-0000-0000-00009B2D0000}"/>
    <cellStyle name="Normal 5 2 2 5 3" xfId="2413" xr:uid="{00000000-0005-0000-0000-00009C2D0000}"/>
    <cellStyle name="Normal 5 2 2 5 3 2" xfId="6609" xr:uid="{00000000-0005-0000-0000-00009D2D0000}"/>
    <cellStyle name="Normal 5 2 2 5 3 2 2" xfId="13838" xr:uid="{00000000-0005-0000-0000-00009E2D0000}"/>
    <cellStyle name="Normal 5 2 2 5 3 3" xfId="9642" xr:uid="{00000000-0005-0000-0000-00009F2D0000}"/>
    <cellStyle name="Normal 5 2 2 5 4" xfId="6606" xr:uid="{00000000-0005-0000-0000-0000A02D0000}"/>
    <cellStyle name="Normal 5 2 2 5 4 2" xfId="13835" xr:uid="{00000000-0005-0000-0000-0000A12D0000}"/>
    <cellStyle name="Normal 5 2 2 5 5" xfId="7904" xr:uid="{00000000-0005-0000-0000-0000A22D0000}"/>
    <cellStyle name="Normal 5 2 2 6" xfId="1110" xr:uid="{00000000-0005-0000-0000-0000A32D0000}"/>
    <cellStyle name="Normal 5 2 2 6 2" xfId="2849" xr:uid="{00000000-0005-0000-0000-0000A42D0000}"/>
    <cellStyle name="Normal 5 2 2 6 2 2" xfId="6611" xr:uid="{00000000-0005-0000-0000-0000A52D0000}"/>
    <cellStyle name="Normal 5 2 2 6 2 2 2" xfId="13840" xr:uid="{00000000-0005-0000-0000-0000A62D0000}"/>
    <cellStyle name="Normal 5 2 2 6 2 3" xfId="10078" xr:uid="{00000000-0005-0000-0000-0000A72D0000}"/>
    <cellStyle name="Normal 5 2 2 6 3" xfId="6610" xr:uid="{00000000-0005-0000-0000-0000A82D0000}"/>
    <cellStyle name="Normal 5 2 2 6 3 2" xfId="13839" xr:uid="{00000000-0005-0000-0000-0000A92D0000}"/>
    <cellStyle name="Normal 5 2 2 6 4" xfId="8340" xr:uid="{00000000-0005-0000-0000-0000AA2D0000}"/>
    <cellStyle name="Normal 5 2 2 7" xfId="1982" xr:uid="{00000000-0005-0000-0000-0000AB2D0000}"/>
    <cellStyle name="Normal 5 2 2 7 2" xfId="6612" xr:uid="{00000000-0005-0000-0000-0000AC2D0000}"/>
    <cellStyle name="Normal 5 2 2 7 2 2" xfId="13841" xr:uid="{00000000-0005-0000-0000-0000AD2D0000}"/>
    <cellStyle name="Normal 5 2 2 7 3" xfId="9211" xr:uid="{00000000-0005-0000-0000-0000AE2D0000}"/>
    <cellStyle name="Normal 5 2 2 8" xfId="6549" xr:uid="{00000000-0005-0000-0000-0000AF2D0000}"/>
    <cellStyle name="Normal 5 2 2 8 2" xfId="13778" xr:uid="{00000000-0005-0000-0000-0000B02D0000}"/>
    <cellStyle name="Normal 5 2 2 9" xfId="7471" xr:uid="{00000000-0005-0000-0000-0000B12D0000}"/>
    <cellStyle name="Normal 5 2 3" xfId="227" xr:uid="{00000000-0005-0000-0000-0000B22D0000}"/>
    <cellStyle name="Normal 5 2 3 2" xfId="228" xr:uid="{00000000-0005-0000-0000-0000B32D0000}"/>
    <cellStyle name="Normal 5 2 3 2 2" xfId="6614" xr:uid="{00000000-0005-0000-0000-0000B42D0000}"/>
    <cellStyle name="Normal 5 2 3 2 2 2" xfId="13843" xr:uid="{00000000-0005-0000-0000-0000B52D0000}"/>
    <cellStyle name="Normal 5 2 3 3" xfId="348" xr:uid="{00000000-0005-0000-0000-0000B62D0000}"/>
    <cellStyle name="Normal 5 2 3 3 2" xfId="574" xr:uid="{00000000-0005-0000-0000-0000B72D0000}"/>
    <cellStyle name="Normal 5 2 3 3 2 2" xfId="1020" xr:uid="{00000000-0005-0000-0000-0000B82D0000}"/>
    <cellStyle name="Normal 5 2 3 3 2 2 2" xfId="1887" xr:uid="{00000000-0005-0000-0000-0000B92D0000}"/>
    <cellStyle name="Normal 5 2 3 3 2 2 2 2" xfId="3626" xr:uid="{00000000-0005-0000-0000-0000BA2D0000}"/>
    <cellStyle name="Normal 5 2 3 3 2 2 2 2 2" xfId="6619" xr:uid="{00000000-0005-0000-0000-0000BB2D0000}"/>
    <cellStyle name="Normal 5 2 3 3 2 2 2 2 2 2" xfId="13848" xr:uid="{00000000-0005-0000-0000-0000BC2D0000}"/>
    <cellStyle name="Normal 5 2 3 3 2 2 2 2 3" xfId="10855" xr:uid="{00000000-0005-0000-0000-0000BD2D0000}"/>
    <cellStyle name="Normal 5 2 3 3 2 2 2 3" xfId="6618" xr:uid="{00000000-0005-0000-0000-0000BE2D0000}"/>
    <cellStyle name="Normal 5 2 3 3 2 2 2 3 2" xfId="13847" xr:uid="{00000000-0005-0000-0000-0000BF2D0000}"/>
    <cellStyle name="Normal 5 2 3 3 2 2 2 4" xfId="9117" xr:uid="{00000000-0005-0000-0000-0000C02D0000}"/>
    <cellStyle name="Normal 5 2 3 3 2 2 3" xfId="2759" xr:uid="{00000000-0005-0000-0000-0000C12D0000}"/>
    <cellStyle name="Normal 5 2 3 3 2 2 3 2" xfId="6620" xr:uid="{00000000-0005-0000-0000-0000C22D0000}"/>
    <cellStyle name="Normal 5 2 3 3 2 2 3 2 2" xfId="13849" xr:uid="{00000000-0005-0000-0000-0000C32D0000}"/>
    <cellStyle name="Normal 5 2 3 3 2 2 3 3" xfId="9988" xr:uid="{00000000-0005-0000-0000-0000C42D0000}"/>
    <cellStyle name="Normal 5 2 3 3 2 2 4" xfId="6617" xr:uid="{00000000-0005-0000-0000-0000C52D0000}"/>
    <cellStyle name="Normal 5 2 3 3 2 2 4 2" xfId="13846" xr:uid="{00000000-0005-0000-0000-0000C62D0000}"/>
    <cellStyle name="Normal 5 2 3 3 2 2 5" xfId="8250" xr:uid="{00000000-0005-0000-0000-0000C72D0000}"/>
    <cellStyle name="Normal 5 2 3 3 2 3" xfId="1456" xr:uid="{00000000-0005-0000-0000-0000C82D0000}"/>
    <cellStyle name="Normal 5 2 3 3 2 3 2" xfId="3195" xr:uid="{00000000-0005-0000-0000-0000C92D0000}"/>
    <cellStyle name="Normal 5 2 3 3 2 3 2 2" xfId="6622" xr:uid="{00000000-0005-0000-0000-0000CA2D0000}"/>
    <cellStyle name="Normal 5 2 3 3 2 3 2 2 2" xfId="13851" xr:uid="{00000000-0005-0000-0000-0000CB2D0000}"/>
    <cellStyle name="Normal 5 2 3 3 2 3 2 3" xfId="10424" xr:uid="{00000000-0005-0000-0000-0000CC2D0000}"/>
    <cellStyle name="Normal 5 2 3 3 2 3 3" xfId="6621" xr:uid="{00000000-0005-0000-0000-0000CD2D0000}"/>
    <cellStyle name="Normal 5 2 3 3 2 3 3 2" xfId="13850" xr:uid="{00000000-0005-0000-0000-0000CE2D0000}"/>
    <cellStyle name="Normal 5 2 3 3 2 3 4" xfId="8686" xr:uid="{00000000-0005-0000-0000-0000CF2D0000}"/>
    <cellStyle name="Normal 5 2 3 3 2 4" xfId="2328" xr:uid="{00000000-0005-0000-0000-0000D02D0000}"/>
    <cellStyle name="Normal 5 2 3 3 2 4 2" xfId="6623" xr:uid="{00000000-0005-0000-0000-0000D12D0000}"/>
    <cellStyle name="Normal 5 2 3 3 2 4 2 2" xfId="13852" xr:uid="{00000000-0005-0000-0000-0000D22D0000}"/>
    <cellStyle name="Normal 5 2 3 3 2 4 3" xfId="9557" xr:uid="{00000000-0005-0000-0000-0000D32D0000}"/>
    <cellStyle name="Normal 5 2 3 3 2 5" xfId="6616" xr:uid="{00000000-0005-0000-0000-0000D42D0000}"/>
    <cellStyle name="Normal 5 2 3 3 2 5 2" xfId="13845" xr:uid="{00000000-0005-0000-0000-0000D52D0000}"/>
    <cellStyle name="Normal 5 2 3 3 2 6" xfId="7819" xr:uid="{00000000-0005-0000-0000-0000D62D0000}"/>
    <cellStyle name="Normal 5 2 3 3 3" xfId="796" xr:uid="{00000000-0005-0000-0000-0000D72D0000}"/>
    <cellStyle name="Normal 5 2 3 3 3 2" xfId="1669" xr:uid="{00000000-0005-0000-0000-0000D82D0000}"/>
    <cellStyle name="Normal 5 2 3 3 3 2 2" xfId="3408" xr:uid="{00000000-0005-0000-0000-0000D92D0000}"/>
    <cellStyle name="Normal 5 2 3 3 3 2 2 2" xfId="6626" xr:uid="{00000000-0005-0000-0000-0000DA2D0000}"/>
    <cellStyle name="Normal 5 2 3 3 3 2 2 2 2" xfId="13855" xr:uid="{00000000-0005-0000-0000-0000DB2D0000}"/>
    <cellStyle name="Normal 5 2 3 3 3 2 2 3" xfId="10637" xr:uid="{00000000-0005-0000-0000-0000DC2D0000}"/>
    <cellStyle name="Normal 5 2 3 3 3 2 3" xfId="6625" xr:uid="{00000000-0005-0000-0000-0000DD2D0000}"/>
    <cellStyle name="Normal 5 2 3 3 3 2 3 2" xfId="13854" xr:uid="{00000000-0005-0000-0000-0000DE2D0000}"/>
    <cellStyle name="Normal 5 2 3 3 3 2 4" xfId="8899" xr:uid="{00000000-0005-0000-0000-0000DF2D0000}"/>
    <cellStyle name="Normal 5 2 3 3 3 3" xfId="2541" xr:uid="{00000000-0005-0000-0000-0000E02D0000}"/>
    <cellStyle name="Normal 5 2 3 3 3 3 2" xfId="6627" xr:uid="{00000000-0005-0000-0000-0000E12D0000}"/>
    <cellStyle name="Normal 5 2 3 3 3 3 2 2" xfId="13856" xr:uid="{00000000-0005-0000-0000-0000E22D0000}"/>
    <cellStyle name="Normal 5 2 3 3 3 3 3" xfId="9770" xr:uid="{00000000-0005-0000-0000-0000E32D0000}"/>
    <cellStyle name="Normal 5 2 3 3 3 4" xfId="6624" xr:uid="{00000000-0005-0000-0000-0000E42D0000}"/>
    <cellStyle name="Normal 5 2 3 3 3 4 2" xfId="13853" xr:uid="{00000000-0005-0000-0000-0000E52D0000}"/>
    <cellStyle name="Normal 5 2 3 3 3 5" xfId="8032" xr:uid="{00000000-0005-0000-0000-0000E62D0000}"/>
    <cellStyle name="Normal 5 2 3 3 4" xfId="1238" xr:uid="{00000000-0005-0000-0000-0000E72D0000}"/>
    <cellStyle name="Normal 5 2 3 3 4 2" xfId="2977" xr:uid="{00000000-0005-0000-0000-0000E82D0000}"/>
    <cellStyle name="Normal 5 2 3 3 4 2 2" xfId="6629" xr:uid="{00000000-0005-0000-0000-0000E92D0000}"/>
    <cellStyle name="Normal 5 2 3 3 4 2 2 2" xfId="13858" xr:uid="{00000000-0005-0000-0000-0000EA2D0000}"/>
    <cellStyle name="Normal 5 2 3 3 4 2 3" xfId="10206" xr:uid="{00000000-0005-0000-0000-0000EB2D0000}"/>
    <cellStyle name="Normal 5 2 3 3 4 3" xfId="6628" xr:uid="{00000000-0005-0000-0000-0000EC2D0000}"/>
    <cellStyle name="Normal 5 2 3 3 4 3 2" xfId="13857" xr:uid="{00000000-0005-0000-0000-0000ED2D0000}"/>
    <cellStyle name="Normal 5 2 3 3 4 4" xfId="8468" xr:uid="{00000000-0005-0000-0000-0000EE2D0000}"/>
    <cellStyle name="Normal 5 2 3 3 5" xfId="2110" xr:uid="{00000000-0005-0000-0000-0000EF2D0000}"/>
    <cellStyle name="Normal 5 2 3 3 5 2" xfId="6630" xr:uid="{00000000-0005-0000-0000-0000F02D0000}"/>
    <cellStyle name="Normal 5 2 3 3 5 2 2" xfId="13859" xr:uid="{00000000-0005-0000-0000-0000F12D0000}"/>
    <cellStyle name="Normal 5 2 3 3 5 3" xfId="9339" xr:uid="{00000000-0005-0000-0000-0000F22D0000}"/>
    <cellStyle name="Normal 5 2 3 3 6" xfId="6615" xr:uid="{00000000-0005-0000-0000-0000F32D0000}"/>
    <cellStyle name="Normal 5 2 3 3 6 2" xfId="13844" xr:uid="{00000000-0005-0000-0000-0000F42D0000}"/>
    <cellStyle name="Normal 5 2 3 3 7" xfId="7601" xr:uid="{00000000-0005-0000-0000-0000F52D0000}"/>
    <cellStyle name="Normal 5 2 3 4" xfId="472" xr:uid="{00000000-0005-0000-0000-0000F62D0000}"/>
    <cellStyle name="Normal 5 2 3 4 2" xfId="918" xr:uid="{00000000-0005-0000-0000-0000F72D0000}"/>
    <cellStyle name="Normal 5 2 3 4 2 2" xfId="1785" xr:uid="{00000000-0005-0000-0000-0000F82D0000}"/>
    <cellStyle name="Normal 5 2 3 4 2 2 2" xfId="3524" xr:uid="{00000000-0005-0000-0000-0000F92D0000}"/>
    <cellStyle name="Normal 5 2 3 4 2 2 2 2" xfId="6634" xr:uid="{00000000-0005-0000-0000-0000FA2D0000}"/>
    <cellStyle name="Normal 5 2 3 4 2 2 2 2 2" xfId="13863" xr:uid="{00000000-0005-0000-0000-0000FB2D0000}"/>
    <cellStyle name="Normal 5 2 3 4 2 2 2 3" xfId="10753" xr:uid="{00000000-0005-0000-0000-0000FC2D0000}"/>
    <cellStyle name="Normal 5 2 3 4 2 2 3" xfId="6633" xr:uid="{00000000-0005-0000-0000-0000FD2D0000}"/>
    <cellStyle name="Normal 5 2 3 4 2 2 3 2" xfId="13862" xr:uid="{00000000-0005-0000-0000-0000FE2D0000}"/>
    <cellStyle name="Normal 5 2 3 4 2 2 4" xfId="9015" xr:uid="{00000000-0005-0000-0000-0000FF2D0000}"/>
    <cellStyle name="Normal 5 2 3 4 2 3" xfId="2657" xr:uid="{00000000-0005-0000-0000-0000002E0000}"/>
    <cellStyle name="Normal 5 2 3 4 2 3 2" xfId="6635" xr:uid="{00000000-0005-0000-0000-0000012E0000}"/>
    <cellStyle name="Normal 5 2 3 4 2 3 2 2" xfId="13864" xr:uid="{00000000-0005-0000-0000-0000022E0000}"/>
    <cellStyle name="Normal 5 2 3 4 2 3 3" xfId="9886" xr:uid="{00000000-0005-0000-0000-0000032E0000}"/>
    <cellStyle name="Normal 5 2 3 4 2 4" xfId="6632" xr:uid="{00000000-0005-0000-0000-0000042E0000}"/>
    <cellStyle name="Normal 5 2 3 4 2 4 2" xfId="13861" xr:uid="{00000000-0005-0000-0000-0000052E0000}"/>
    <cellStyle name="Normal 5 2 3 4 2 5" xfId="8148" xr:uid="{00000000-0005-0000-0000-0000062E0000}"/>
    <cellStyle name="Normal 5 2 3 4 3" xfId="1354" xr:uid="{00000000-0005-0000-0000-0000072E0000}"/>
    <cellStyle name="Normal 5 2 3 4 3 2" xfId="3093" xr:uid="{00000000-0005-0000-0000-0000082E0000}"/>
    <cellStyle name="Normal 5 2 3 4 3 2 2" xfId="6637" xr:uid="{00000000-0005-0000-0000-0000092E0000}"/>
    <cellStyle name="Normal 5 2 3 4 3 2 2 2" xfId="13866" xr:uid="{00000000-0005-0000-0000-00000A2E0000}"/>
    <cellStyle name="Normal 5 2 3 4 3 2 3" xfId="10322" xr:uid="{00000000-0005-0000-0000-00000B2E0000}"/>
    <cellStyle name="Normal 5 2 3 4 3 3" xfId="6636" xr:uid="{00000000-0005-0000-0000-00000C2E0000}"/>
    <cellStyle name="Normal 5 2 3 4 3 3 2" xfId="13865" xr:uid="{00000000-0005-0000-0000-00000D2E0000}"/>
    <cellStyle name="Normal 5 2 3 4 3 4" xfId="8584" xr:uid="{00000000-0005-0000-0000-00000E2E0000}"/>
    <cellStyle name="Normal 5 2 3 4 4" xfId="2226" xr:uid="{00000000-0005-0000-0000-00000F2E0000}"/>
    <cellStyle name="Normal 5 2 3 4 4 2" xfId="6638" xr:uid="{00000000-0005-0000-0000-0000102E0000}"/>
    <cellStyle name="Normal 5 2 3 4 4 2 2" xfId="13867" xr:uid="{00000000-0005-0000-0000-0000112E0000}"/>
    <cellStyle name="Normal 5 2 3 4 4 3" xfId="9455" xr:uid="{00000000-0005-0000-0000-0000122E0000}"/>
    <cellStyle name="Normal 5 2 3 4 5" xfId="6631" xr:uid="{00000000-0005-0000-0000-0000132E0000}"/>
    <cellStyle name="Normal 5 2 3 4 5 2" xfId="13860" xr:uid="{00000000-0005-0000-0000-0000142E0000}"/>
    <cellStyle name="Normal 5 2 3 4 6" xfId="7717" xr:uid="{00000000-0005-0000-0000-0000152E0000}"/>
    <cellStyle name="Normal 5 2 3 5" xfId="694" xr:uid="{00000000-0005-0000-0000-0000162E0000}"/>
    <cellStyle name="Normal 5 2 3 5 2" xfId="1567" xr:uid="{00000000-0005-0000-0000-0000172E0000}"/>
    <cellStyle name="Normal 5 2 3 5 2 2" xfId="3306" xr:uid="{00000000-0005-0000-0000-0000182E0000}"/>
    <cellStyle name="Normal 5 2 3 5 2 2 2" xfId="6641" xr:uid="{00000000-0005-0000-0000-0000192E0000}"/>
    <cellStyle name="Normal 5 2 3 5 2 2 2 2" xfId="13870" xr:uid="{00000000-0005-0000-0000-00001A2E0000}"/>
    <cellStyle name="Normal 5 2 3 5 2 2 3" xfId="10535" xr:uid="{00000000-0005-0000-0000-00001B2E0000}"/>
    <cellStyle name="Normal 5 2 3 5 2 3" xfId="6640" xr:uid="{00000000-0005-0000-0000-00001C2E0000}"/>
    <cellStyle name="Normal 5 2 3 5 2 3 2" xfId="13869" xr:uid="{00000000-0005-0000-0000-00001D2E0000}"/>
    <cellStyle name="Normal 5 2 3 5 2 4" xfId="8797" xr:uid="{00000000-0005-0000-0000-00001E2E0000}"/>
    <cellStyle name="Normal 5 2 3 5 3" xfId="2439" xr:uid="{00000000-0005-0000-0000-00001F2E0000}"/>
    <cellStyle name="Normal 5 2 3 5 3 2" xfId="6642" xr:uid="{00000000-0005-0000-0000-0000202E0000}"/>
    <cellStyle name="Normal 5 2 3 5 3 2 2" xfId="13871" xr:uid="{00000000-0005-0000-0000-0000212E0000}"/>
    <cellStyle name="Normal 5 2 3 5 3 3" xfId="9668" xr:uid="{00000000-0005-0000-0000-0000222E0000}"/>
    <cellStyle name="Normal 5 2 3 5 4" xfId="6639" xr:uid="{00000000-0005-0000-0000-0000232E0000}"/>
    <cellStyle name="Normal 5 2 3 5 4 2" xfId="13868" xr:uid="{00000000-0005-0000-0000-0000242E0000}"/>
    <cellStyle name="Normal 5 2 3 5 5" xfId="7930" xr:uid="{00000000-0005-0000-0000-0000252E0000}"/>
    <cellStyle name="Normal 5 2 3 6" xfId="1136" xr:uid="{00000000-0005-0000-0000-0000262E0000}"/>
    <cellStyle name="Normal 5 2 3 6 2" xfId="2875" xr:uid="{00000000-0005-0000-0000-0000272E0000}"/>
    <cellStyle name="Normal 5 2 3 6 2 2" xfId="6644" xr:uid="{00000000-0005-0000-0000-0000282E0000}"/>
    <cellStyle name="Normal 5 2 3 6 2 2 2" xfId="13873" xr:uid="{00000000-0005-0000-0000-0000292E0000}"/>
    <cellStyle name="Normal 5 2 3 6 2 3" xfId="10104" xr:uid="{00000000-0005-0000-0000-00002A2E0000}"/>
    <cellStyle name="Normal 5 2 3 6 3" xfId="6643" xr:uid="{00000000-0005-0000-0000-00002B2E0000}"/>
    <cellStyle name="Normal 5 2 3 6 3 2" xfId="13872" xr:uid="{00000000-0005-0000-0000-00002C2E0000}"/>
    <cellStyle name="Normal 5 2 3 6 4" xfId="8366" xr:uid="{00000000-0005-0000-0000-00002D2E0000}"/>
    <cellStyle name="Normal 5 2 3 7" xfId="2008" xr:uid="{00000000-0005-0000-0000-00002E2E0000}"/>
    <cellStyle name="Normal 5 2 3 7 2" xfId="6645" xr:uid="{00000000-0005-0000-0000-00002F2E0000}"/>
    <cellStyle name="Normal 5 2 3 7 2 2" xfId="13874" xr:uid="{00000000-0005-0000-0000-0000302E0000}"/>
    <cellStyle name="Normal 5 2 3 7 3" xfId="9237" xr:uid="{00000000-0005-0000-0000-0000312E0000}"/>
    <cellStyle name="Normal 5 2 3 8" xfId="6613" xr:uid="{00000000-0005-0000-0000-0000322E0000}"/>
    <cellStyle name="Normal 5 2 3 8 2" xfId="13842" xr:uid="{00000000-0005-0000-0000-0000332E0000}"/>
    <cellStyle name="Normal 5 2 3 9" xfId="7499" xr:uid="{00000000-0005-0000-0000-0000342E0000}"/>
    <cellStyle name="Normal 5 2 4" xfId="229" xr:uid="{00000000-0005-0000-0000-0000352E0000}"/>
    <cellStyle name="Normal 5 2 4 2" xfId="349" xr:uid="{00000000-0005-0000-0000-0000362E0000}"/>
    <cellStyle name="Normal 5 2 4 2 2" xfId="575" xr:uid="{00000000-0005-0000-0000-0000372E0000}"/>
    <cellStyle name="Normal 5 2 4 2 2 2" xfId="1021" xr:uid="{00000000-0005-0000-0000-0000382E0000}"/>
    <cellStyle name="Normal 5 2 4 2 2 2 2" xfId="1888" xr:uid="{00000000-0005-0000-0000-0000392E0000}"/>
    <cellStyle name="Normal 5 2 4 2 2 2 2 2" xfId="3627" xr:uid="{00000000-0005-0000-0000-00003A2E0000}"/>
    <cellStyle name="Normal 5 2 4 2 2 2 2 2 2" xfId="6651" xr:uid="{00000000-0005-0000-0000-00003B2E0000}"/>
    <cellStyle name="Normal 5 2 4 2 2 2 2 2 2 2" xfId="13880" xr:uid="{00000000-0005-0000-0000-00003C2E0000}"/>
    <cellStyle name="Normal 5 2 4 2 2 2 2 2 3" xfId="10856" xr:uid="{00000000-0005-0000-0000-00003D2E0000}"/>
    <cellStyle name="Normal 5 2 4 2 2 2 2 3" xfId="6650" xr:uid="{00000000-0005-0000-0000-00003E2E0000}"/>
    <cellStyle name="Normal 5 2 4 2 2 2 2 3 2" xfId="13879" xr:uid="{00000000-0005-0000-0000-00003F2E0000}"/>
    <cellStyle name="Normal 5 2 4 2 2 2 2 4" xfId="9118" xr:uid="{00000000-0005-0000-0000-0000402E0000}"/>
    <cellStyle name="Normal 5 2 4 2 2 2 3" xfId="2760" xr:uid="{00000000-0005-0000-0000-0000412E0000}"/>
    <cellStyle name="Normal 5 2 4 2 2 2 3 2" xfId="6652" xr:uid="{00000000-0005-0000-0000-0000422E0000}"/>
    <cellStyle name="Normal 5 2 4 2 2 2 3 2 2" xfId="13881" xr:uid="{00000000-0005-0000-0000-0000432E0000}"/>
    <cellStyle name="Normal 5 2 4 2 2 2 3 3" xfId="9989" xr:uid="{00000000-0005-0000-0000-0000442E0000}"/>
    <cellStyle name="Normal 5 2 4 2 2 2 4" xfId="6649" xr:uid="{00000000-0005-0000-0000-0000452E0000}"/>
    <cellStyle name="Normal 5 2 4 2 2 2 4 2" xfId="13878" xr:uid="{00000000-0005-0000-0000-0000462E0000}"/>
    <cellStyle name="Normal 5 2 4 2 2 2 5" xfId="8251" xr:uid="{00000000-0005-0000-0000-0000472E0000}"/>
    <cellStyle name="Normal 5 2 4 2 2 3" xfId="1457" xr:uid="{00000000-0005-0000-0000-0000482E0000}"/>
    <cellStyle name="Normal 5 2 4 2 2 3 2" xfId="3196" xr:uid="{00000000-0005-0000-0000-0000492E0000}"/>
    <cellStyle name="Normal 5 2 4 2 2 3 2 2" xfId="6654" xr:uid="{00000000-0005-0000-0000-00004A2E0000}"/>
    <cellStyle name="Normal 5 2 4 2 2 3 2 2 2" xfId="13883" xr:uid="{00000000-0005-0000-0000-00004B2E0000}"/>
    <cellStyle name="Normal 5 2 4 2 2 3 2 3" xfId="10425" xr:uid="{00000000-0005-0000-0000-00004C2E0000}"/>
    <cellStyle name="Normal 5 2 4 2 2 3 3" xfId="6653" xr:uid="{00000000-0005-0000-0000-00004D2E0000}"/>
    <cellStyle name="Normal 5 2 4 2 2 3 3 2" xfId="13882" xr:uid="{00000000-0005-0000-0000-00004E2E0000}"/>
    <cellStyle name="Normal 5 2 4 2 2 3 4" xfId="8687" xr:uid="{00000000-0005-0000-0000-00004F2E0000}"/>
    <cellStyle name="Normal 5 2 4 2 2 4" xfId="2329" xr:uid="{00000000-0005-0000-0000-0000502E0000}"/>
    <cellStyle name="Normal 5 2 4 2 2 4 2" xfId="6655" xr:uid="{00000000-0005-0000-0000-0000512E0000}"/>
    <cellStyle name="Normal 5 2 4 2 2 4 2 2" xfId="13884" xr:uid="{00000000-0005-0000-0000-0000522E0000}"/>
    <cellStyle name="Normal 5 2 4 2 2 4 3" xfId="9558" xr:uid="{00000000-0005-0000-0000-0000532E0000}"/>
    <cellStyle name="Normal 5 2 4 2 2 5" xfId="6648" xr:uid="{00000000-0005-0000-0000-0000542E0000}"/>
    <cellStyle name="Normal 5 2 4 2 2 5 2" xfId="13877" xr:uid="{00000000-0005-0000-0000-0000552E0000}"/>
    <cellStyle name="Normal 5 2 4 2 2 6" xfId="7820" xr:uid="{00000000-0005-0000-0000-0000562E0000}"/>
    <cellStyle name="Normal 5 2 4 2 3" xfId="797" xr:uid="{00000000-0005-0000-0000-0000572E0000}"/>
    <cellStyle name="Normal 5 2 4 2 3 2" xfId="1670" xr:uid="{00000000-0005-0000-0000-0000582E0000}"/>
    <cellStyle name="Normal 5 2 4 2 3 2 2" xfId="3409" xr:uid="{00000000-0005-0000-0000-0000592E0000}"/>
    <cellStyle name="Normal 5 2 4 2 3 2 2 2" xfId="6658" xr:uid="{00000000-0005-0000-0000-00005A2E0000}"/>
    <cellStyle name="Normal 5 2 4 2 3 2 2 2 2" xfId="13887" xr:uid="{00000000-0005-0000-0000-00005B2E0000}"/>
    <cellStyle name="Normal 5 2 4 2 3 2 2 3" xfId="10638" xr:uid="{00000000-0005-0000-0000-00005C2E0000}"/>
    <cellStyle name="Normal 5 2 4 2 3 2 3" xfId="6657" xr:uid="{00000000-0005-0000-0000-00005D2E0000}"/>
    <cellStyle name="Normal 5 2 4 2 3 2 3 2" xfId="13886" xr:uid="{00000000-0005-0000-0000-00005E2E0000}"/>
    <cellStyle name="Normal 5 2 4 2 3 2 4" xfId="8900" xr:uid="{00000000-0005-0000-0000-00005F2E0000}"/>
    <cellStyle name="Normal 5 2 4 2 3 3" xfId="2542" xr:uid="{00000000-0005-0000-0000-0000602E0000}"/>
    <cellStyle name="Normal 5 2 4 2 3 3 2" xfId="6659" xr:uid="{00000000-0005-0000-0000-0000612E0000}"/>
    <cellStyle name="Normal 5 2 4 2 3 3 2 2" xfId="13888" xr:uid="{00000000-0005-0000-0000-0000622E0000}"/>
    <cellStyle name="Normal 5 2 4 2 3 3 3" xfId="9771" xr:uid="{00000000-0005-0000-0000-0000632E0000}"/>
    <cellStyle name="Normal 5 2 4 2 3 4" xfId="6656" xr:uid="{00000000-0005-0000-0000-0000642E0000}"/>
    <cellStyle name="Normal 5 2 4 2 3 4 2" xfId="13885" xr:uid="{00000000-0005-0000-0000-0000652E0000}"/>
    <cellStyle name="Normal 5 2 4 2 3 5" xfId="8033" xr:uid="{00000000-0005-0000-0000-0000662E0000}"/>
    <cellStyle name="Normal 5 2 4 2 4" xfId="1239" xr:uid="{00000000-0005-0000-0000-0000672E0000}"/>
    <cellStyle name="Normal 5 2 4 2 4 2" xfId="2978" xr:uid="{00000000-0005-0000-0000-0000682E0000}"/>
    <cellStyle name="Normal 5 2 4 2 4 2 2" xfId="6661" xr:uid="{00000000-0005-0000-0000-0000692E0000}"/>
    <cellStyle name="Normal 5 2 4 2 4 2 2 2" xfId="13890" xr:uid="{00000000-0005-0000-0000-00006A2E0000}"/>
    <cellStyle name="Normal 5 2 4 2 4 2 3" xfId="10207" xr:uid="{00000000-0005-0000-0000-00006B2E0000}"/>
    <cellStyle name="Normal 5 2 4 2 4 3" xfId="6660" xr:uid="{00000000-0005-0000-0000-00006C2E0000}"/>
    <cellStyle name="Normal 5 2 4 2 4 3 2" xfId="13889" xr:uid="{00000000-0005-0000-0000-00006D2E0000}"/>
    <cellStyle name="Normal 5 2 4 2 4 4" xfId="8469" xr:uid="{00000000-0005-0000-0000-00006E2E0000}"/>
    <cellStyle name="Normal 5 2 4 2 5" xfId="2111" xr:uid="{00000000-0005-0000-0000-00006F2E0000}"/>
    <cellStyle name="Normal 5 2 4 2 5 2" xfId="6662" xr:uid="{00000000-0005-0000-0000-0000702E0000}"/>
    <cellStyle name="Normal 5 2 4 2 5 2 2" xfId="13891" xr:uid="{00000000-0005-0000-0000-0000712E0000}"/>
    <cellStyle name="Normal 5 2 4 2 5 3" xfId="9340" xr:uid="{00000000-0005-0000-0000-0000722E0000}"/>
    <cellStyle name="Normal 5 2 4 2 6" xfId="6647" xr:uid="{00000000-0005-0000-0000-0000732E0000}"/>
    <cellStyle name="Normal 5 2 4 2 6 2" xfId="13876" xr:uid="{00000000-0005-0000-0000-0000742E0000}"/>
    <cellStyle name="Normal 5 2 4 2 7" xfId="7602" xr:uid="{00000000-0005-0000-0000-0000752E0000}"/>
    <cellStyle name="Normal 5 2 4 3" xfId="473" xr:uid="{00000000-0005-0000-0000-0000762E0000}"/>
    <cellStyle name="Normal 5 2 4 3 2" xfId="919" xr:uid="{00000000-0005-0000-0000-0000772E0000}"/>
    <cellStyle name="Normal 5 2 4 3 2 2" xfId="1786" xr:uid="{00000000-0005-0000-0000-0000782E0000}"/>
    <cellStyle name="Normal 5 2 4 3 2 2 2" xfId="3525" xr:uid="{00000000-0005-0000-0000-0000792E0000}"/>
    <cellStyle name="Normal 5 2 4 3 2 2 2 2" xfId="6666" xr:uid="{00000000-0005-0000-0000-00007A2E0000}"/>
    <cellStyle name="Normal 5 2 4 3 2 2 2 2 2" xfId="13895" xr:uid="{00000000-0005-0000-0000-00007B2E0000}"/>
    <cellStyle name="Normal 5 2 4 3 2 2 2 3" xfId="10754" xr:uid="{00000000-0005-0000-0000-00007C2E0000}"/>
    <cellStyle name="Normal 5 2 4 3 2 2 3" xfId="6665" xr:uid="{00000000-0005-0000-0000-00007D2E0000}"/>
    <cellStyle name="Normal 5 2 4 3 2 2 3 2" xfId="13894" xr:uid="{00000000-0005-0000-0000-00007E2E0000}"/>
    <cellStyle name="Normal 5 2 4 3 2 2 4" xfId="9016" xr:uid="{00000000-0005-0000-0000-00007F2E0000}"/>
    <cellStyle name="Normal 5 2 4 3 2 3" xfId="2658" xr:uid="{00000000-0005-0000-0000-0000802E0000}"/>
    <cellStyle name="Normal 5 2 4 3 2 3 2" xfId="6667" xr:uid="{00000000-0005-0000-0000-0000812E0000}"/>
    <cellStyle name="Normal 5 2 4 3 2 3 2 2" xfId="13896" xr:uid="{00000000-0005-0000-0000-0000822E0000}"/>
    <cellStyle name="Normal 5 2 4 3 2 3 3" xfId="9887" xr:uid="{00000000-0005-0000-0000-0000832E0000}"/>
    <cellStyle name="Normal 5 2 4 3 2 4" xfId="6664" xr:uid="{00000000-0005-0000-0000-0000842E0000}"/>
    <cellStyle name="Normal 5 2 4 3 2 4 2" xfId="13893" xr:uid="{00000000-0005-0000-0000-0000852E0000}"/>
    <cellStyle name="Normal 5 2 4 3 2 5" xfId="8149" xr:uid="{00000000-0005-0000-0000-0000862E0000}"/>
    <cellStyle name="Normal 5 2 4 3 3" xfId="1355" xr:uid="{00000000-0005-0000-0000-0000872E0000}"/>
    <cellStyle name="Normal 5 2 4 3 3 2" xfId="3094" xr:uid="{00000000-0005-0000-0000-0000882E0000}"/>
    <cellStyle name="Normal 5 2 4 3 3 2 2" xfId="6669" xr:uid="{00000000-0005-0000-0000-0000892E0000}"/>
    <cellStyle name="Normal 5 2 4 3 3 2 2 2" xfId="13898" xr:uid="{00000000-0005-0000-0000-00008A2E0000}"/>
    <cellStyle name="Normal 5 2 4 3 3 2 3" xfId="10323" xr:uid="{00000000-0005-0000-0000-00008B2E0000}"/>
    <cellStyle name="Normal 5 2 4 3 3 3" xfId="6668" xr:uid="{00000000-0005-0000-0000-00008C2E0000}"/>
    <cellStyle name="Normal 5 2 4 3 3 3 2" xfId="13897" xr:uid="{00000000-0005-0000-0000-00008D2E0000}"/>
    <cellStyle name="Normal 5 2 4 3 3 4" xfId="8585" xr:uid="{00000000-0005-0000-0000-00008E2E0000}"/>
    <cellStyle name="Normal 5 2 4 3 4" xfId="2227" xr:uid="{00000000-0005-0000-0000-00008F2E0000}"/>
    <cellStyle name="Normal 5 2 4 3 4 2" xfId="6670" xr:uid="{00000000-0005-0000-0000-0000902E0000}"/>
    <cellStyle name="Normal 5 2 4 3 4 2 2" xfId="13899" xr:uid="{00000000-0005-0000-0000-0000912E0000}"/>
    <cellStyle name="Normal 5 2 4 3 4 3" xfId="9456" xr:uid="{00000000-0005-0000-0000-0000922E0000}"/>
    <cellStyle name="Normal 5 2 4 3 5" xfId="6663" xr:uid="{00000000-0005-0000-0000-0000932E0000}"/>
    <cellStyle name="Normal 5 2 4 3 5 2" xfId="13892" xr:uid="{00000000-0005-0000-0000-0000942E0000}"/>
    <cellStyle name="Normal 5 2 4 3 6" xfId="7718" xr:uid="{00000000-0005-0000-0000-0000952E0000}"/>
    <cellStyle name="Normal 5 2 4 4" xfId="695" xr:uid="{00000000-0005-0000-0000-0000962E0000}"/>
    <cellStyle name="Normal 5 2 4 4 2" xfId="1568" xr:uid="{00000000-0005-0000-0000-0000972E0000}"/>
    <cellStyle name="Normal 5 2 4 4 2 2" xfId="3307" xr:uid="{00000000-0005-0000-0000-0000982E0000}"/>
    <cellStyle name="Normal 5 2 4 4 2 2 2" xfId="6673" xr:uid="{00000000-0005-0000-0000-0000992E0000}"/>
    <cellStyle name="Normal 5 2 4 4 2 2 2 2" xfId="13902" xr:uid="{00000000-0005-0000-0000-00009A2E0000}"/>
    <cellStyle name="Normal 5 2 4 4 2 2 3" xfId="10536" xr:uid="{00000000-0005-0000-0000-00009B2E0000}"/>
    <cellStyle name="Normal 5 2 4 4 2 3" xfId="6672" xr:uid="{00000000-0005-0000-0000-00009C2E0000}"/>
    <cellStyle name="Normal 5 2 4 4 2 3 2" xfId="13901" xr:uid="{00000000-0005-0000-0000-00009D2E0000}"/>
    <cellStyle name="Normal 5 2 4 4 2 4" xfId="8798" xr:uid="{00000000-0005-0000-0000-00009E2E0000}"/>
    <cellStyle name="Normal 5 2 4 4 3" xfId="2440" xr:uid="{00000000-0005-0000-0000-00009F2E0000}"/>
    <cellStyle name="Normal 5 2 4 4 3 2" xfId="6674" xr:uid="{00000000-0005-0000-0000-0000A02E0000}"/>
    <cellStyle name="Normal 5 2 4 4 3 2 2" xfId="13903" xr:uid="{00000000-0005-0000-0000-0000A12E0000}"/>
    <cellStyle name="Normal 5 2 4 4 3 3" xfId="9669" xr:uid="{00000000-0005-0000-0000-0000A22E0000}"/>
    <cellStyle name="Normal 5 2 4 4 4" xfId="6671" xr:uid="{00000000-0005-0000-0000-0000A32E0000}"/>
    <cellStyle name="Normal 5 2 4 4 4 2" xfId="13900" xr:uid="{00000000-0005-0000-0000-0000A42E0000}"/>
    <cellStyle name="Normal 5 2 4 4 5" xfId="7931" xr:uid="{00000000-0005-0000-0000-0000A52E0000}"/>
    <cellStyle name="Normal 5 2 4 5" xfId="1137" xr:uid="{00000000-0005-0000-0000-0000A62E0000}"/>
    <cellStyle name="Normal 5 2 4 5 2" xfId="2876" xr:uid="{00000000-0005-0000-0000-0000A72E0000}"/>
    <cellStyle name="Normal 5 2 4 5 2 2" xfId="6676" xr:uid="{00000000-0005-0000-0000-0000A82E0000}"/>
    <cellStyle name="Normal 5 2 4 5 2 2 2" xfId="13905" xr:uid="{00000000-0005-0000-0000-0000A92E0000}"/>
    <cellStyle name="Normal 5 2 4 5 2 3" xfId="10105" xr:uid="{00000000-0005-0000-0000-0000AA2E0000}"/>
    <cellStyle name="Normal 5 2 4 5 3" xfId="6675" xr:uid="{00000000-0005-0000-0000-0000AB2E0000}"/>
    <cellStyle name="Normal 5 2 4 5 3 2" xfId="13904" xr:uid="{00000000-0005-0000-0000-0000AC2E0000}"/>
    <cellStyle name="Normal 5 2 4 5 4" xfId="8367" xr:uid="{00000000-0005-0000-0000-0000AD2E0000}"/>
    <cellStyle name="Normal 5 2 4 6" xfId="2009" xr:uid="{00000000-0005-0000-0000-0000AE2E0000}"/>
    <cellStyle name="Normal 5 2 4 6 2" xfId="6677" xr:uid="{00000000-0005-0000-0000-0000AF2E0000}"/>
    <cellStyle name="Normal 5 2 4 6 2 2" xfId="13906" xr:uid="{00000000-0005-0000-0000-0000B02E0000}"/>
    <cellStyle name="Normal 5 2 4 6 3" xfId="9238" xr:uid="{00000000-0005-0000-0000-0000B12E0000}"/>
    <cellStyle name="Normal 5 2 4 7" xfId="6646" xr:uid="{00000000-0005-0000-0000-0000B22E0000}"/>
    <cellStyle name="Normal 5 2 4 7 2" xfId="13875" xr:uid="{00000000-0005-0000-0000-0000B32E0000}"/>
    <cellStyle name="Normal 5 2 4 8" xfId="7500" xr:uid="{00000000-0005-0000-0000-0000B42E0000}"/>
    <cellStyle name="Normal 5 2 5" xfId="289" xr:uid="{00000000-0005-0000-0000-0000B52E0000}"/>
    <cellStyle name="Normal 5 2 5 2" xfId="515" xr:uid="{00000000-0005-0000-0000-0000B62E0000}"/>
    <cellStyle name="Normal 5 2 5 2 2" xfId="961" xr:uid="{00000000-0005-0000-0000-0000B72E0000}"/>
    <cellStyle name="Normal 5 2 5 2 2 2" xfId="1828" xr:uid="{00000000-0005-0000-0000-0000B82E0000}"/>
    <cellStyle name="Normal 5 2 5 2 2 2 2" xfId="3567" xr:uid="{00000000-0005-0000-0000-0000B92E0000}"/>
    <cellStyle name="Normal 5 2 5 2 2 2 2 2" xfId="6682" xr:uid="{00000000-0005-0000-0000-0000BA2E0000}"/>
    <cellStyle name="Normal 5 2 5 2 2 2 2 2 2" xfId="13911" xr:uid="{00000000-0005-0000-0000-0000BB2E0000}"/>
    <cellStyle name="Normal 5 2 5 2 2 2 2 3" xfId="10796" xr:uid="{00000000-0005-0000-0000-0000BC2E0000}"/>
    <cellStyle name="Normal 5 2 5 2 2 2 3" xfId="6681" xr:uid="{00000000-0005-0000-0000-0000BD2E0000}"/>
    <cellStyle name="Normal 5 2 5 2 2 2 3 2" xfId="13910" xr:uid="{00000000-0005-0000-0000-0000BE2E0000}"/>
    <cellStyle name="Normal 5 2 5 2 2 2 4" xfId="9058" xr:uid="{00000000-0005-0000-0000-0000BF2E0000}"/>
    <cellStyle name="Normal 5 2 5 2 2 3" xfId="2700" xr:uid="{00000000-0005-0000-0000-0000C02E0000}"/>
    <cellStyle name="Normal 5 2 5 2 2 3 2" xfId="6683" xr:uid="{00000000-0005-0000-0000-0000C12E0000}"/>
    <cellStyle name="Normal 5 2 5 2 2 3 2 2" xfId="13912" xr:uid="{00000000-0005-0000-0000-0000C22E0000}"/>
    <cellStyle name="Normal 5 2 5 2 2 3 3" xfId="9929" xr:uid="{00000000-0005-0000-0000-0000C32E0000}"/>
    <cellStyle name="Normal 5 2 5 2 2 4" xfId="6680" xr:uid="{00000000-0005-0000-0000-0000C42E0000}"/>
    <cellStyle name="Normal 5 2 5 2 2 4 2" xfId="13909" xr:uid="{00000000-0005-0000-0000-0000C52E0000}"/>
    <cellStyle name="Normal 5 2 5 2 2 5" xfId="8191" xr:uid="{00000000-0005-0000-0000-0000C62E0000}"/>
    <cellStyle name="Normal 5 2 5 2 3" xfId="1397" xr:uid="{00000000-0005-0000-0000-0000C72E0000}"/>
    <cellStyle name="Normal 5 2 5 2 3 2" xfId="3136" xr:uid="{00000000-0005-0000-0000-0000C82E0000}"/>
    <cellStyle name="Normal 5 2 5 2 3 2 2" xfId="6685" xr:uid="{00000000-0005-0000-0000-0000C92E0000}"/>
    <cellStyle name="Normal 5 2 5 2 3 2 2 2" xfId="13914" xr:uid="{00000000-0005-0000-0000-0000CA2E0000}"/>
    <cellStyle name="Normal 5 2 5 2 3 2 3" xfId="10365" xr:uid="{00000000-0005-0000-0000-0000CB2E0000}"/>
    <cellStyle name="Normal 5 2 5 2 3 3" xfId="6684" xr:uid="{00000000-0005-0000-0000-0000CC2E0000}"/>
    <cellStyle name="Normal 5 2 5 2 3 3 2" xfId="13913" xr:uid="{00000000-0005-0000-0000-0000CD2E0000}"/>
    <cellStyle name="Normal 5 2 5 2 3 4" xfId="8627" xr:uid="{00000000-0005-0000-0000-0000CE2E0000}"/>
    <cellStyle name="Normal 5 2 5 2 4" xfId="2269" xr:uid="{00000000-0005-0000-0000-0000CF2E0000}"/>
    <cellStyle name="Normal 5 2 5 2 4 2" xfId="6686" xr:uid="{00000000-0005-0000-0000-0000D02E0000}"/>
    <cellStyle name="Normal 5 2 5 2 4 2 2" xfId="13915" xr:uid="{00000000-0005-0000-0000-0000D12E0000}"/>
    <cellStyle name="Normal 5 2 5 2 4 3" xfId="9498" xr:uid="{00000000-0005-0000-0000-0000D22E0000}"/>
    <cellStyle name="Normal 5 2 5 2 5" xfId="6679" xr:uid="{00000000-0005-0000-0000-0000D32E0000}"/>
    <cellStyle name="Normal 5 2 5 2 5 2" xfId="13908" xr:uid="{00000000-0005-0000-0000-0000D42E0000}"/>
    <cellStyle name="Normal 5 2 5 2 6" xfId="7760" xr:uid="{00000000-0005-0000-0000-0000D52E0000}"/>
    <cellStyle name="Normal 5 2 5 3" xfId="737" xr:uid="{00000000-0005-0000-0000-0000D62E0000}"/>
    <cellStyle name="Normal 5 2 5 3 2" xfId="1610" xr:uid="{00000000-0005-0000-0000-0000D72E0000}"/>
    <cellStyle name="Normal 5 2 5 3 2 2" xfId="3349" xr:uid="{00000000-0005-0000-0000-0000D82E0000}"/>
    <cellStyle name="Normal 5 2 5 3 2 2 2" xfId="6689" xr:uid="{00000000-0005-0000-0000-0000D92E0000}"/>
    <cellStyle name="Normal 5 2 5 3 2 2 2 2" xfId="13918" xr:uid="{00000000-0005-0000-0000-0000DA2E0000}"/>
    <cellStyle name="Normal 5 2 5 3 2 2 3" xfId="10578" xr:uid="{00000000-0005-0000-0000-0000DB2E0000}"/>
    <cellStyle name="Normal 5 2 5 3 2 3" xfId="6688" xr:uid="{00000000-0005-0000-0000-0000DC2E0000}"/>
    <cellStyle name="Normal 5 2 5 3 2 3 2" xfId="13917" xr:uid="{00000000-0005-0000-0000-0000DD2E0000}"/>
    <cellStyle name="Normal 5 2 5 3 2 4" xfId="8840" xr:uid="{00000000-0005-0000-0000-0000DE2E0000}"/>
    <cellStyle name="Normal 5 2 5 3 3" xfId="2482" xr:uid="{00000000-0005-0000-0000-0000DF2E0000}"/>
    <cellStyle name="Normal 5 2 5 3 3 2" xfId="6690" xr:uid="{00000000-0005-0000-0000-0000E02E0000}"/>
    <cellStyle name="Normal 5 2 5 3 3 2 2" xfId="13919" xr:uid="{00000000-0005-0000-0000-0000E12E0000}"/>
    <cellStyle name="Normal 5 2 5 3 3 3" xfId="9711" xr:uid="{00000000-0005-0000-0000-0000E22E0000}"/>
    <cellStyle name="Normal 5 2 5 3 4" xfId="6687" xr:uid="{00000000-0005-0000-0000-0000E32E0000}"/>
    <cellStyle name="Normal 5 2 5 3 4 2" xfId="13916" xr:uid="{00000000-0005-0000-0000-0000E42E0000}"/>
    <cellStyle name="Normal 5 2 5 3 5" xfId="7973" xr:uid="{00000000-0005-0000-0000-0000E52E0000}"/>
    <cellStyle name="Normal 5 2 5 4" xfId="1179" xr:uid="{00000000-0005-0000-0000-0000E62E0000}"/>
    <cellStyle name="Normal 5 2 5 4 2" xfId="2918" xr:uid="{00000000-0005-0000-0000-0000E72E0000}"/>
    <cellStyle name="Normal 5 2 5 4 2 2" xfId="6692" xr:uid="{00000000-0005-0000-0000-0000E82E0000}"/>
    <cellStyle name="Normal 5 2 5 4 2 2 2" xfId="13921" xr:uid="{00000000-0005-0000-0000-0000E92E0000}"/>
    <cellStyle name="Normal 5 2 5 4 2 3" xfId="10147" xr:uid="{00000000-0005-0000-0000-0000EA2E0000}"/>
    <cellStyle name="Normal 5 2 5 4 3" xfId="6691" xr:uid="{00000000-0005-0000-0000-0000EB2E0000}"/>
    <cellStyle name="Normal 5 2 5 4 3 2" xfId="13920" xr:uid="{00000000-0005-0000-0000-0000EC2E0000}"/>
    <cellStyle name="Normal 5 2 5 4 4" xfId="8409" xr:uid="{00000000-0005-0000-0000-0000ED2E0000}"/>
    <cellStyle name="Normal 5 2 5 5" xfId="2051" xr:uid="{00000000-0005-0000-0000-0000EE2E0000}"/>
    <cellStyle name="Normal 5 2 5 5 2" xfId="6693" xr:uid="{00000000-0005-0000-0000-0000EF2E0000}"/>
    <cellStyle name="Normal 5 2 5 5 2 2" xfId="13922" xr:uid="{00000000-0005-0000-0000-0000F02E0000}"/>
    <cellStyle name="Normal 5 2 5 5 3" xfId="9280" xr:uid="{00000000-0005-0000-0000-0000F12E0000}"/>
    <cellStyle name="Normal 5 2 5 6" xfId="6678" xr:uid="{00000000-0005-0000-0000-0000F22E0000}"/>
    <cellStyle name="Normal 5 2 5 6 2" xfId="13907" xr:uid="{00000000-0005-0000-0000-0000F32E0000}"/>
    <cellStyle name="Normal 5 2 5 7" xfId="7542" xr:uid="{00000000-0005-0000-0000-0000F42E0000}"/>
    <cellStyle name="Normal 5 2 6" xfId="413" xr:uid="{00000000-0005-0000-0000-0000F52E0000}"/>
    <cellStyle name="Normal 5 2 6 2" xfId="859" xr:uid="{00000000-0005-0000-0000-0000F62E0000}"/>
    <cellStyle name="Normal 5 2 6 2 2" xfId="1726" xr:uid="{00000000-0005-0000-0000-0000F72E0000}"/>
    <cellStyle name="Normal 5 2 6 2 2 2" xfId="3465" xr:uid="{00000000-0005-0000-0000-0000F82E0000}"/>
    <cellStyle name="Normal 5 2 6 2 2 2 2" xfId="6697" xr:uid="{00000000-0005-0000-0000-0000F92E0000}"/>
    <cellStyle name="Normal 5 2 6 2 2 2 2 2" xfId="13926" xr:uid="{00000000-0005-0000-0000-0000FA2E0000}"/>
    <cellStyle name="Normal 5 2 6 2 2 2 3" xfId="10694" xr:uid="{00000000-0005-0000-0000-0000FB2E0000}"/>
    <cellStyle name="Normal 5 2 6 2 2 3" xfId="6696" xr:uid="{00000000-0005-0000-0000-0000FC2E0000}"/>
    <cellStyle name="Normal 5 2 6 2 2 3 2" xfId="13925" xr:uid="{00000000-0005-0000-0000-0000FD2E0000}"/>
    <cellStyle name="Normal 5 2 6 2 2 4" xfId="8956" xr:uid="{00000000-0005-0000-0000-0000FE2E0000}"/>
    <cellStyle name="Normal 5 2 6 2 3" xfId="2598" xr:uid="{00000000-0005-0000-0000-0000FF2E0000}"/>
    <cellStyle name="Normal 5 2 6 2 3 2" xfId="6698" xr:uid="{00000000-0005-0000-0000-0000002F0000}"/>
    <cellStyle name="Normal 5 2 6 2 3 2 2" xfId="13927" xr:uid="{00000000-0005-0000-0000-0000012F0000}"/>
    <cellStyle name="Normal 5 2 6 2 3 3" xfId="9827" xr:uid="{00000000-0005-0000-0000-0000022F0000}"/>
    <cellStyle name="Normal 5 2 6 2 4" xfId="6695" xr:uid="{00000000-0005-0000-0000-0000032F0000}"/>
    <cellStyle name="Normal 5 2 6 2 4 2" xfId="13924" xr:uid="{00000000-0005-0000-0000-0000042F0000}"/>
    <cellStyle name="Normal 5 2 6 2 5" xfId="8089" xr:uid="{00000000-0005-0000-0000-0000052F0000}"/>
    <cellStyle name="Normal 5 2 6 3" xfId="1295" xr:uid="{00000000-0005-0000-0000-0000062F0000}"/>
    <cellStyle name="Normal 5 2 6 3 2" xfId="3034" xr:uid="{00000000-0005-0000-0000-0000072F0000}"/>
    <cellStyle name="Normal 5 2 6 3 2 2" xfId="6700" xr:uid="{00000000-0005-0000-0000-0000082F0000}"/>
    <cellStyle name="Normal 5 2 6 3 2 2 2" xfId="13929" xr:uid="{00000000-0005-0000-0000-0000092F0000}"/>
    <cellStyle name="Normal 5 2 6 3 2 3" xfId="10263" xr:uid="{00000000-0005-0000-0000-00000A2F0000}"/>
    <cellStyle name="Normal 5 2 6 3 3" xfId="6699" xr:uid="{00000000-0005-0000-0000-00000B2F0000}"/>
    <cellStyle name="Normal 5 2 6 3 3 2" xfId="13928" xr:uid="{00000000-0005-0000-0000-00000C2F0000}"/>
    <cellStyle name="Normal 5 2 6 3 4" xfId="8525" xr:uid="{00000000-0005-0000-0000-00000D2F0000}"/>
    <cellStyle name="Normal 5 2 6 4" xfId="2167" xr:uid="{00000000-0005-0000-0000-00000E2F0000}"/>
    <cellStyle name="Normal 5 2 6 4 2" xfId="6701" xr:uid="{00000000-0005-0000-0000-00000F2F0000}"/>
    <cellStyle name="Normal 5 2 6 4 2 2" xfId="13930" xr:uid="{00000000-0005-0000-0000-0000102F0000}"/>
    <cellStyle name="Normal 5 2 6 4 3" xfId="9396" xr:uid="{00000000-0005-0000-0000-0000112F0000}"/>
    <cellStyle name="Normal 5 2 6 5" xfId="6694" xr:uid="{00000000-0005-0000-0000-0000122F0000}"/>
    <cellStyle name="Normal 5 2 6 5 2" xfId="13923" xr:uid="{00000000-0005-0000-0000-0000132F0000}"/>
    <cellStyle name="Normal 5 2 6 6" xfId="7658" xr:uid="{00000000-0005-0000-0000-0000142F0000}"/>
    <cellStyle name="Normal 5 2 7" xfId="632" xr:uid="{00000000-0005-0000-0000-0000152F0000}"/>
    <cellStyle name="Normal 5 2 7 2" xfId="1508" xr:uid="{00000000-0005-0000-0000-0000162F0000}"/>
    <cellStyle name="Normal 5 2 7 2 2" xfId="3247" xr:uid="{00000000-0005-0000-0000-0000172F0000}"/>
    <cellStyle name="Normal 5 2 7 2 2 2" xfId="6704" xr:uid="{00000000-0005-0000-0000-0000182F0000}"/>
    <cellStyle name="Normal 5 2 7 2 2 2 2" xfId="13933" xr:uid="{00000000-0005-0000-0000-0000192F0000}"/>
    <cellStyle name="Normal 5 2 7 2 2 3" xfId="10476" xr:uid="{00000000-0005-0000-0000-00001A2F0000}"/>
    <cellStyle name="Normal 5 2 7 2 3" xfId="6703" xr:uid="{00000000-0005-0000-0000-00001B2F0000}"/>
    <cellStyle name="Normal 5 2 7 2 3 2" xfId="13932" xr:uid="{00000000-0005-0000-0000-00001C2F0000}"/>
    <cellStyle name="Normal 5 2 7 2 4" xfId="8738" xr:uid="{00000000-0005-0000-0000-00001D2F0000}"/>
    <cellStyle name="Normal 5 2 7 3" xfId="2380" xr:uid="{00000000-0005-0000-0000-00001E2F0000}"/>
    <cellStyle name="Normal 5 2 7 3 2" xfId="6705" xr:uid="{00000000-0005-0000-0000-00001F2F0000}"/>
    <cellStyle name="Normal 5 2 7 3 2 2" xfId="13934" xr:uid="{00000000-0005-0000-0000-0000202F0000}"/>
    <cellStyle name="Normal 5 2 7 3 3" xfId="9609" xr:uid="{00000000-0005-0000-0000-0000212F0000}"/>
    <cellStyle name="Normal 5 2 7 4" xfId="6702" xr:uid="{00000000-0005-0000-0000-0000222F0000}"/>
    <cellStyle name="Normal 5 2 7 4 2" xfId="13931" xr:uid="{00000000-0005-0000-0000-0000232F0000}"/>
    <cellStyle name="Normal 5 2 7 5" xfId="7871" xr:uid="{00000000-0005-0000-0000-0000242F0000}"/>
    <cellStyle name="Normal 5 2 8" xfId="1077" xr:uid="{00000000-0005-0000-0000-0000252F0000}"/>
    <cellStyle name="Normal 5 2 8 2" xfId="2816" xr:uid="{00000000-0005-0000-0000-0000262F0000}"/>
    <cellStyle name="Normal 5 2 8 2 2" xfId="6707" xr:uid="{00000000-0005-0000-0000-0000272F0000}"/>
    <cellStyle name="Normal 5 2 8 2 2 2" xfId="13936" xr:uid="{00000000-0005-0000-0000-0000282F0000}"/>
    <cellStyle name="Normal 5 2 8 2 3" xfId="10045" xr:uid="{00000000-0005-0000-0000-0000292F0000}"/>
    <cellStyle name="Normal 5 2 8 3" xfId="6706" xr:uid="{00000000-0005-0000-0000-00002A2F0000}"/>
    <cellStyle name="Normal 5 2 8 3 2" xfId="13935" xr:uid="{00000000-0005-0000-0000-00002B2F0000}"/>
    <cellStyle name="Normal 5 2 8 4" xfId="8307" xr:uid="{00000000-0005-0000-0000-00002C2F0000}"/>
    <cellStyle name="Normal 5 2 9" xfId="1949" xr:uid="{00000000-0005-0000-0000-00002D2F0000}"/>
    <cellStyle name="Normal 5 2 9 2" xfId="6708" xr:uid="{00000000-0005-0000-0000-00002E2F0000}"/>
    <cellStyle name="Normal 5 2 9 2 2" xfId="13937" xr:uid="{00000000-0005-0000-0000-00002F2F0000}"/>
    <cellStyle name="Normal 5 2 9 3" xfId="9178" xr:uid="{00000000-0005-0000-0000-0000302F0000}"/>
    <cellStyle name="Normal 5 3" xfId="36" xr:uid="{00000000-0005-0000-0000-0000312F0000}"/>
    <cellStyle name="Normal 5 3 2" xfId="98" xr:uid="{00000000-0005-0000-0000-0000322F0000}"/>
    <cellStyle name="Normal 5 3 2 2" xfId="305" xr:uid="{00000000-0005-0000-0000-0000332F0000}"/>
    <cellStyle name="Normal 5 3 2 2 2" xfId="531" xr:uid="{00000000-0005-0000-0000-0000342F0000}"/>
    <cellStyle name="Normal 5 3 2 2 2 2" xfId="977" xr:uid="{00000000-0005-0000-0000-0000352F0000}"/>
    <cellStyle name="Normal 5 3 2 2 2 2 2" xfId="1844" xr:uid="{00000000-0005-0000-0000-0000362F0000}"/>
    <cellStyle name="Normal 5 3 2 2 2 2 2 2" xfId="3583" xr:uid="{00000000-0005-0000-0000-0000372F0000}"/>
    <cellStyle name="Normal 5 3 2 2 2 2 2 2 2" xfId="6715" xr:uid="{00000000-0005-0000-0000-0000382F0000}"/>
    <cellStyle name="Normal 5 3 2 2 2 2 2 2 2 2" xfId="13944" xr:uid="{00000000-0005-0000-0000-0000392F0000}"/>
    <cellStyle name="Normal 5 3 2 2 2 2 2 2 3" xfId="10812" xr:uid="{00000000-0005-0000-0000-00003A2F0000}"/>
    <cellStyle name="Normal 5 3 2 2 2 2 2 3" xfId="6714" xr:uid="{00000000-0005-0000-0000-00003B2F0000}"/>
    <cellStyle name="Normal 5 3 2 2 2 2 2 3 2" xfId="13943" xr:uid="{00000000-0005-0000-0000-00003C2F0000}"/>
    <cellStyle name="Normal 5 3 2 2 2 2 2 4" xfId="9074" xr:uid="{00000000-0005-0000-0000-00003D2F0000}"/>
    <cellStyle name="Normal 5 3 2 2 2 2 3" xfId="2716" xr:uid="{00000000-0005-0000-0000-00003E2F0000}"/>
    <cellStyle name="Normal 5 3 2 2 2 2 3 2" xfId="6716" xr:uid="{00000000-0005-0000-0000-00003F2F0000}"/>
    <cellStyle name="Normal 5 3 2 2 2 2 3 2 2" xfId="13945" xr:uid="{00000000-0005-0000-0000-0000402F0000}"/>
    <cellStyle name="Normal 5 3 2 2 2 2 3 3" xfId="9945" xr:uid="{00000000-0005-0000-0000-0000412F0000}"/>
    <cellStyle name="Normal 5 3 2 2 2 2 4" xfId="6713" xr:uid="{00000000-0005-0000-0000-0000422F0000}"/>
    <cellStyle name="Normal 5 3 2 2 2 2 4 2" xfId="13942" xr:uid="{00000000-0005-0000-0000-0000432F0000}"/>
    <cellStyle name="Normal 5 3 2 2 2 2 5" xfId="8207" xr:uid="{00000000-0005-0000-0000-0000442F0000}"/>
    <cellStyle name="Normal 5 3 2 2 2 3" xfId="1413" xr:uid="{00000000-0005-0000-0000-0000452F0000}"/>
    <cellStyle name="Normal 5 3 2 2 2 3 2" xfId="3152" xr:uid="{00000000-0005-0000-0000-0000462F0000}"/>
    <cellStyle name="Normal 5 3 2 2 2 3 2 2" xfId="6718" xr:uid="{00000000-0005-0000-0000-0000472F0000}"/>
    <cellStyle name="Normal 5 3 2 2 2 3 2 2 2" xfId="13947" xr:uid="{00000000-0005-0000-0000-0000482F0000}"/>
    <cellStyle name="Normal 5 3 2 2 2 3 2 3" xfId="10381" xr:uid="{00000000-0005-0000-0000-0000492F0000}"/>
    <cellStyle name="Normal 5 3 2 2 2 3 3" xfId="6717" xr:uid="{00000000-0005-0000-0000-00004A2F0000}"/>
    <cellStyle name="Normal 5 3 2 2 2 3 3 2" xfId="13946" xr:uid="{00000000-0005-0000-0000-00004B2F0000}"/>
    <cellStyle name="Normal 5 3 2 2 2 3 4" xfId="8643" xr:uid="{00000000-0005-0000-0000-00004C2F0000}"/>
    <cellStyle name="Normal 5 3 2 2 2 4" xfId="2285" xr:uid="{00000000-0005-0000-0000-00004D2F0000}"/>
    <cellStyle name="Normal 5 3 2 2 2 4 2" xfId="6719" xr:uid="{00000000-0005-0000-0000-00004E2F0000}"/>
    <cellStyle name="Normal 5 3 2 2 2 4 2 2" xfId="13948" xr:uid="{00000000-0005-0000-0000-00004F2F0000}"/>
    <cellStyle name="Normal 5 3 2 2 2 4 3" xfId="9514" xr:uid="{00000000-0005-0000-0000-0000502F0000}"/>
    <cellStyle name="Normal 5 3 2 2 2 5" xfId="6712" xr:uid="{00000000-0005-0000-0000-0000512F0000}"/>
    <cellStyle name="Normal 5 3 2 2 2 5 2" xfId="13941" xr:uid="{00000000-0005-0000-0000-0000522F0000}"/>
    <cellStyle name="Normal 5 3 2 2 2 6" xfId="7776" xr:uid="{00000000-0005-0000-0000-0000532F0000}"/>
    <cellStyle name="Normal 5 3 2 2 3" xfId="753" xr:uid="{00000000-0005-0000-0000-0000542F0000}"/>
    <cellStyle name="Normal 5 3 2 2 3 2" xfId="1626" xr:uid="{00000000-0005-0000-0000-0000552F0000}"/>
    <cellStyle name="Normal 5 3 2 2 3 2 2" xfId="3365" xr:uid="{00000000-0005-0000-0000-0000562F0000}"/>
    <cellStyle name="Normal 5 3 2 2 3 2 2 2" xfId="6722" xr:uid="{00000000-0005-0000-0000-0000572F0000}"/>
    <cellStyle name="Normal 5 3 2 2 3 2 2 2 2" xfId="13951" xr:uid="{00000000-0005-0000-0000-0000582F0000}"/>
    <cellStyle name="Normal 5 3 2 2 3 2 2 3" xfId="10594" xr:uid="{00000000-0005-0000-0000-0000592F0000}"/>
    <cellStyle name="Normal 5 3 2 2 3 2 3" xfId="6721" xr:uid="{00000000-0005-0000-0000-00005A2F0000}"/>
    <cellStyle name="Normal 5 3 2 2 3 2 3 2" xfId="13950" xr:uid="{00000000-0005-0000-0000-00005B2F0000}"/>
    <cellStyle name="Normal 5 3 2 2 3 2 4" xfId="8856" xr:uid="{00000000-0005-0000-0000-00005C2F0000}"/>
    <cellStyle name="Normal 5 3 2 2 3 3" xfId="2498" xr:uid="{00000000-0005-0000-0000-00005D2F0000}"/>
    <cellStyle name="Normal 5 3 2 2 3 3 2" xfId="6723" xr:uid="{00000000-0005-0000-0000-00005E2F0000}"/>
    <cellStyle name="Normal 5 3 2 2 3 3 2 2" xfId="13952" xr:uid="{00000000-0005-0000-0000-00005F2F0000}"/>
    <cellStyle name="Normal 5 3 2 2 3 3 3" xfId="9727" xr:uid="{00000000-0005-0000-0000-0000602F0000}"/>
    <cellStyle name="Normal 5 3 2 2 3 4" xfId="6720" xr:uid="{00000000-0005-0000-0000-0000612F0000}"/>
    <cellStyle name="Normal 5 3 2 2 3 4 2" xfId="13949" xr:uid="{00000000-0005-0000-0000-0000622F0000}"/>
    <cellStyle name="Normal 5 3 2 2 3 5" xfId="7989" xr:uid="{00000000-0005-0000-0000-0000632F0000}"/>
    <cellStyle name="Normal 5 3 2 2 4" xfId="1195" xr:uid="{00000000-0005-0000-0000-0000642F0000}"/>
    <cellStyle name="Normal 5 3 2 2 4 2" xfId="2934" xr:uid="{00000000-0005-0000-0000-0000652F0000}"/>
    <cellStyle name="Normal 5 3 2 2 4 2 2" xfId="6725" xr:uid="{00000000-0005-0000-0000-0000662F0000}"/>
    <cellStyle name="Normal 5 3 2 2 4 2 2 2" xfId="13954" xr:uid="{00000000-0005-0000-0000-0000672F0000}"/>
    <cellStyle name="Normal 5 3 2 2 4 2 3" xfId="10163" xr:uid="{00000000-0005-0000-0000-0000682F0000}"/>
    <cellStyle name="Normal 5 3 2 2 4 3" xfId="6724" xr:uid="{00000000-0005-0000-0000-0000692F0000}"/>
    <cellStyle name="Normal 5 3 2 2 4 3 2" xfId="13953" xr:uid="{00000000-0005-0000-0000-00006A2F0000}"/>
    <cellStyle name="Normal 5 3 2 2 4 4" xfId="8425" xr:uid="{00000000-0005-0000-0000-00006B2F0000}"/>
    <cellStyle name="Normal 5 3 2 2 5" xfId="2067" xr:uid="{00000000-0005-0000-0000-00006C2F0000}"/>
    <cellStyle name="Normal 5 3 2 2 5 2" xfId="6726" xr:uid="{00000000-0005-0000-0000-00006D2F0000}"/>
    <cellStyle name="Normal 5 3 2 2 5 2 2" xfId="13955" xr:uid="{00000000-0005-0000-0000-00006E2F0000}"/>
    <cellStyle name="Normal 5 3 2 2 5 3" xfId="9296" xr:uid="{00000000-0005-0000-0000-00006F2F0000}"/>
    <cellStyle name="Normal 5 3 2 2 6" xfId="6711" xr:uid="{00000000-0005-0000-0000-0000702F0000}"/>
    <cellStyle name="Normal 5 3 2 2 6 2" xfId="13940" xr:uid="{00000000-0005-0000-0000-0000712F0000}"/>
    <cellStyle name="Normal 5 3 2 2 7" xfId="7558" xr:uid="{00000000-0005-0000-0000-0000722F0000}"/>
    <cellStyle name="Normal 5 3 2 3" xfId="429" xr:uid="{00000000-0005-0000-0000-0000732F0000}"/>
    <cellStyle name="Normal 5 3 2 3 2" xfId="875" xr:uid="{00000000-0005-0000-0000-0000742F0000}"/>
    <cellStyle name="Normal 5 3 2 3 2 2" xfId="1742" xr:uid="{00000000-0005-0000-0000-0000752F0000}"/>
    <cellStyle name="Normal 5 3 2 3 2 2 2" xfId="3481" xr:uid="{00000000-0005-0000-0000-0000762F0000}"/>
    <cellStyle name="Normal 5 3 2 3 2 2 2 2" xfId="6730" xr:uid="{00000000-0005-0000-0000-0000772F0000}"/>
    <cellStyle name="Normal 5 3 2 3 2 2 2 2 2" xfId="13959" xr:uid="{00000000-0005-0000-0000-0000782F0000}"/>
    <cellStyle name="Normal 5 3 2 3 2 2 2 3" xfId="10710" xr:uid="{00000000-0005-0000-0000-0000792F0000}"/>
    <cellStyle name="Normal 5 3 2 3 2 2 3" xfId="6729" xr:uid="{00000000-0005-0000-0000-00007A2F0000}"/>
    <cellStyle name="Normal 5 3 2 3 2 2 3 2" xfId="13958" xr:uid="{00000000-0005-0000-0000-00007B2F0000}"/>
    <cellStyle name="Normal 5 3 2 3 2 2 4" xfId="8972" xr:uid="{00000000-0005-0000-0000-00007C2F0000}"/>
    <cellStyle name="Normal 5 3 2 3 2 3" xfId="2614" xr:uid="{00000000-0005-0000-0000-00007D2F0000}"/>
    <cellStyle name="Normal 5 3 2 3 2 3 2" xfId="6731" xr:uid="{00000000-0005-0000-0000-00007E2F0000}"/>
    <cellStyle name="Normal 5 3 2 3 2 3 2 2" xfId="13960" xr:uid="{00000000-0005-0000-0000-00007F2F0000}"/>
    <cellStyle name="Normal 5 3 2 3 2 3 3" xfId="9843" xr:uid="{00000000-0005-0000-0000-0000802F0000}"/>
    <cellStyle name="Normal 5 3 2 3 2 4" xfId="6728" xr:uid="{00000000-0005-0000-0000-0000812F0000}"/>
    <cellStyle name="Normal 5 3 2 3 2 4 2" xfId="13957" xr:uid="{00000000-0005-0000-0000-0000822F0000}"/>
    <cellStyle name="Normal 5 3 2 3 2 5" xfId="8105" xr:uid="{00000000-0005-0000-0000-0000832F0000}"/>
    <cellStyle name="Normal 5 3 2 3 3" xfId="1311" xr:uid="{00000000-0005-0000-0000-0000842F0000}"/>
    <cellStyle name="Normal 5 3 2 3 3 2" xfId="3050" xr:uid="{00000000-0005-0000-0000-0000852F0000}"/>
    <cellStyle name="Normal 5 3 2 3 3 2 2" xfId="6733" xr:uid="{00000000-0005-0000-0000-0000862F0000}"/>
    <cellStyle name="Normal 5 3 2 3 3 2 2 2" xfId="13962" xr:uid="{00000000-0005-0000-0000-0000872F0000}"/>
    <cellStyle name="Normal 5 3 2 3 3 2 3" xfId="10279" xr:uid="{00000000-0005-0000-0000-0000882F0000}"/>
    <cellStyle name="Normal 5 3 2 3 3 3" xfId="6732" xr:uid="{00000000-0005-0000-0000-0000892F0000}"/>
    <cellStyle name="Normal 5 3 2 3 3 3 2" xfId="13961" xr:uid="{00000000-0005-0000-0000-00008A2F0000}"/>
    <cellStyle name="Normal 5 3 2 3 3 4" xfId="8541" xr:uid="{00000000-0005-0000-0000-00008B2F0000}"/>
    <cellStyle name="Normal 5 3 2 3 4" xfId="2183" xr:uid="{00000000-0005-0000-0000-00008C2F0000}"/>
    <cellStyle name="Normal 5 3 2 3 4 2" xfId="6734" xr:uid="{00000000-0005-0000-0000-00008D2F0000}"/>
    <cellStyle name="Normal 5 3 2 3 4 2 2" xfId="13963" xr:uid="{00000000-0005-0000-0000-00008E2F0000}"/>
    <cellStyle name="Normal 5 3 2 3 4 3" xfId="9412" xr:uid="{00000000-0005-0000-0000-00008F2F0000}"/>
    <cellStyle name="Normal 5 3 2 3 5" xfId="6727" xr:uid="{00000000-0005-0000-0000-0000902F0000}"/>
    <cellStyle name="Normal 5 3 2 3 5 2" xfId="13956" xr:uid="{00000000-0005-0000-0000-0000912F0000}"/>
    <cellStyle name="Normal 5 3 2 3 6" xfId="7674" xr:uid="{00000000-0005-0000-0000-0000922F0000}"/>
    <cellStyle name="Normal 5 3 2 4" xfId="648" xr:uid="{00000000-0005-0000-0000-0000932F0000}"/>
    <cellStyle name="Normal 5 3 2 4 2" xfId="1524" xr:uid="{00000000-0005-0000-0000-0000942F0000}"/>
    <cellStyle name="Normal 5 3 2 4 2 2" xfId="3263" xr:uid="{00000000-0005-0000-0000-0000952F0000}"/>
    <cellStyle name="Normal 5 3 2 4 2 2 2" xfId="6737" xr:uid="{00000000-0005-0000-0000-0000962F0000}"/>
    <cellStyle name="Normal 5 3 2 4 2 2 2 2" xfId="13966" xr:uid="{00000000-0005-0000-0000-0000972F0000}"/>
    <cellStyle name="Normal 5 3 2 4 2 2 3" xfId="10492" xr:uid="{00000000-0005-0000-0000-0000982F0000}"/>
    <cellStyle name="Normal 5 3 2 4 2 3" xfId="6736" xr:uid="{00000000-0005-0000-0000-0000992F0000}"/>
    <cellStyle name="Normal 5 3 2 4 2 3 2" xfId="13965" xr:uid="{00000000-0005-0000-0000-00009A2F0000}"/>
    <cellStyle name="Normal 5 3 2 4 2 4" xfId="8754" xr:uid="{00000000-0005-0000-0000-00009B2F0000}"/>
    <cellStyle name="Normal 5 3 2 4 3" xfId="2396" xr:uid="{00000000-0005-0000-0000-00009C2F0000}"/>
    <cellStyle name="Normal 5 3 2 4 3 2" xfId="6738" xr:uid="{00000000-0005-0000-0000-00009D2F0000}"/>
    <cellStyle name="Normal 5 3 2 4 3 2 2" xfId="13967" xr:uid="{00000000-0005-0000-0000-00009E2F0000}"/>
    <cellStyle name="Normal 5 3 2 4 3 3" xfId="9625" xr:uid="{00000000-0005-0000-0000-00009F2F0000}"/>
    <cellStyle name="Normal 5 3 2 4 4" xfId="6735" xr:uid="{00000000-0005-0000-0000-0000A02F0000}"/>
    <cellStyle name="Normal 5 3 2 4 4 2" xfId="13964" xr:uid="{00000000-0005-0000-0000-0000A12F0000}"/>
    <cellStyle name="Normal 5 3 2 4 5" xfId="7887" xr:uid="{00000000-0005-0000-0000-0000A22F0000}"/>
    <cellStyle name="Normal 5 3 2 5" xfId="1093" xr:uid="{00000000-0005-0000-0000-0000A32F0000}"/>
    <cellStyle name="Normal 5 3 2 5 2" xfId="2832" xr:uid="{00000000-0005-0000-0000-0000A42F0000}"/>
    <cellStyle name="Normal 5 3 2 5 2 2" xfId="6740" xr:uid="{00000000-0005-0000-0000-0000A52F0000}"/>
    <cellStyle name="Normal 5 3 2 5 2 2 2" xfId="13969" xr:uid="{00000000-0005-0000-0000-0000A62F0000}"/>
    <cellStyle name="Normal 5 3 2 5 2 3" xfId="10061" xr:uid="{00000000-0005-0000-0000-0000A72F0000}"/>
    <cellStyle name="Normal 5 3 2 5 3" xfId="6739" xr:uid="{00000000-0005-0000-0000-0000A82F0000}"/>
    <cellStyle name="Normal 5 3 2 5 3 2" xfId="13968" xr:uid="{00000000-0005-0000-0000-0000A92F0000}"/>
    <cellStyle name="Normal 5 3 2 5 4" xfId="8323" xr:uid="{00000000-0005-0000-0000-0000AA2F0000}"/>
    <cellStyle name="Normal 5 3 2 6" xfId="1965" xr:uid="{00000000-0005-0000-0000-0000AB2F0000}"/>
    <cellStyle name="Normal 5 3 2 6 2" xfId="6741" xr:uid="{00000000-0005-0000-0000-0000AC2F0000}"/>
    <cellStyle name="Normal 5 3 2 6 2 2" xfId="13970" xr:uid="{00000000-0005-0000-0000-0000AD2F0000}"/>
    <cellStyle name="Normal 5 3 2 6 3" xfId="9194" xr:uid="{00000000-0005-0000-0000-0000AE2F0000}"/>
    <cellStyle name="Normal 5 3 2 7" xfId="6710" xr:uid="{00000000-0005-0000-0000-0000AF2F0000}"/>
    <cellStyle name="Normal 5 3 2 7 2" xfId="13939" xr:uid="{00000000-0005-0000-0000-0000B02F0000}"/>
    <cellStyle name="Normal 5 3 2 8" xfId="7454" xr:uid="{00000000-0005-0000-0000-0000B12F0000}"/>
    <cellStyle name="Normal 5 3 3" xfId="272" xr:uid="{00000000-0005-0000-0000-0000B22F0000}"/>
    <cellStyle name="Normal 5 3 3 2" xfId="498" xr:uid="{00000000-0005-0000-0000-0000B32F0000}"/>
    <cellStyle name="Normal 5 3 3 2 2" xfId="944" xr:uid="{00000000-0005-0000-0000-0000B42F0000}"/>
    <cellStyle name="Normal 5 3 3 2 2 2" xfId="1811" xr:uid="{00000000-0005-0000-0000-0000B52F0000}"/>
    <cellStyle name="Normal 5 3 3 2 2 2 2" xfId="3550" xr:uid="{00000000-0005-0000-0000-0000B62F0000}"/>
    <cellStyle name="Normal 5 3 3 2 2 2 2 2" xfId="6746" xr:uid="{00000000-0005-0000-0000-0000B72F0000}"/>
    <cellStyle name="Normal 5 3 3 2 2 2 2 2 2" xfId="13975" xr:uid="{00000000-0005-0000-0000-0000B82F0000}"/>
    <cellStyle name="Normal 5 3 3 2 2 2 2 3" xfId="10779" xr:uid="{00000000-0005-0000-0000-0000B92F0000}"/>
    <cellStyle name="Normal 5 3 3 2 2 2 3" xfId="6745" xr:uid="{00000000-0005-0000-0000-0000BA2F0000}"/>
    <cellStyle name="Normal 5 3 3 2 2 2 3 2" xfId="13974" xr:uid="{00000000-0005-0000-0000-0000BB2F0000}"/>
    <cellStyle name="Normal 5 3 3 2 2 2 4" xfId="9041" xr:uid="{00000000-0005-0000-0000-0000BC2F0000}"/>
    <cellStyle name="Normal 5 3 3 2 2 3" xfId="2683" xr:uid="{00000000-0005-0000-0000-0000BD2F0000}"/>
    <cellStyle name="Normal 5 3 3 2 2 3 2" xfId="6747" xr:uid="{00000000-0005-0000-0000-0000BE2F0000}"/>
    <cellStyle name="Normal 5 3 3 2 2 3 2 2" xfId="13976" xr:uid="{00000000-0005-0000-0000-0000BF2F0000}"/>
    <cellStyle name="Normal 5 3 3 2 2 3 3" xfId="9912" xr:uid="{00000000-0005-0000-0000-0000C02F0000}"/>
    <cellStyle name="Normal 5 3 3 2 2 4" xfId="6744" xr:uid="{00000000-0005-0000-0000-0000C12F0000}"/>
    <cellStyle name="Normal 5 3 3 2 2 4 2" xfId="13973" xr:uid="{00000000-0005-0000-0000-0000C22F0000}"/>
    <cellStyle name="Normal 5 3 3 2 2 5" xfId="8174" xr:uid="{00000000-0005-0000-0000-0000C32F0000}"/>
    <cellStyle name="Normal 5 3 3 2 3" xfId="1380" xr:uid="{00000000-0005-0000-0000-0000C42F0000}"/>
    <cellStyle name="Normal 5 3 3 2 3 2" xfId="3119" xr:uid="{00000000-0005-0000-0000-0000C52F0000}"/>
    <cellStyle name="Normal 5 3 3 2 3 2 2" xfId="6749" xr:uid="{00000000-0005-0000-0000-0000C62F0000}"/>
    <cellStyle name="Normal 5 3 3 2 3 2 2 2" xfId="13978" xr:uid="{00000000-0005-0000-0000-0000C72F0000}"/>
    <cellStyle name="Normal 5 3 3 2 3 2 3" xfId="10348" xr:uid="{00000000-0005-0000-0000-0000C82F0000}"/>
    <cellStyle name="Normal 5 3 3 2 3 3" xfId="6748" xr:uid="{00000000-0005-0000-0000-0000C92F0000}"/>
    <cellStyle name="Normal 5 3 3 2 3 3 2" xfId="13977" xr:uid="{00000000-0005-0000-0000-0000CA2F0000}"/>
    <cellStyle name="Normal 5 3 3 2 3 4" xfId="8610" xr:uid="{00000000-0005-0000-0000-0000CB2F0000}"/>
    <cellStyle name="Normal 5 3 3 2 4" xfId="2252" xr:uid="{00000000-0005-0000-0000-0000CC2F0000}"/>
    <cellStyle name="Normal 5 3 3 2 4 2" xfId="6750" xr:uid="{00000000-0005-0000-0000-0000CD2F0000}"/>
    <cellStyle name="Normal 5 3 3 2 4 2 2" xfId="13979" xr:uid="{00000000-0005-0000-0000-0000CE2F0000}"/>
    <cellStyle name="Normal 5 3 3 2 4 3" xfId="9481" xr:uid="{00000000-0005-0000-0000-0000CF2F0000}"/>
    <cellStyle name="Normal 5 3 3 2 5" xfId="6743" xr:uid="{00000000-0005-0000-0000-0000D02F0000}"/>
    <cellStyle name="Normal 5 3 3 2 5 2" xfId="13972" xr:uid="{00000000-0005-0000-0000-0000D12F0000}"/>
    <cellStyle name="Normal 5 3 3 2 6" xfId="7743" xr:uid="{00000000-0005-0000-0000-0000D22F0000}"/>
    <cellStyle name="Normal 5 3 3 3" xfId="720" xr:uid="{00000000-0005-0000-0000-0000D32F0000}"/>
    <cellStyle name="Normal 5 3 3 3 2" xfId="1593" xr:uid="{00000000-0005-0000-0000-0000D42F0000}"/>
    <cellStyle name="Normal 5 3 3 3 2 2" xfId="3332" xr:uid="{00000000-0005-0000-0000-0000D52F0000}"/>
    <cellStyle name="Normal 5 3 3 3 2 2 2" xfId="6753" xr:uid="{00000000-0005-0000-0000-0000D62F0000}"/>
    <cellStyle name="Normal 5 3 3 3 2 2 2 2" xfId="13982" xr:uid="{00000000-0005-0000-0000-0000D72F0000}"/>
    <cellStyle name="Normal 5 3 3 3 2 2 3" xfId="10561" xr:uid="{00000000-0005-0000-0000-0000D82F0000}"/>
    <cellStyle name="Normal 5 3 3 3 2 3" xfId="6752" xr:uid="{00000000-0005-0000-0000-0000D92F0000}"/>
    <cellStyle name="Normal 5 3 3 3 2 3 2" xfId="13981" xr:uid="{00000000-0005-0000-0000-0000DA2F0000}"/>
    <cellStyle name="Normal 5 3 3 3 2 4" xfId="8823" xr:uid="{00000000-0005-0000-0000-0000DB2F0000}"/>
    <cellStyle name="Normal 5 3 3 3 3" xfId="2465" xr:uid="{00000000-0005-0000-0000-0000DC2F0000}"/>
    <cellStyle name="Normal 5 3 3 3 3 2" xfId="6754" xr:uid="{00000000-0005-0000-0000-0000DD2F0000}"/>
    <cellStyle name="Normal 5 3 3 3 3 2 2" xfId="13983" xr:uid="{00000000-0005-0000-0000-0000DE2F0000}"/>
    <cellStyle name="Normal 5 3 3 3 3 3" xfId="9694" xr:uid="{00000000-0005-0000-0000-0000DF2F0000}"/>
    <cellStyle name="Normal 5 3 3 3 4" xfId="6751" xr:uid="{00000000-0005-0000-0000-0000E02F0000}"/>
    <cellStyle name="Normal 5 3 3 3 4 2" xfId="13980" xr:uid="{00000000-0005-0000-0000-0000E12F0000}"/>
    <cellStyle name="Normal 5 3 3 3 5" xfId="7956" xr:uid="{00000000-0005-0000-0000-0000E22F0000}"/>
    <cellStyle name="Normal 5 3 3 4" xfId="1162" xr:uid="{00000000-0005-0000-0000-0000E32F0000}"/>
    <cellStyle name="Normal 5 3 3 4 2" xfId="2901" xr:uid="{00000000-0005-0000-0000-0000E42F0000}"/>
    <cellStyle name="Normal 5 3 3 4 2 2" xfId="6756" xr:uid="{00000000-0005-0000-0000-0000E52F0000}"/>
    <cellStyle name="Normal 5 3 3 4 2 2 2" xfId="13985" xr:uid="{00000000-0005-0000-0000-0000E62F0000}"/>
    <cellStyle name="Normal 5 3 3 4 2 3" xfId="10130" xr:uid="{00000000-0005-0000-0000-0000E72F0000}"/>
    <cellStyle name="Normal 5 3 3 4 3" xfId="6755" xr:uid="{00000000-0005-0000-0000-0000E82F0000}"/>
    <cellStyle name="Normal 5 3 3 4 3 2" xfId="13984" xr:uid="{00000000-0005-0000-0000-0000E92F0000}"/>
    <cellStyle name="Normal 5 3 3 4 4" xfId="8392" xr:uid="{00000000-0005-0000-0000-0000EA2F0000}"/>
    <cellStyle name="Normal 5 3 3 5" xfId="2034" xr:uid="{00000000-0005-0000-0000-0000EB2F0000}"/>
    <cellStyle name="Normal 5 3 3 5 2" xfId="6757" xr:uid="{00000000-0005-0000-0000-0000EC2F0000}"/>
    <cellStyle name="Normal 5 3 3 5 2 2" xfId="13986" xr:uid="{00000000-0005-0000-0000-0000ED2F0000}"/>
    <cellStyle name="Normal 5 3 3 5 3" xfId="9263" xr:uid="{00000000-0005-0000-0000-0000EE2F0000}"/>
    <cellStyle name="Normal 5 3 3 6" xfId="6742" xr:uid="{00000000-0005-0000-0000-0000EF2F0000}"/>
    <cellStyle name="Normal 5 3 3 6 2" xfId="13971" xr:uid="{00000000-0005-0000-0000-0000F02F0000}"/>
    <cellStyle name="Normal 5 3 3 7" xfId="7525" xr:uid="{00000000-0005-0000-0000-0000F12F0000}"/>
    <cellStyle name="Normal 5 3 4" xfId="396" xr:uid="{00000000-0005-0000-0000-0000F22F0000}"/>
    <cellStyle name="Normal 5 3 4 2" xfId="842" xr:uid="{00000000-0005-0000-0000-0000F32F0000}"/>
    <cellStyle name="Normal 5 3 4 2 2" xfId="1709" xr:uid="{00000000-0005-0000-0000-0000F42F0000}"/>
    <cellStyle name="Normal 5 3 4 2 2 2" xfId="3448" xr:uid="{00000000-0005-0000-0000-0000F52F0000}"/>
    <cellStyle name="Normal 5 3 4 2 2 2 2" xfId="6761" xr:uid="{00000000-0005-0000-0000-0000F62F0000}"/>
    <cellStyle name="Normal 5 3 4 2 2 2 2 2" xfId="13990" xr:uid="{00000000-0005-0000-0000-0000F72F0000}"/>
    <cellStyle name="Normal 5 3 4 2 2 2 3" xfId="10677" xr:uid="{00000000-0005-0000-0000-0000F82F0000}"/>
    <cellStyle name="Normal 5 3 4 2 2 3" xfId="6760" xr:uid="{00000000-0005-0000-0000-0000F92F0000}"/>
    <cellStyle name="Normal 5 3 4 2 2 3 2" xfId="13989" xr:uid="{00000000-0005-0000-0000-0000FA2F0000}"/>
    <cellStyle name="Normal 5 3 4 2 2 4" xfId="8939" xr:uid="{00000000-0005-0000-0000-0000FB2F0000}"/>
    <cellStyle name="Normal 5 3 4 2 3" xfId="2581" xr:uid="{00000000-0005-0000-0000-0000FC2F0000}"/>
    <cellStyle name="Normal 5 3 4 2 3 2" xfId="6762" xr:uid="{00000000-0005-0000-0000-0000FD2F0000}"/>
    <cellStyle name="Normal 5 3 4 2 3 2 2" xfId="13991" xr:uid="{00000000-0005-0000-0000-0000FE2F0000}"/>
    <cellStyle name="Normal 5 3 4 2 3 3" xfId="9810" xr:uid="{00000000-0005-0000-0000-0000FF2F0000}"/>
    <cellStyle name="Normal 5 3 4 2 4" xfId="6759" xr:uid="{00000000-0005-0000-0000-000000300000}"/>
    <cellStyle name="Normal 5 3 4 2 4 2" xfId="13988" xr:uid="{00000000-0005-0000-0000-000001300000}"/>
    <cellStyle name="Normal 5 3 4 2 5" xfId="8072" xr:uid="{00000000-0005-0000-0000-000002300000}"/>
    <cellStyle name="Normal 5 3 4 3" xfId="1278" xr:uid="{00000000-0005-0000-0000-000003300000}"/>
    <cellStyle name="Normal 5 3 4 3 2" xfId="3017" xr:uid="{00000000-0005-0000-0000-000004300000}"/>
    <cellStyle name="Normal 5 3 4 3 2 2" xfId="6764" xr:uid="{00000000-0005-0000-0000-000005300000}"/>
    <cellStyle name="Normal 5 3 4 3 2 2 2" xfId="13993" xr:uid="{00000000-0005-0000-0000-000006300000}"/>
    <cellStyle name="Normal 5 3 4 3 2 3" xfId="10246" xr:uid="{00000000-0005-0000-0000-000007300000}"/>
    <cellStyle name="Normal 5 3 4 3 3" xfId="6763" xr:uid="{00000000-0005-0000-0000-000008300000}"/>
    <cellStyle name="Normal 5 3 4 3 3 2" xfId="13992" xr:uid="{00000000-0005-0000-0000-000009300000}"/>
    <cellStyle name="Normal 5 3 4 3 4" xfId="8508" xr:uid="{00000000-0005-0000-0000-00000A300000}"/>
    <cellStyle name="Normal 5 3 4 4" xfId="2150" xr:uid="{00000000-0005-0000-0000-00000B300000}"/>
    <cellStyle name="Normal 5 3 4 4 2" xfId="6765" xr:uid="{00000000-0005-0000-0000-00000C300000}"/>
    <cellStyle name="Normal 5 3 4 4 2 2" xfId="13994" xr:uid="{00000000-0005-0000-0000-00000D300000}"/>
    <cellStyle name="Normal 5 3 4 4 3" xfId="9379" xr:uid="{00000000-0005-0000-0000-00000E300000}"/>
    <cellStyle name="Normal 5 3 4 5" xfId="6758" xr:uid="{00000000-0005-0000-0000-00000F300000}"/>
    <cellStyle name="Normal 5 3 4 5 2" xfId="13987" xr:uid="{00000000-0005-0000-0000-000010300000}"/>
    <cellStyle name="Normal 5 3 4 6" xfId="7641" xr:uid="{00000000-0005-0000-0000-000011300000}"/>
    <cellStyle name="Normal 5 3 5" xfId="614" xr:uid="{00000000-0005-0000-0000-000012300000}"/>
    <cellStyle name="Normal 5 3 5 2" xfId="1491" xr:uid="{00000000-0005-0000-0000-000013300000}"/>
    <cellStyle name="Normal 5 3 5 2 2" xfId="3230" xr:uid="{00000000-0005-0000-0000-000014300000}"/>
    <cellStyle name="Normal 5 3 5 2 2 2" xfId="6768" xr:uid="{00000000-0005-0000-0000-000015300000}"/>
    <cellStyle name="Normal 5 3 5 2 2 2 2" xfId="13997" xr:uid="{00000000-0005-0000-0000-000016300000}"/>
    <cellStyle name="Normal 5 3 5 2 2 3" xfId="10459" xr:uid="{00000000-0005-0000-0000-000017300000}"/>
    <cellStyle name="Normal 5 3 5 2 3" xfId="6767" xr:uid="{00000000-0005-0000-0000-000018300000}"/>
    <cellStyle name="Normal 5 3 5 2 3 2" xfId="13996" xr:uid="{00000000-0005-0000-0000-000019300000}"/>
    <cellStyle name="Normal 5 3 5 2 4" xfId="8721" xr:uid="{00000000-0005-0000-0000-00001A300000}"/>
    <cellStyle name="Normal 5 3 5 3" xfId="2363" xr:uid="{00000000-0005-0000-0000-00001B300000}"/>
    <cellStyle name="Normal 5 3 5 3 2" xfId="6769" xr:uid="{00000000-0005-0000-0000-00001C300000}"/>
    <cellStyle name="Normal 5 3 5 3 2 2" xfId="13998" xr:uid="{00000000-0005-0000-0000-00001D300000}"/>
    <cellStyle name="Normal 5 3 5 3 3" xfId="9592" xr:uid="{00000000-0005-0000-0000-00001E300000}"/>
    <cellStyle name="Normal 5 3 5 4" xfId="6766" xr:uid="{00000000-0005-0000-0000-00001F300000}"/>
    <cellStyle name="Normal 5 3 5 4 2" xfId="13995" xr:uid="{00000000-0005-0000-0000-000020300000}"/>
    <cellStyle name="Normal 5 3 5 5" xfId="7854" xr:uid="{00000000-0005-0000-0000-000021300000}"/>
    <cellStyle name="Normal 5 3 6" xfId="1060" xr:uid="{00000000-0005-0000-0000-000022300000}"/>
    <cellStyle name="Normal 5 3 6 2" xfId="2799" xr:uid="{00000000-0005-0000-0000-000023300000}"/>
    <cellStyle name="Normal 5 3 6 2 2" xfId="6771" xr:uid="{00000000-0005-0000-0000-000024300000}"/>
    <cellStyle name="Normal 5 3 6 2 2 2" xfId="14000" xr:uid="{00000000-0005-0000-0000-000025300000}"/>
    <cellStyle name="Normal 5 3 6 2 3" xfId="10028" xr:uid="{00000000-0005-0000-0000-000026300000}"/>
    <cellStyle name="Normal 5 3 6 3" xfId="6770" xr:uid="{00000000-0005-0000-0000-000027300000}"/>
    <cellStyle name="Normal 5 3 6 3 2" xfId="13999" xr:uid="{00000000-0005-0000-0000-000028300000}"/>
    <cellStyle name="Normal 5 3 6 4" xfId="8290" xr:uid="{00000000-0005-0000-0000-000029300000}"/>
    <cellStyle name="Normal 5 3 7" xfId="1932" xr:uid="{00000000-0005-0000-0000-00002A300000}"/>
    <cellStyle name="Normal 5 3 7 2" xfId="6772" xr:uid="{00000000-0005-0000-0000-00002B300000}"/>
    <cellStyle name="Normal 5 3 7 2 2" xfId="14001" xr:uid="{00000000-0005-0000-0000-00002C300000}"/>
    <cellStyle name="Normal 5 3 7 3" xfId="9161" xr:uid="{00000000-0005-0000-0000-00002D300000}"/>
    <cellStyle name="Normal 5 3 8" xfId="6709" xr:uid="{00000000-0005-0000-0000-00002E300000}"/>
    <cellStyle name="Normal 5 3 8 2" xfId="13938" xr:uid="{00000000-0005-0000-0000-00002F300000}"/>
    <cellStyle name="Normal 5 3 9" xfId="7421" xr:uid="{00000000-0005-0000-0000-000030300000}"/>
    <cellStyle name="Normal 5 4" xfId="230" xr:uid="{00000000-0005-0000-0000-000031300000}"/>
    <cellStyle name="Normal 5 4 2" xfId="231" xr:uid="{00000000-0005-0000-0000-000032300000}"/>
    <cellStyle name="Normal 5 4 2 2" xfId="6774" xr:uid="{00000000-0005-0000-0000-000033300000}"/>
    <cellStyle name="Normal 5 4 2 2 2" xfId="14003" xr:uid="{00000000-0005-0000-0000-000034300000}"/>
    <cellStyle name="Normal 5 4 3" xfId="350" xr:uid="{00000000-0005-0000-0000-000035300000}"/>
    <cellStyle name="Normal 5 4 3 2" xfId="576" xr:uid="{00000000-0005-0000-0000-000036300000}"/>
    <cellStyle name="Normal 5 4 3 2 2" xfId="1022" xr:uid="{00000000-0005-0000-0000-000037300000}"/>
    <cellStyle name="Normal 5 4 3 2 2 2" xfId="1889" xr:uid="{00000000-0005-0000-0000-000038300000}"/>
    <cellStyle name="Normal 5 4 3 2 2 2 2" xfId="3628" xr:uid="{00000000-0005-0000-0000-000039300000}"/>
    <cellStyle name="Normal 5 4 3 2 2 2 2 2" xfId="6779" xr:uid="{00000000-0005-0000-0000-00003A300000}"/>
    <cellStyle name="Normal 5 4 3 2 2 2 2 2 2" xfId="14008" xr:uid="{00000000-0005-0000-0000-00003B300000}"/>
    <cellStyle name="Normal 5 4 3 2 2 2 2 3" xfId="10857" xr:uid="{00000000-0005-0000-0000-00003C300000}"/>
    <cellStyle name="Normal 5 4 3 2 2 2 3" xfId="6778" xr:uid="{00000000-0005-0000-0000-00003D300000}"/>
    <cellStyle name="Normal 5 4 3 2 2 2 3 2" xfId="14007" xr:uid="{00000000-0005-0000-0000-00003E300000}"/>
    <cellStyle name="Normal 5 4 3 2 2 2 4" xfId="9119" xr:uid="{00000000-0005-0000-0000-00003F300000}"/>
    <cellStyle name="Normal 5 4 3 2 2 3" xfId="2761" xr:uid="{00000000-0005-0000-0000-000040300000}"/>
    <cellStyle name="Normal 5 4 3 2 2 3 2" xfId="6780" xr:uid="{00000000-0005-0000-0000-000041300000}"/>
    <cellStyle name="Normal 5 4 3 2 2 3 2 2" xfId="14009" xr:uid="{00000000-0005-0000-0000-000042300000}"/>
    <cellStyle name="Normal 5 4 3 2 2 3 3" xfId="9990" xr:uid="{00000000-0005-0000-0000-000043300000}"/>
    <cellStyle name="Normal 5 4 3 2 2 4" xfId="6777" xr:uid="{00000000-0005-0000-0000-000044300000}"/>
    <cellStyle name="Normal 5 4 3 2 2 4 2" xfId="14006" xr:uid="{00000000-0005-0000-0000-000045300000}"/>
    <cellStyle name="Normal 5 4 3 2 2 5" xfId="8252" xr:uid="{00000000-0005-0000-0000-000046300000}"/>
    <cellStyle name="Normal 5 4 3 2 3" xfId="1458" xr:uid="{00000000-0005-0000-0000-000047300000}"/>
    <cellStyle name="Normal 5 4 3 2 3 2" xfId="3197" xr:uid="{00000000-0005-0000-0000-000048300000}"/>
    <cellStyle name="Normal 5 4 3 2 3 2 2" xfId="6782" xr:uid="{00000000-0005-0000-0000-000049300000}"/>
    <cellStyle name="Normal 5 4 3 2 3 2 2 2" xfId="14011" xr:uid="{00000000-0005-0000-0000-00004A300000}"/>
    <cellStyle name="Normal 5 4 3 2 3 2 3" xfId="10426" xr:uid="{00000000-0005-0000-0000-00004B300000}"/>
    <cellStyle name="Normal 5 4 3 2 3 3" xfId="6781" xr:uid="{00000000-0005-0000-0000-00004C300000}"/>
    <cellStyle name="Normal 5 4 3 2 3 3 2" xfId="14010" xr:uid="{00000000-0005-0000-0000-00004D300000}"/>
    <cellStyle name="Normal 5 4 3 2 3 4" xfId="8688" xr:uid="{00000000-0005-0000-0000-00004E300000}"/>
    <cellStyle name="Normal 5 4 3 2 4" xfId="2330" xr:uid="{00000000-0005-0000-0000-00004F300000}"/>
    <cellStyle name="Normal 5 4 3 2 4 2" xfId="6783" xr:uid="{00000000-0005-0000-0000-000050300000}"/>
    <cellStyle name="Normal 5 4 3 2 4 2 2" xfId="14012" xr:uid="{00000000-0005-0000-0000-000051300000}"/>
    <cellStyle name="Normal 5 4 3 2 4 3" xfId="9559" xr:uid="{00000000-0005-0000-0000-000052300000}"/>
    <cellStyle name="Normal 5 4 3 2 5" xfId="6776" xr:uid="{00000000-0005-0000-0000-000053300000}"/>
    <cellStyle name="Normal 5 4 3 2 5 2" xfId="14005" xr:uid="{00000000-0005-0000-0000-000054300000}"/>
    <cellStyle name="Normal 5 4 3 2 6" xfId="7821" xr:uid="{00000000-0005-0000-0000-000055300000}"/>
    <cellStyle name="Normal 5 4 3 3" xfId="798" xr:uid="{00000000-0005-0000-0000-000056300000}"/>
    <cellStyle name="Normal 5 4 3 3 2" xfId="1671" xr:uid="{00000000-0005-0000-0000-000057300000}"/>
    <cellStyle name="Normal 5 4 3 3 2 2" xfId="3410" xr:uid="{00000000-0005-0000-0000-000058300000}"/>
    <cellStyle name="Normal 5 4 3 3 2 2 2" xfId="6786" xr:uid="{00000000-0005-0000-0000-000059300000}"/>
    <cellStyle name="Normal 5 4 3 3 2 2 2 2" xfId="14015" xr:uid="{00000000-0005-0000-0000-00005A300000}"/>
    <cellStyle name="Normal 5 4 3 3 2 2 3" xfId="10639" xr:uid="{00000000-0005-0000-0000-00005B300000}"/>
    <cellStyle name="Normal 5 4 3 3 2 3" xfId="6785" xr:uid="{00000000-0005-0000-0000-00005C300000}"/>
    <cellStyle name="Normal 5 4 3 3 2 3 2" xfId="14014" xr:uid="{00000000-0005-0000-0000-00005D300000}"/>
    <cellStyle name="Normal 5 4 3 3 2 4" xfId="8901" xr:uid="{00000000-0005-0000-0000-00005E300000}"/>
    <cellStyle name="Normal 5 4 3 3 3" xfId="2543" xr:uid="{00000000-0005-0000-0000-00005F300000}"/>
    <cellStyle name="Normal 5 4 3 3 3 2" xfId="6787" xr:uid="{00000000-0005-0000-0000-000060300000}"/>
    <cellStyle name="Normal 5 4 3 3 3 2 2" xfId="14016" xr:uid="{00000000-0005-0000-0000-000061300000}"/>
    <cellStyle name="Normal 5 4 3 3 3 3" xfId="9772" xr:uid="{00000000-0005-0000-0000-000062300000}"/>
    <cellStyle name="Normal 5 4 3 3 4" xfId="6784" xr:uid="{00000000-0005-0000-0000-000063300000}"/>
    <cellStyle name="Normal 5 4 3 3 4 2" xfId="14013" xr:uid="{00000000-0005-0000-0000-000064300000}"/>
    <cellStyle name="Normal 5 4 3 3 5" xfId="8034" xr:uid="{00000000-0005-0000-0000-000065300000}"/>
    <cellStyle name="Normal 5 4 3 4" xfId="1240" xr:uid="{00000000-0005-0000-0000-000066300000}"/>
    <cellStyle name="Normal 5 4 3 4 2" xfId="2979" xr:uid="{00000000-0005-0000-0000-000067300000}"/>
    <cellStyle name="Normal 5 4 3 4 2 2" xfId="6789" xr:uid="{00000000-0005-0000-0000-000068300000}"/>
    <cellStyle name="Normal 5 4 3 4 2 2 2" xfId="14018" xr:uid="{00000000-0005-0000-0000-000069300000}"/>
    <cellStyle name="Normal 5 4 3 4 2 3" xfId="10208" xr:uid="{00000000-0005-0000-0000-00006A300000}"/>
    <cellStyle name="Normal 5 4 3 4 3" xfId="6788" xr:uid="{00000000-0005-0000-0000-00006B300000}"/>
    <cellStyle name="Normal 5 4 3 4 3 2" xfId="14017" xr:uid="{00000000-0005-0000-0000-00006C300000}"/>
    <cellStyle name="Normal 5 4 3 4 4" xfId="8470" xr:uid="{00000000-0005-0000-0000-00006D300000}"/>
    <cellStyle name="Normal 5 4 3 5" xfId="2112" xr:uid="{00000000-0005-0000-0000-00006E300000}"/>
    <cellStyle name="Normal 5 4 3 5 2" xfId="6790" xr:uid="{00000000-0005-0000-0000-00006F300000}"/>
    <cellStyle name="Normal 5 4 3 5 2 2" xfId="14019" xr:uid="{00000000-0005-0000-0000-000070300000}"/>
    <cellStyle name="Normal 5 4 3 5 3" xfId="9341" xr:uid="{00000000-0005-0000-0000-000071300000}"/>
    <cellStyle name="Normal 5 4 3 6" xfId="6775" xr:uid="{00000000-0005-0000-0000-000072300000}"/>
    <cellStyle name="Normal 5 4 3 6 2" xfId="14004" xr:uid="{00000000-0005-0000-0000-000073300000}"/>
    <cellStyle name="Normal 5 4 3 7" xfId="7603" xr:uid="{00000000-0005-0000-0000-000074300000}"/>
    <cellStyle name="Normal 5 4 4" xfId="474" xr:uid="{00000000-0005-0000-0000-000075300000}"/>
    <cellStyle name="Normal 5 4 4 2" xfId="920" xr:uid="{00000000-0005-0000-0000-000076300000}"/>
    <cellStyle name="Normal 5 4 4 2 2" xfId="1787" xr:uid="{00000000-0005-0000-0000-000077300000}"/>
    <cellStyle name="Normal 5 4 4 2 2 2" xfId="3526" xr:uid="{00000000-0005-0000-0000-000078300000}"/>
    <cellStyle name="Normal 5 4 4 2 2 2 2" xfId="6794" xr:uid="{00000000-0005-0000-0000-000079300000}"/>
    <cellStyle name="Normal 5 4 4 2 2 2 2 2" xfId="14023" xr:uid="{00000000-0005-0000-0000-00007A300000}"/>
    <cellStyle name="Normal 5 4 4 2 2 2 3" xfId="10755" xr:uid="{00000000-0005-0000-0000-00007B300000}"/>
    <cellStyle name="Normal 5 4 4 2 2 3" xfId="6793" xr:uid="{00000000-0005-0000-0000-00007C300000}"/>
    <cellStyle name="Normal 5 4 4 2 2 3 2" xfId="14022" xr:uid="{00000000-0005-0000-0000-00007D300000}"/>
    <cellStyle name="Normal 5 4 4 2 2 4" xfId="9017" xr:uid="{00000000-0005-0000-0000-00007E300000}"/>
    <cellStyle name="Normal 5 4 4 2 3" xfId="2659" xr:uid="{00000000-0005-0000-0000-00007F300000}"/>
    <cellStyle name="Normal 5 4 4 2 3 2" xfId="6795" xr:uid="{00000000-0005-0000-0000-000080300000}"/>
    <cellStyle name="Normal 5 4 4 2 3 2 2" xfId="14024" xr:uid="{00000000-0005-0000-0000-000081300000}"/>
    <cellStyle name="Normal 5 4 4 2 3 3" xfId="9888" xr:uid="{00000000-0005-0000-0000-000082300000}"/>
    <cellStyle name="Normal 5 4 4 2 4" xfId="6792" xr:uid="{00000000-0005-0000-0000-000083300000}"/>
    <cellStyle name="Normal 5 4 4 2 4 2" xfId="14021" xr:uid="{00000000-0005-0000-0000-000084300000}"/>
    <cellStyle name="Normal 5 4 4 2 5" xfId="8150" xr:uid="{00000000-0005-0000-0000-000085300000}"/>
    <cellStyle name="Normal 5 4 4 3" xfId="1356" xr:uid="{00000000-0005-0000-0000-000086300000}"/>
    <cellStyle name="Normal 5 4 4 3 2" xfId="3095" xr:uid="{00000000-0005-0000-0000-000087300000}"/>
    <cellStyle name="Normal 5 4 4 3 2 2" xfId="6797" xr:uid="{00000000-0005-0000-0000-000088300000}"/>
    <cellStyle name="Normal 5 4 4 3 2 2 2" xfId="14026" xr:uid="{00000000-0005-0000-0000-000089300000}"/>
    <cellStyle name="Normal 5 4 4 3 2 3" xfId="10324" xr:uid="{00000000-0005-0000-0000-00008A300000}"/>
    <cellStyle name="Normal 5 4 4 3 3" xfId="6796" xr:uid="{00000000-0005-0000-0000-00008B300000}"/>
    <cellStyle name="Normal 5 4 4 3 3 2" xfId="14025" xr:uid="{00000000-0005-0000-0000-00008C300000}"/>
    <cellStyle name="Normal 5 4 4 3 4" xfId="8586" xr:uid="{00000000-0005-0000-0000-00008D300000}"/>
    <cellStyle name="Normal 5 4 4 4" xfId="2228" xr:uid="{00000000-0005-0000-0000-00008E300000}"/>
    <cellStyle name="Normal 5 4 4 4 2" xfId="6798" xr:uid="{00000000-0005-0000-0000-00008F300000}"/>
    <cellStyle name="Normal 5 4 4 4 2 2" xfId="14027" xr:uid="{00000000-0005-0000-0000-000090300000}"/>
    <cellStyle name="Normal 5 4 4 4 3" xfId="9457" xr:uid="{00000000-0005-0000-0000-000091300000}"/>
    <cellStyle name="Normal 5 4 4 5" xfId="6791" xr:uid="{00000000-0005-0000-0000-000092300000}"/>
    <cellStyle name="Normal 5 4 4 5 2" xfId="14020" xr:uid="{00000000-0005-0000-0000-000093300000}"/>
    <cellStyle name="Normal 5 4 4 6" xfId="7719" xr:uid="{00000000-0005-0000-0000-000094300000}"/>
    <cellStyle name="Normal 5 4 5" xfId="696" xr:uid="{00000000-0005-0000-0000-000095300000}"/>
    <cellStyle name="Normal 5 4 5 2" xfId="1569" xr:uid="{00000000-0005-0000-0000-000096300000}"/>
    <cellStyle name="Normal 5 4 5 2 2" xfId="3308" xr:uid="{00000000-0005-0000-0000-000097300000}"/>
    <cellStyle name="Normal 5 4 5 2 2 2" xfId="6801" xr:uid="{00000000-0005-0000-0000-000098300000}"/>
    <cellStyle name="Normal 5 4 5 2 2 2 2" xfId="14030" xr:uid="{00000000-0005-0000-0000-000099300000}"/>
    <cellStyle name="Normal 5 4 5 2 2 3" xfId="10537" xr:uid="{00000000-0005-0000-0000-00009A300000}"/>
    <cellStyle name="Normal 5 4 5 2 3" xfId="6800" xr:uid="{00000000-0005-0000-0000-00009B300000}"/>
    <cellStyle name="Normal 5 4 5 2 3 2" xfId="14029" xr:uid="{00000000-0005-0000-0000-00009C300000}"/>
    <cellStyle name="Normal 5 4 5 2 4" xfId="8799" xr:uid="{00000000-0005-0000-0000-00009D300000}"/>
    <cellStyle name="Normal 5 4 5 3" xfId="2441" xr:uid="{00000000-0005-0000-0000-00009E300000}"/>
    <cellStyle name="Normal 5 4 5 3 2" xfId="6802" xr:uid="{00000000-0005-0000-0000-00009F300000}"/>
    <cellStyle name="Normal 5 4 5 3 2 2" xfId="14031" xr:uid="{00000000-0005-0000-0000-0000A0300000}"/>
    <cellStyle name="Normal 5 4 5 3 3" xfId="9670" xr:uid="{00000000-0005-0000-0000-0000A1300000}"/>
    <cellStyle name="Normal 5 4 5 4" xfId="6799" xr:uid="{00000000-0005-0000-0000-0000A2300000}"/>
    <cellStyle name="Normal 5 4 5 4 2" xfId="14028" xr:uid="{00000000-0005-0000-0000-0000A3300000}"/>
    <cellStyle name="Normal 5 4 5 5" xfId="7932" xr:uid="{00000000-0005-0000-0000-0000A4300000}"/>
    <cellStyle name="Normal 5 4 6" xfId="1138" xr:uid="{00000000-0005-0000-0000-0000A5300000}"/>
    <cellStyle name="Normal 5 4 6 2" xfId="2877" xr:uid="{00000000-0005-0000-0000-0000A6300000}"/>
    <cellStyle name="Normal 5 4 6 2 2" xfId="6804" xr:uid="{00000000-0005-0000-0000-0000A7300000}"/>
    <cellStyle name="Normal 5 4 6 2 2 2" xfId="14033" xr:uid="{00000000-0005-0000-0000-0000A8300000}"/>
    <cellStyle name="Normal 5 4 6 2 3" xfId="10106" xr:uid="{00000000-0005-0000-0000-0000A9300000}"/>
    <cellStyle name="Normal 5 4 6 3" xfId="6803" xr:uid="{00000000-0005-0000-0000-0000AA300000}"/>
    <cellStyle name="Normal 5 4 6 3 2" xfId="14032" xr:uid="{00000000-0005-0000-0000-0000AB300000}"/>
    <cellStyle name="Normal 5 4 6 4" xfId="8368" xr:uid="{00000000-0005-0000-0000-0000AC300000}"/>
    <cellStyle name="Normal 5 4 7" xfId="2010" xr:uid="{00000000-0005-0000-0000-0000AD300000}"/>
    <cellStyle name="Normal 5 4 7 2" xfId="6805" xr:uid="{00000000-0005-0000-0000-0000AE300000}"/>
    <cellStyle name="Normal 5 4 7 2 2" xfId="14034" xr:uid="{00000000-0005-0000-0000-0000AF300000}"/>
    <cellStyle name="Normal 5 4 7 3" xfId="9239" xr:uid="{00000000-0005-0000-0000-0000B0300000}"/>
    <cellStyle name="Normal 5 4 8" xfId="6773" xr:uid="{00000000-0005-0000-0000-0000B1300000}"/>
    <cellStyle name="Normal 5 4 8 2" xfId="14002" xr:uid="{00000000-0005-0000-0000-0000B2300000}"/>
    <cellStyle name="Normal 5 4 9" xfId="7501" xr:uid="{00000000-0005-0000-0000-0000B3300000}"/>
    <cellStyle name="Normal 5 5" xfId="232" xr:uid="{00000000-0005-0000-0000-0000B4300000}"/>
    <cellStyle name="Normal 5 5 2" xfId="351" xr:uid="{00000000-0005-0000-0000-0000B5300000}"/>
    <cellStyle name="Normal 5 5 2 2" xfId="577" xr:uid="{00000000-0005-0000-0000-0000B6300000}"/>
    <cellStyle name="Normal 5 5 2 2 2" xfId="1023" xr:uid="{00000000-0005-0000-0000-0000B7300000}"/>
    <cellStyle name="Normal 5 5 2 2 2 2" xfId="1890" xr:uid="{00000000-0005-0000-0000-0000B8300000}"/>
    <cellStyle name="Normal 5 5 2 2 2 2 2" xfId="3629" xr:uid="{00000000-0005-0000-0000-0000B9300000}"/>
    <cellStyle name="Normal 5 5 2 2 2 2 2 2" xfId="6811" xr:uid="{00000000-0005-0000-0000-0000BA300000}"/>
    <cellStyle name="Normal 5 5 2 2 2 2 2 2 2" xfId="14040" xr:uid="{00000000-0005-0000-0000-0000BB300000}"/>
    <cellStyle name="Normal 5 5 2 2 2 2 2 3" xfId="10858" xr:uid="{00000000-0005-0000-0000-0000BC300000}"/>
    <cellStyle name="Normal 5 5 2 2 2 2 3" xfId="6810" xr:uid="{00000000-0005-0000-0000-0000BD300000}"/>
    <cellStyle name="Normal 5 5 2 2 2 2 3 2" xfId="14039" xr:uid="{00000000-0005-0000-0000-0000BE300000}"/>
    <cellStyle name="Normal 5 5 2 2 2 2 4" xfId="9120" xr:uid="{00000000-0005-0000-0000-0000BF300000}"/>
    <cellStyle name="Normal 5 5 2 2 2 3" xfId="2762" xr:uid="{00000000-0005-0000-0000-0000C0300000}"/>
    <cellStyle name="Normal 5 5 2 2 2 3 2" xfId="6812" xr:uid="{00000000-0005-0000-0000-0000C1300000}"/>
    <cellStyle name="Normal 5 5 2 2 2 3 2 2" xfId="14041" xr:uid="{00000000-0005-0000-0000-0000C2300000}"/>
    <cellStyle name="Normal 5 5 2 2 2 3 3" xfId="9991" xr:uid="{00000000-0005-0000-0000-0000C3300000}"/>
    <cellStyle name="Normal 5 5 2 2 2 4" xfId="6809" xr:uid="{00000000-0005-0000-0000-0000C4300000}"/>
    <cellStyle name="Normal 5 5 2 2 2 4 2" xfId="14038" xr:uid="{00000000-0005-0000-0000-0000C5300000}"/>
    <cellStyle name="Normal 5 5 2 2 2 5" xfId="8253" xr:uid="{00000000-0005-0000-0000-0000C6300000}"/>
    <cellStyle name="Normal 5 5 2 2 3" xfId="1459" xr:uid="{00000000-0005-0000-0000-0000C7300000}"/>
    <cellStyle name="Normal 5 5 2 2 3 2" xfId="3198" xr:uid="{00000000-0005-0000-0000-0000C8300000}"/>
    <cellStyle name="Normal 5 5 2 2 3 2 2" xfId="6814" xr:uid="{00000000-0005-0000-0000-0000C9300000}"/>
    <cellStyle name="Normal 5 5 2 2 3 2 2 2" xfId="14043" xr:uid="{00000000-0005-0000-0000-0000CA300000}"/>
    <cellStyle name="Normal 5 5 2 2 3 2 3" xfId="10427" xr:uid="{00000000-0005-0000-0000-0000CB300000}"/>
    <cellStyle name="Normal 5 5 2 2 3 3" xfId="6813" xr:uid="{00000000-0005-0000-0000-0000CC300000}"/>
    <cellStyle name="Normal 5 5 2 2 3 3 2" xfId="14042" xr:uid="{00000000-0005-0000-0000-0000CD300000}"/>
    <cellStyle name="Normal 5 5 2 2 3 4" xfId="8689" xr:uid="{00000000-0005-0000-0000-0000CE300000}"/>
    <cellStyle name="Normal 5 5 2 2 4" xfId="2331" xr:uid="{00000000-0005-0000-0000-0000CF300000}"/>
    <cellStyle name="Normal 5 5 2 2 4 2" xfId="6815" xr:uid="{00000000-0005-0000-0000-0000D0300000}"/>
    <cellStyle name="Normal 5 5 2 2 4 2 2" xfId="14044" xr:uid="{00000000-0005-0000-0000-0000D1300000}"/>
    <cellStyle name="Normal 5 5 2 2 4 3" xfId="9560" xr:uid="{00000000-0005-0000-0000-0000D2300000}"/>
    <cellStyle name="Normal 5 5 2 2 5" xfId="6808" xr:uid="{00000000-0005-0000-0000-0000D3300000}"/>
    <cellStyle name="Normal 5 5 2 2 5 2" xfId="14037" xr:uid="{00000000-0005-0000-0000-0000D4300000}"/>
    <cellStyle name="Normal 5 5 2 2 6" xfId="7822" xr:uid="{00000000-0005-0000-0000-0000D5300000}"/>
    <cellStyle name="Normal 5 5 2 3" xfId="799" xr:uid="{00000000-0005-0000-0000-0000D6300000}"/>
    <cellStyle name="Normal 5 5 2 3 2" xfId="1672" xr:uid="{00000000-0005-0000-0000-0000D7300000}"/>
    <cellStyle name="Normal 5 5 2 3 2 2" xfId="3411" xr:uid="{00000000-0005-0000-0000-0000D8300000}"/>
    <cellStyle name="Normal 5 5 2 3 2 2 2" xfId="6818" xr:uid="{00000000-0005-0000-0000-0000D9300000}"/>
    <cellStyle name="Normal 5 5 2 3 2 2 2 2" xfId="14047" xr:uid="{00000000-0005-0000-0000-0000DA300000}"/>
    <cellStyle name="Normal 5 5 2 3 2 2 3" xfId="10640" xr:uid="{00000000-0005-0000-0000-0000DB300000}"/>
    <cellStyle name="Normal 5 5 2 3 2 3" xfId="6817" xr:uid="{00000000-0005-0000-0000-0000DC300000}"/>
    <cellStyle name="Normal 5 5 2 3 2 3 2" xfId="14046" xr:uid="{00000000-0005-0000-0000-0000DD300000}"/>
    <cellStyle name="Normal 5 5 2 3 2 4" xfId="8902" xr:uid="{00000000-0005-0000-0000-0000DE300000}"/>
    <cellStyle name="Normal 5 5 2 3 3" xfId="2544" xr:uid="{00000000-0005-0000-0000-0000DF300000}"/>
    <cellStyle name="Normal 5 5 2 3 3 2" xfId="6819" xr:uid="{00000000-0005-0000-0000-0000E0300000}"/>
    <cellStyle name="Normal 5 5 2 3 3 2 2" xfId="14048" xr:uid="{00000000-0005-0000-0000-0000E1300000}"/>
    <cellStyle name="Normal 5 5 2 3 3 3" xfId="9773" xr:uid="{00000000-0005-0000-0000-0000E2300000}"/>
    <cellStyle name="Normal 5 5 2 3 4" xfId="6816" xr:uid="{00000000-0005-0000-0000-0000E3300000}"/>
    <cellStyle name="Normal 5 5 2 3 4 2" xfId="14045" xr:uid="{00000000-0005-0000-0000-0000E4300000}"/>
    <cellStyle name="Normal 5 5 2 3 5" xfId="8035" xr:uid="{00000000-0005-0000-0000-0000E5300000}"/>
    <cellStyle name="Normal 5 5 2 4" xfId="1241" xr:uid="{00000000-0005-0000-0000-0000E6300000}"/>
    <cellStyle name="Normal 5 5 2 4 2" xfId="2980" xr:uid="{00000000-0005-0000-0000-0000E7300000}"/>
    <cellStyle name="Normal 5 5 2 4 2 2" xfId="6821" xr:uid="{00000000-0005-0000-0000-0000E8300000}"/>
    <cellStyle name="Normal 5 5 2 4 2 2 2" xfId="14050" xr:uid="{00000000-0005-0000-0000-0000E9300000}"/>
    <cellStyle name="Normal 5 5 2 4 2 3" xfId="10209" xr:uid="{00000000-0005-0000-0000-0000EA300000}"/>
    <cellStyle name="Normal 5 5 2 4 3" xfId="6820" xr:uid="{00000000-0005-0000-0000-0000EB300000}"/>
    <cellStyle name="Normal 5 5 2 4 3 2" xfId="14049" xr:uid="{00000000-0005-0000-0000-0000EC300000}"/>
    <cellStyle name="Normal 5 5 2 4 4" xfId="8471" xr:uid="{00000000-0005-0000-0000-0000ED300000}"/>
    <cellStyle name="Normal 5 5 2 5" xfId="2113" xr:uid="{00000000-0005-0000-0000-0000EE300000}"/>
    <cellStyle name="Normal 5 5 2 5 2" xfId="6822" xr:uid="{00000000-0005-0000-0000-0000EF300000}"/>
    <cellStyle name="Normal 5 5 2 5 2 2" xfId="14051" xr:uid="{00000000-0005-0000-0000-0000F0300000}"/>
    <cellStyle name="Normal 5 5 2 5 3" xfId="9342" xr:uid="{00000000-0005-0000-0000-0000F1300000}"/>
    <cellStyle name="Normal 5 5 2 6" xfId="6807" xr:uid="{00000000-0005-0000-0000-0000F2300000}"/>
    <cellStyle name="Normal 5 5 2 6 2" xfId="14036" xr:uid="{00000000-0005-0000-0000-0000F3300000}"/>
    <cellStyle name="Normal 5 5 2 7" xfId="7604" xr:uid="{00000000-0005-0000-0000-0000F4300000}"/>
    <cellStyle name="Normal 5 5 3" xfId="475" xr:uid="{00000000-0005-0000-0000-0000F5300000}"/>
    <cellStyle name="Normal 5 5 3 2" xfId="921" xr:uid="{00000000-0005-0000-0000-0000F6300000}"/>
    <cellStyle name="Normal 5 5 3 2 2" xfId="1788" xr:uid="{00000000-0005-0000-0000-0000F7300000}"/>
    <cellStyle name="Normal 5 5 3 2 2 2" xfId="3527" xr:uid="{00000000-0005-0000-0000-0000F8300000}"/>
    <cellStyle name="Normal 5 5 3 2 2 2 2" xfId="6826" xr:uid="{00000000-0005-0000-0000-0000F9300000}"/>
    <cellStyle name="Normal 5 5 3 2 2 2 2 2" xfId="14055" xr:uid="{00000000-0005-0000-0000-0000FA300000}"/>
    <cellStyle name="Normal 5 5 3 2 2 2 3" xfId="10756" xr:uid="{00000000-0005-0000-0000-0000FB300000}"/>
    <cellStyle name="Normal 5 5 3 2 2 3" xfId="6825" xr:uid="{00000000-0005-0000-0000-0000FC300000}"/>
    <cellStyle name="Normal 5 5 3 2 2 3 2" xfId="14054" xr:uid="{00000000-0005-0000-0000-0000FD300000}"/>
    <cellStyle name="Normal 5 5 3 2 2 4" xfId="9018" xr:uid="{00000000-0005-0000-0000-0000FE300000}"/>
    <cellStyle name="Normal 5 5 3 2 3" xfId="2660" xr:uid="{00000000-0005-0000-0000-0000FF300000}"/>
    <cellStyle name="Normal 5 5 3 2 3 2" xfId="6827" xr:uid="{00000000-0005-0000-0000-000000310000}"/>
    <cellStyle name="Normal 5 5 3 2 3 2 2" xfId="14056" xr:uid="{00000000-0005-0000-0000-000001310000}"/>
    <cellStyle name="Normal 5 5 3 2 3 3" xfId="9889" xr:uid="{00000000-0005-0000-0000-000002310000}"/>
    <cellStyle name="Normal 5 5 3 2 4" xfId="6824" xr:uid="{00000000-0005-0000-0000-000003310000}"/>
    <cellStyle name="Normal 5 5 3 2 4 2" xfId="14053" xr:uid="{00000000-0005-0000-0000-000004310000}"/>
    <cellStyle name="Normal 5 5 3 2 5" xfId="8151" xr:uid="{00000000-0005-0000-0000-000005310000}"/>
    <cellStyle name="Normal 5 5 3 3" xfId="1357" xr:uid="{00000000-0005-0000-0000-000006310000}"/>
    <cellStyle name="Normal 5 5 3 3 2" xfId="3096" xr:uid="{00000000-0005-0000-0000-000007310000}"/>
    <cellStyle name="Normal 5 5 3 3 2 2" xfId="6829" xr:uid="{00000000-0005-0000-0000-000008310000}"/>
    <cellStyle name="Normal 5 5 3 3 2 2 2" xfId="14058" xr:uid="{00000000-0005-0000-0000-000009310000}"/>
    <cellStyle name="Normal 5 5 3 3 2 3" xfId="10325" xr:uid="{00000000-0005-0000-0000-00000A310000}"/>
    <cellStyle name="Normal 5 5 3 3 3" xfId="6828" xr:uid="{00000000-0005-0000-0000-00000B310000}"/>
    <cellStyle name="Normal 5 5 3 3 3 2" xfId="14057" xr:uid="{00000000-0005-0000-0000-00000C310000}"/>
    <cellStyle name="Normal 5 5 3 3 4" xfId="8587" xr:uid="{00000000-0005-0000-0000-00000D310000}"/>
    <cellStyle name="Normal 5 5 3 4" xfId="2229" xr:uid="{00000000-0005-0000-0000-00000E310000}"/>
    <cellStyle name="Normal 5 5 3 4 2" xfId="6830" xr:uid="{00000000-0005-0000-0000-00000F310000}"/>
    <cellStyle name="Normal 5 5 3 4 2 2" xfId="14059" xr:uid="{00000000-0005-0000-0000-000010310000}"/>
    <cellStyle name="Normal 5 5 3 4 3" xfId="9458" xr:uid="{00000000-0005-0000-0000-000011310000}"/>
    <cellStyle name="Normal 5 5 3 5" xfId="6823" xr:uid="{00000000-0005-0000-0000-000012310000}"/>
    <cellStyle name="Normal 5 5 3 5 2" xfId="14052" xr:uid="{00000000-0005-0000-0000-000013310000}"/>
    <cellStyle name="Normal 5 5 3 6" xfId="7720" xr:uid="{00000000-0005-0000-0000-000014310000}"/>
    <cellStyle name="Normal 5 5 4" xfId="697" xr:uid="{00000000-0005-0000-0000-000015310000}"/>
    <cellStyle name="Normal 5 5 4 2" xfId="1570" xr:uid="{00000000-0005-0000-0000-000016310000}"/>
    <cellStyle name="Normal 5 5 4 2 2" xfId="3309" xr:uid="{00000000-0005-0000-0000-000017310000}"/>
    <cellStyle name="Normal 5 5 4 2 2 2" xfId="6833" xr:uid="{00000000-0005-0000-0000-000018310000}"/>
    <cellStyle name="Normal 5 5 4 2 2 2 2" xfId="14062" xr:uid="{00000000-0005-0000-0000-000019310000}"/>
    <cellStyle name="Normal 5 5 4 2 2 3" xfId="10538" xr:uid="{00000000-0005-0000-0000-00001A310000}"/>
    <cellStyle name="Normal 5 5 4 2 3" xfId="6832" xr:uid="{00000000-0005-0000-0000-00001B310000}"/>
    <cellStyle name="Normal 5 5 4 2 3 2" xfId="14061" xr:uid="{00000000-0005-0000-0000-00001C310000}"/>
    <cellStyle name="Normal 5 5 4 2 4" xfId="8800" xr:uid="{00000000-0005-0000-0000-00001D310000}"/>
    <cellStyle name="Normal 5 5 4 3" xfId="2442" xr:uid="{00000000-0005-0000-0000-00001E310000}"/>
    <cellStyle name="Normal 5 5 4 3 2" xfId="6834" xr:uid="{00000000-0005-0000-0000-00001F310000}"/>
    <cellStyle name="Normal 5 5 4 3 2 2" xfId="14063" xr:uid="{00000000-0005-0000-0000-000020310000}"/>
    <cellStyle name="Normal 5 5 4 3 3" xfId="9671" xr:uid="{00000000-0005-0000-0000-000021310000}"/>
    <cellStyle name="Normal 5 5 4 4" xfId="6831" xr:uid="{00000000-0005-0000-0000-000022310000}"/>
    <cellStyle name="Normal 5 5 4 4 2" xfId="14060" xr:uid="{00000000-0005-0000-0000-000023310000}"/>
    <cellStyle name="Normal 5 5 4 5" xfId="7933" xr:uid="{00000000-0005-0000-0000-000024310000}"/>
    <cellStyle name="Normal 5 5 5" xfId="1139" xr:uid="{00000000-0005-0000-0000-000025310000}"/>
    <cellStyle name="Normal 5 5 5 2" xfId="2878" xr:uid="{00000000-0005-0000-0000-000026310000}"/>
    <cellStyle name="Normal 5 5 5 2 2" xfId="6836" xr:uid="{00000000-0005-0000-0000-000027310000}"/>
    <cellStyle name="Normal 5 5 5 2 2 2" xfId="14065" xr:uid="{00000000-0005-0000-0000-000028310000}"/>
    <cellStyle name="Normal 5 5 5 2 3" xfId="10107" xr:uid="{00000000-0005-0000-0000-000029310000}"/>
    <cellStyle name="Normal 5 5 5 3" xfId="6835" xr:uid="{00000000-0005-0000-0000-00002A310000}"/>
    <cellStyle name="Normal 5 5 5 3 2" xfId="14064" xr:uid="{00000000-0005-0000-0000-00002B310000}"/>
    <cellStyle name="Normal 5 5 5 4" xfId="8369" xr:uid="{00000000-0005-0000-0000-00002C310000}"/>
    <cellStyle name="Normal 5 5 6" xfId="2011" xr:uid="{00000000-0005-0000-0000-00002D310000}"/>
    <cellStyle name="Normal 5 5 6 2" xfId="6837" xr:uid="{00000000-0005-0000-0000-00002E310000}"/>
    <cellStyle name="Normal 5 5 6 2 2" xfId="14066" xr:uid="{00000000-0005-0000-0000-00002F310000}"/>
    <cellStyle name="Normal 5 5 6 3" xfId="9240" xr:uid="{00000000-0005-0000-0000-000030310000}"/>
    <cellStyle name="Normal 5 5 7" xfId="6806" xr:uid="{00000000-0005-0000-0000-000031310000}"/>
    <cellStyle name="Normal 5 5 7 2" xfId="14035" xr:uid="{00000000-0005-0000-0000-000032310000}"/>
    <cellStyle name="Normal 5 5 8" xfId="7502" xr:uid="{00000000-0005-0000-0000-000033310000}"/>
    <cellStyle name="Normal 5 6" xfId="6547" xr:uid="{00000000-0005-0000-0000-000034310000}"/>
    <cellStyle name="Normal 5 6 2" xfId="13776" xr:uid="{00000000-0005-0000-0000-000035310000}"/>
    <cellStyle name="Normal 6" xfId="40" xr:uid="{00000000-0005-0000-0000-000036310000}"/>
    <cellStyle name="Normal 6 2" xfId="233" xr:uid="{00000000-0005-0000-0000-000037310000}"/>
    <cellStyle name="Normal 6 2 2" xfId="6839" xr:uid="{00000000-0005-0000-0000-000038310000}"/>
    <cellStyle name="Normal 6 2 2 2" xfId="14068" xr:uid="{00000000-0005-0000-0000-000039310000}"/>
    <cellStyle name="Normal 6 3" xfId="234" xr:uid="{00000000-0005-0000-0000-00003A310000}"/>
    <cellStyle name="Normal 6 3 2" xfId="352" xr:uid="{00000000-0005-0000-0000-00003B310000}"/>
    <cellStyle name="Normal 6 3 2 2" xfId="578" xr:uid="{00000000-0005-0000-0000-00003C310000}"/>
    <cellStyle name="Normal 6 3 2 2 2" xfId="1024" xr:uid="{00000000-0005-0000-0000-00003D310000}"/>
    <cellStyle name="Normal 6 3 2 2 2 2" xfId="1891" xr:uid="{00000000-0005-0000-0000-00003E310000}"/>
    <cellStyle name="Normal 6 3 2 2 2 2 2" xfId="3630" xr:uid="{00000000-0005-0000-0000-00003F310000}"/>
    <cellStyle name="Normal 6 3 2 2 2 2 2 2" xfId="6845" xr:uid="{00000000-0005-0000-0000-000040310000}"/>
    <cellStyle name="Normal 6 3 2 2 2 2 2 2 2" xfId="14074" xr:uid="{00000000-0005-0000-0000-000041310000}"/>
    <cellStyle name="Normal 6 3 2 2 2 2 2 3" xfId="10859" xr:uid="{00000000-0005-0000-0000-000042310000}"/>
    <cellStyle name="Normal 6 3 2 2 2 2 3" xfId="6844" xr:uid="{00000000-0005-0000-0000-000043310000}"/>
    <cellStyle name="Normal 6 3 2 2 2 2 3 2" xfId="14073" xr:uid="{00000000-0005-0000-0000-000044310000}"/>
    <cellStyle name="Normal 6 3 2 2 2 2 4" xfId="9121" xr:uid="{00000000-0005-0000-0000-000045310000}"/>
    <cellStyle name="Normal 6 3 2 2 2 3" xfId="2763" xr:uid="{00000000-0005-0000-0000-000046310000}"/>
    <cellStyle name="Normal 6 3 2 2 2 3 2" xfId="6846" xr:uid="{00000000-0005-0000-0000-000047310000}"/>
    <cellStyle name="Normal 6 3 2 2 2 3 2 2" xfId="14075" xr:uid="{00000000-0005-0000-0000-000048310000}"/>
    <cellStyle name="Normal 6 3 2 2 2 3 3" xfId="9992" xr:uid="{00000000-0005-0000-0000-000049310000}"/>
    <cellStyle name="Normal 6 3 2 2 2 4" xfId="6843" xr:uid="{00000000-0005-0000-0000-00004A310000}"/>
    <cellStyle name="Normal 6 3 2 2 2 4 2" xfId="14072" xr:uid="{00000000-0005-0000-0000-00004B310000}"/>
    <cellStyle name="Normal 6 3 2 2 2 5" xfId="8254" xr:uid="{00000000-0005-0000-0000-00004C310000}"/>
    <cellStyle name="Normal 6 3 2 2 3" xfId="1460" xr:uid="{00000000-0005-0000-0000-00004D310000}"/>
    <cellStyle name="Normal 6 3 2 2 3 2" xfId="3199" xr:uid="{00000000-0005-0000-0000-00004E310000}"/>
    <cellStyle name="Normal 6 3 2 2 3 2 2" xfId="6848" xr:uid="{00000000-0005-0000-0000-00004F310000}"/>
    <cellStyle name="Normal 6 3 2 2 3 2 2 2" xfId="14077" xr:uid="{00000000-0005-0000-0000-000050310000}"/>
    <cellStyle name="Normal 6 3 2 2 3 2 3" xfId="10428" xr:uid="{00000000-0005-0000-0000-000051310000}"/>
    <cellStyle name="Normal 6 3 2 2 3 3" xfId="6847" xr:uid="{00000000-0005-0000-0000-000052310000}"/>
    <cellStyle name="Normal 6 3 2 2 3 3 2" xfId="14076" xr:uid="{00000000-0005-0000-0000-000053310000}"/>
    <cellStyle name="Normal 6 3 2 2 3 4" xfId="8690" xr:uid="{00000000-0005-0000-0000-000054310000}"/>
    <cellStyle name="Normal 6 3 2 2 4" xfId="2332" xr:uid="{00000000-0005-0000-0000-000055310000}"/>
    <cellStyle name="Normal 6 3 2 2 4 2" xfId="6849" xr:uid="{00000000-0005-0000-0000-000056310000}"/>
    <cellStyle name="Normal 6 3 2 2 4 2 2" xfId="14078" xr:uid="{00000000-0005-0000-0000-000057310000}"/>
    <cellStyle name="Normal 6 3 2 2 4 3" xfId="9561" xr:uid="{00000000-0005-0000-0000-000058310000}"/>
    <cellStyle name="Normal 6 3 2 2 5" xfId="6842" xr:uid="{00000000-0005-0000-0000-000059310000}"/>
    <cellStyle name="Normal 6 3 2 2 5 2" xfId="14071" xr:uid="{00000000-0005-0000-0000-00005A310000}"/>
    <cellStyle name="Normal 6 3 2 2 6" xfId="7823" xr:uid="{00000000-0005-0000-0000-00005B310000}"/>
    <cellStyle name="Normal 6 3 2 3" xfId="800" xr:uid="{00000000-0005-0000-0000-00005C310000}"/>
    <cellStyle name="Normal 6 3 2 3 2" xfId="1673" xr:uid="{00000000-0005-0000-0000-00005D310000}"/>
    <cellStyle name="Normal 6 3 2 3 2 2" xfId="3412" xr:uid="{00000000-0005-0000-0000-00005E310000}"/>
    <cellStyle name="Normal 6 3 2 3 2 2 2" xfId="6852" xr:uid="{00000000-0005-0000-0000-00005F310000}"/>
    <cellStyle name="Normal 6 3 2 3 2 2 2 2" xfId="14081" xr:uid="{00000000-0005-0000-0000-000060310000}"/>
    <cellStyle name="Normal 6 3 2 3 2 2 3" xfId="10641" xr:uid="{00000000-0005-0000-0000-000061310000}"/>
    <cellStyle name="Normal 6 3 2 3 2 3" xfId="6851" xr:uid="{00000000-0005-0000-0000-000062310000}"/>
    <cellStyle name="Normal 6 3 2 3 2 3 2" xfId="14080" xr:uid="{00000000-0005-0000-0000-000063310000}"/>
    <cellStyle name="Normal 6 3 2 3 2 4" xfId="8903" xr:uid="{00000000-0005-0000-0000-000064310000}"/>
    <cellStyle name="Normal 6 3 2 3 3" xfId="2545" xr:uid="{00000000-0005-0000-0000-000065310000}"/>
    <cellStyle name="Normal 6 3 2 3 3 2" xfId="6853" xr:uid="{00000000-0005-0000-0000-000066310000}"/>
    <cellStyle name="Normal 6 3 2 3 3 2 2" xfId="14082" xr:uid="{00000000-0005-0000-0000-000067310000}"/>
    <cellStyle name="Normal 6 3 2 3 3 3" xfId="9774" xr:uid="{00000000-0005-0000-0000-000068310000}"/>
    <cellStyle name="Normal 6 3 2 3 4" xfId="6850" xr:uid="{00000000-0005-0000-0000-000069310000}"/>
    <cellStyle name="Normal 6 3 2 3 4 2" xfId="14079" xr:uid="{00000000-0005-0000-0000-00006A310000}"/>
    <cellStyle name="Normal 6 3 2 3 5" xfId="8036" xr:uid="{00000000-0005-0000-0000-00006B310000}"/>
    <cellStyle name="Normal 6 3 2 4" xfId="1242" xr:uid="{00000000-0005-0000-0000-00006C310000}"/>
    <cellStyle name="Normal 6 3 2 4 2" xfId="2981" xr:uid="{00000000-0005-0000-0000-00006D310000}"/>
    <cellStyle name="Normal 6 3 2 4 2 2" xfId="6855" xr:uid="{00000000-0005-0000-0000-00006E310000}"/>
    <cellStyle name="Normal 6 3 2 4 2 2 2" xfId="14084" xr:uid="{00000000-0005-0000-0000-00006F310000}"/>
    <cellStyle name="Normal 6 3 2 4 2 3" xfId="10210" xr:uid="{00000000-0005-0000-0000-000070310000}"/>
    <cellStyle name="Normal 6 3 2 4 3" xfId="6854" xr:uid="{00000000-0005-0000-0000-000071310000}"/>
    <cellStyle name="Normal 6 3 2 4 3 2" xfId="14083" xr:uid="{00000000-0005-0000-0000-000072310000}"/>
    <cellStyle name="Normal 6 3 2 4 4" xfId="8472" xr:uid="{00000000-0005-0000-0000-000073310000}"/>
    <cellStyle name="Normal 6 3 2 5" xfId="2114" xr:uid="{00000000-0005-0000-0000-000074310000}"/>
    <cellStyle name="Normal 6 3 2 5 2" xfId="6856" xr:uid="{00000000-0005-0000-0000-000075310000}"/>
    <cellStyle name="Normal 6 3 2 5 2 2" xfId="14085" xr:uid="{00000000-0005-0000-0000-000076310000}"/>
    <cellStyle name="Normal 6 3 2 5 3" xfId="9343" xr:uid="{00000000-0005-0000-0000-000077310000}"/>
    <cellStyle name="Normal 6 3 2 6" xfId="6841" xr:uid="{00000000-0005-0000-0000-000078310000}"/>
    <cellStyle name="Normal 6 3 2 6 2" xfId="14070" xr:uid="{00000000-0005-0000-0000-000079310000}"/>
    <cellStyle name="Normal 6 3 2 7" xfId="7605" xr:uid="{00000000-0005-0000-0000-00007A310000}"/>
    <cellStyle name="Normal 6 3 3" xfId="476" xr:uid="{00000000-0005-0000-0000-00007B310000}"/>
    <cellStyle name="Normal 6 3 3 2" xfId="922" xr:uid="{00000000-0005-0000-0000-00007C310000}"/>
    <cellStyle name="Normal 6 3 3 2 2" xfId="1789" xr:uid="{00000000-0005-0000-0000-00007D310000}"/>
    <cellStyle name="Normal 6 3 3 2 2 2" xfId="3528" xr:uid="{00000000-0005-0000-0000-00007E310000}"/>
    <cellStyle name="Normal 6 3 3 2 2 2 2" xfId="6860" xr:uid="{00000000-0005-0000-0000-00007F310000}"/>
    <cellStyle name="Normal 6 3 3 2 2 2 2 2" xfId="14089" xr:uid="{00000000-0005-0000-0000-000080310000}"/>
    <cellStyle name="Normal 6 3 3 2 2 2 3" xfId="10757" xr:uid="{00000000-0005-0000-0000-000081310000}"/>
    <cellStyle name="Normal 6 3 3 2 2 3" xfId="6859" xr:uid="{00000000-0005-0000-0000-000082310000}"/>
    <cellStyle name="Normal 6 3 3 2 2 3 2" xfId="14088" xr:uid="{00000000-0005-0000-0000-000083310000}"/>
    <cellStyle name="Normal 6 3 3 2 2 4" xfId="9019" xr:uid="{00000000-0005-0000-0000-000084310000}"/>
    <cellStyle name="Normal 6 3 3 2 3" xfId="2661" xr:uid="{00000000-0005-0000-0000-000085310000}"/>
    <cellStyle name="Normal 6 3 3 2 3 2" xfId="6861" xr:uid="{00000000-0005-0000-0000-000086310000}"/>
    <cellStyle name="Normal 6 3 3 2 3 2 2" xfId="14090" xr:uid="{00000000-0005-0000-0000-000087310000}"/>
    <cellStyle name="Normal 6 3 3 2 3 3" xfId="9890" xr:uid="{00000000-0005-0000-0000-000088310000}"/>
    <cellStyle name="Normal 6 3 3 2 4" xfId="6858" xr:uid="{00000000-0005-0000-0000-000089310000}"/>
    <cellStyle name="Normal 6 3 3 2 4 2" xfId="14087" xr:uid="{00000000-0005-0000-0000-00008A310000}"/>
    <cellStyle name="Normal 6 3 3 2 5" xfId="8152" xr:uid="{00000000-0005-0000-0000-00008B310000}"/>
    <cellStyle name="Normal 6 3 3 3" xfId="1358" xr:uid="{00000000-0005-0000-0000-00008C310000}"/>
    <cellStyle name="Normal 6 3 3 3 2" xfId="3097" xr:uid="{00000000-0005-0000-0000-00008D310000}"/>
    <cellStyle name="Normal 6 3 3 3 2 2" xfId="6863" xr:uid="{00000000-0005-0000-0000-00008E310000}"/>
    <cellStyle name="Normal 6 3 3 3 2 2 2" xfId="14092" xr:uid="{00000000-0005-0000-0000-00008F310000}"/>
    <cellStyle name="Normal 6 3 3 3 2 3" xfId="10326" xr:uid="{00000000-0005-0000-0000-000090310000}"/>
    <cellStyle name="Normal 6 3 3 3 3" xfId="6862" xr:uid="{00000000-0005-0000-0000-000091310000}"/>
    <cellStyle name="Normal 6 3 3 3 3 2" xfId="14091" xr:uid="{00000000-0005-0000-0000-000092310000}"/>
    <cellStyle name="Normal 6 3 3 3 4" xfId="8588" xr:uid="{00000000-0005-0000-0000-000093310000}"/>
    <cellStyle name="Normal 6 3 3 4" xfId="2230" xr:uid="{00000000-0005-0000-0000-000094310000}"/>
    <cellStyle name="Normal 6 3 3 4 2" xfId="6864" xr:uid="{00000000-0005-0000-0000-000095310000}"/>
    <cellStyle name="Normal 6 3 3 4 2 2" xfId="14093" xr:uid="{00000000-0005-0000-0000-000096310000}"/>
    <cellStyle name="Normal 6 3 3 4 3" xfId="9459" xr:uid="{00000000-0005-0000-0000-000097310000}"/>
    <cellStyle name="Normal 6 3 3 5" xfId="6857" xr:uid="{00000000-0005-0000-0000-000098310000}"/>
    <cellStyle name="Normal 6 3 3 5 2" xfId="14086" xr:uid="{00000000-0005-0000-0000-000099310000}"/>
    <cellStyle name="Normal 6 3 3 6" xfId="7721" xr:uid="{00000000-0005-0000-0000-00009A310000}"/>
    <cellStyle name="Normal 6 3 4" xfId="698" xr:uid="{00000000-0005-0000-0000-00009B310000}"/>
    <cellStyle name="Normal 6 3 4 2" xfId="1571" xr:uid="{00000000-0005-0000-0000-00009C310000}"/>
    <cellStyle name="Normal 6 3 4 2 2" xfId="3310" xr:uid="{00000000-0005-0000-0000-00009D310000}"/>
    <cellStyle name="Normal 6 3 4 2 2 2" xfId="6867" xr:uid="{00000000-0005-0000-0000-00009E310000}"/>
    <cellStyle name="Normal 6 3 4 2 2 2 2" xfId="14096" xr:uid="{00000000-0005-0000-0000-00009F310000}"/>
    <cellStyle name="Normal 6 3 4 2 2 3" xfId="10539" xr:uid="{00000000-0005-0000-0000-0000A0310000}"/>
    <cellStyle name="Normal 6 3 4 2 3" xfId="6866" xr:uid="{00000000-0005-0000-0000-0000A1310000}"/>
    <cellStyle name="Normal 6 3 4 2 3 2" xfId="14095" xr:uid="{00000000-0005-0000-0000-0000A2310000}"/>
    <cellStyle name="Normal 6 3 4 2 4" xfId="8801" xr:uid="{00000000-0005-0000-0000-0000A3310000}"/>
    <cellStyle name="Normal 6 3 4 3" xfId="2443" xr:uid="{00000000-0005-0000-0000-0000A4310000}"/>
    <cellStyle name="Normal 6 3 4 3 2" xfId="6868" xr:uid="{00000000-0005-0000-0000-0000A5310000}"/>
    <cellStyle name="Normal 6 3 4 3 2 2" xfId="14097" xr:uid="{00000000-0005-0000-0000-0000A6310000}"/>
    <cellStyle name="Normal 6 3 4 3 3" xfId="9672" xr:uid="{00000000-0005-0000-0000-0000A7310000}"/>
    <cellStyle name="Normal 6 3 4 4" xfId="6865" xr:uid="{00000000-0005-0000-0000-0000A8310000}"/>
    <cellStyle name="Normal 6 3 4 4 2" xfId="14094" xr:uid="{00000000-0005-0000-0000-0000A9310000}"/>
    <cellStyle name="Normal 6 3 4 5" xfId="7934" xr:uid="{00000000-0005-0000-0000-0000AA310000}"/>
    <cellStyle name="Normal 6 3 5" xfId="1140" xr:uid="{00000000-0005-0000-0000-0000AB310000}"/>
    <cellStyle name="Normal 6 3 5 2" xfId="2879" xr:uid="{00000000-0005-0000-0000-0000AC310000}"/>
    <cellStyle name="Normal 6 3 5 2 2" xfId="6870" xr:uid="{00000000-0005-0000-0000-0000AD310000}"/>
    <cellStyle name="Normal 6 3 5 2 2 2" xfId="14099" xr:uid="{00000000-0005-0000-0000-0000AE310000}"/>
    <cellStyle name="Normal 6 3 5 2 3" xfId="10108" xr:uid="{00000000-0005-0000-0000-0000AF310000}"/>
    <cellStyle name="Normal 6 3 5 3" xfId="6869" xr:uid="{00000000-0005-0000-0000-0000B0310000}"/>
    <cellStyle name="Normal 6 3 5 3 2" xfId="14098" xr:uid="{00000000-0005-0000-0000-0000B1310000}"/>
    <cellStyle name="Normal 6 3 5 4" xfId="8370" xr:uid="{00000000-0005-0000-0000-0000B2310000}"/>
    <cellStyle name="Normal 6 3 6" xfId="2012" xr:uid="{00000000-0005-0000-0000-0000B3310000}"/>
    <cellStyle name="Normal 6 3 6 2" xfId="6871" xr:uid="{00000000-0005-0000-0000-0000B4310000}"/>
    <cellStyle name="Normal 6 3 6 2 2" xfId="14100" xr:uid="{00000000-0005-0000-0000-0000B5310000}"/>
    <cellStyle name="Normal 6 3 6 3" xfId="9241" xr:uid="{00000000-0005-0000-0000-0000B6310000}"/>
    <cellStyle name="Normal 6 3 7" xfId="6840" xr:uid="{00000000-0005-0000-0000-0000B7310000}"/>
    <cellStyle name="Normal 6 3 7 2" xfId="14069" xr:uid="{00000000-0005-0000-0000-0000B8310000}"/>
    <cellStyle name="Normal 6 3 8" xfId="7503" xr:uid="{00000000-0005-0000-0000-0000B9310000}"/>
    <cellStyle name="Normal 6 4" xfId="235" xr:uid="{00000000-0005-0000-0000-0000BA310000}"/>
    <cellStyle name="Normal 6 4 2" xfId="353" xr:uid="{00000000-0005-0000-0000-0000BB310000}"/>
    <cellStyle name="Normal 6 4 2 2" xfId="579" xr:uid="{00000000-0005-0000-0000-0000BC310000}"/>
    <cellStyle name="Normal 6 4 2 2 2" xfId="1025" xr:uid="{00000000-0005-0000-0000-0000BD310000}"/>
    <cellStyle name="Normal 6 4 2 2 2 2" xfId="1892" xr:uid="{00000000-0005-0000-0000-0000BE310000}"/>
    <cellStyle name="Normal 6 4 2 2 2 2 2" xfId="3631" xr:uid="{00000000-0005-0000-0000-0000BF310000}"/>
    <cellStyle name="Normal 6 4 2 2 2 2 2 2" xfId="6877" xr:uid="{00000000-0005-0000-0000-0000C0310000}"/>
    <cellStyle name="Normal 6 4 2 2 2 2 2 2 2" xfId="14106" xr:uid="{00000000-0005-0000-0000-0000C1310000}"/>
    <cellStyle name="Normal 6 4 2 2 2 2 2 3" xfId="10860" xr:uid="{00000000-0005-0000-0000-0000C2310000}"/>
    <cellStyle name="Normal 6 4 2 2 2 2 3" xfId="6876" xr:uid="{00000000-0005-0000-0000-0000C3310000}"/>
    <cellStyle name="Normal 6 4 2 2 2 2 3 2" xfId="14105" xr:uid="{00000000-0005-0000-0000-0000C4310000}"/>
    <cellStyle name="Normal 6 4 2 2 2 2 4" xfId="9122" xr:uid="{00000000-0005-0000-0000-0000C5310000}"/>
    <cellStyle name="Normal 6 4 2 2 2 3" xfId="2764" xr:uid="{00000000-0005-0000-0000-0000C6310000}"/>
    <cellStyle name="Normal 6 4 2 2 2 3 2" xfId="6878" xr:uid="{00000000-0005-0000-0000-0000C7310000}"/>
    <cellStyle name="Normal 6 4 2 2 2 3 2 2" xfId="14107" xr:uid="{00000000-0005-0000-0000-0000C8310000}"/>
    <cellStyle name="Normal 6 4 2 2 2 3 3" xfId="9993" xr:uid="{00000000-0005-0000-0000-0000C9310000}"/>
    <cellStyle name="Normal 6 4 2 2 2 4" xfId="6875" xr:uid="{00000000-0005-0000-0000-0000CA310000}"/>
    <cellStyle name="Normal 6 4 2 2 2 4 2" xfId="14104" xr:uid="{00000000-0005-0000-0000-0000CB310000}"/>
    <cellStyle name="Normal 6 4 2 2 2 5" xfId="8255" xr:uid="{00000000-0005-0000-0000-0000CC310000}"/>
    <cellStyle name="Normal 6 4 2 2 3" xfId="1461" xr:uid="{00000000-0005-0000-0000-0000CD310000}"/>
    <cellStyle name="Normal 6 4 2 2 3 2" xfId="3200" xr:uid="{00000000-0005-0000-0000-0000CE310000}"/>
    <cellStyle name="Normal 6 4 2 2 3 2 2" xfId="6880" xr:uid="{00000000-0005-0000-0000-0000CF310000}"/>
    <cellStyle name="Normal 6 4 2 2 3 2 2 2" xfId="14109" xr:uid="{00000000-0005-0000-0000-0000D0310000}"/>
    <cellStyle name="Normal 6 4 2 2 3 2 3" xfId="10429" xr:uid="{00000000-0005-0000-0000-0000D1310000}"/>
    <cellStyle name="Normal 6 4 2 2 3 3" xfId="6879" xr:uid="{00000000-0005-0000-0000-0000D2310000}"/>
    <cellStyle name="Normal 6 4 2 2 3 3 2" xfId="14108" xr:uid="{00000000-0005-0000-0000-0000D3310000}"/>
    <cellStyle name="Normal 6 4 2 2 3 4" xfId="8691" xr:uid="{00000000-0005-0000-0000-0000D4310000}"/>
    <cellStyle name="Normal 6 4 2 2 4" xfId="2333" xr:uid="{00000000-0005-0000-0000-0000D5310000}"/>
    <cellStyle name="Normal 6 4 2 2 4 2" xfId="6881" xr:uid="{00000000-0005-0000-0000-0000D6310000}"/>
    <cellStyle name="Normal 6 4 2 2 4 2 2" xfId="14110" xr:uid="{00000000-0005-0000-0000-0000D7310000}"/>
    <cellStyle name="Normal 6 4 2 2 4 3" xfId="9562" xr:uid="{00000000-0005-0000-0000-0000D8310000}"/>
    <cellStyle name="Normal 6 4 2 2 5" xfId="6874" xr:uid="{00000000-0005-0000-0000-0000D9310000}"/>
    <cellStyle name="Normal 6 4 2 2 5 2" xfId="14103" xr:uid="{00000000-0005-0000-0000-0000DA310000}"/>
    <cellStyle name="Normal 6 4 2 2 6" xfId="7824" xr:uid="{00000000-0005-0000-0000-0000DB310000}"/>
    <cellStyle name="Normal 6 4 2 3" xfId="801" xr:uid="{00000000-0005-0000-0000-0000DC310000}"/>
    <cellStyle name="Normal 6 4 2 3 2" xfId="1674" xr:uid="{00000000-0005-0000-0000-0000DD310000}"/>
    <cellStyle name="Normal 6 4 2 3 2 2" xfId="3413" xr:uid="{00000000-0005-0000-0000-0000DE310000}"/>
    <cellStyle name="Normal 6 4 2 3 2 2 2" xfId="6884" xr:uid="{00000000-0005-0000-0000-0000DF310000}"/>
    <cellStyle name="Normal 6 4 2 3 2 2 2 2" xfId="14113" xr:uid="{00000000-0005-0000-0000-0000E0310000}"/>
    <cellStyle name="Normal 6 4 2 3 2 2 3" xfId="10642" xr:uid="{00000000-0005-0000-0000-0000E1310000}"/>
    <cellStyle name="Normal 6 4 2 3 2 3" xfId="6883" xr:uid="{00000000-0005-0000-0000-0000E2310000}"/>
    <cellStyle name="Normal 6 4 2 3 2 3 2" xfId="14112" xr:uid="{00000000-0005-0000-0000-0000E3310000}"/>
    <cellStyle name="Normal 6 4 2 3 2 4" xfId="8904" xr:uid="{00000000-0005-0000-0000-0000E4310000}"/>
    <cellStyle name="Normal 6 4 2 3 3" xfId="2546" xr:uid="{00000000-0005-0000-0000-0000E5310000}"/>
    <cellStyle name="Normal 6 4 2 3 3 2" xfId="6885" xr:uid="{00000000-0005-0000-0000-0000E6310000}"/>
    <cellStyle name="Normal 6 4 2 3 3 2 2" xfId="14114" xr:uid="{00000000-0005-0000-0000-0000E7310000}"/>
    <cellStyle name="Normal 6 4 2 3 3 3" xfId="9775" xr:uid="{00000000-0005-0000-0000-0000E8310000}"/>
    <cellStyle name="Normal 6 4 2 3 4" xfId="6882" xr:uid="{00000000-0005-0000-0000-0000E9310000}"/>
    <cellStyle name="Normal 6 4 2 3 4 2" xfId="14111" xr:uid="{00000000-0005-0000-0000-0000EA310000}"/>
    <cellStyle name="Normal 6 4 2 3 5" xfId="8037" xr:uid="{00000000-0005-0000-0000-0000EB310000}"/>
    <cellStyle name="Normal 6 4 2 4" xfId="1243" xr:uid="{00000000-0005-0000-0000-0000EC310000}"/>
    <cellStyle name="Normal 6 4 2 4 2" xfId="2982" xr:uid="{00000000-0005-0000-0000-0000ED310000}"/>
    <cellStyle name="Normal 6 4 2 4 2 2" xfId="6887" xr:uid="{00000000-0005-0000-0000-0000EE310000}"/>
    <cellStyle name="Normal 6 4 2 4 2 2 2" xfId="14116" xr:uid="{00000000-0005-0000-0000-0000EF310000}"/>
    <cellStyle name="Normal 6 4 2 4 2 3" xfId="10211" xr:uid="{00000000-0005-0000-0000-0000F0310000}"/>
    <cellStyle name="Normal 6 4 2 4 3" xfId="6886" xr:uid="{00000000-0005-0000-0000-0000F1310000}"/>
    <cellStyle name="Normal 6 4 2 4 3 2" xfId="14115" xr:uid="{00000000-0005-0000-0000-0000F2310000}"/>
    <cellStyle name="Normal 6 4 2 4 4" xfId="8473" xr:uid="{00000000-0005-0000-0000-0000F3310000}"/>
    <cellStyle name="Normal 6 4 2 5" xfId="2115" xr:uid="{00000000-0005-0000-0000-0000F4310000}"/>
    <cellStyle name="Normal 6 4 2 5 2" xfId="6888" xr:uid="{00000000-0005-0000-0000-0000F5310000}"/>
    <cellStyle name="Normal 6 4 2 5 2 2" xfId="14117" xr:uid="{00000000-0005-0000-0000-0000F6310000}"/>
    <cellStyle name="Normal 6 4 2 5 3" xfId="9344" xr:uid="{00000000-0005-0000-0000-0000F7310000}"/>
    <cellStyle name="Normal 6 4 2 6" xfId="6873" xr:uid="{00000000-0005-0000-0000-0000F8310000}"/>
    <cellStyle name="Normal 6 4 2 6 2" xfId="14102" xr:uid="{00000000-0005-0000-0000-0000F9310000}"/>
    <cellStyle name="Normal 6 4 2 7" xfId="7606" xr:uid="{00000000-0005-0000-0000-0000FA310000}"/>
    <cellStyle name="Normal 6 4 3" xfId="477" xr:uid="{00000000-0005-0000-0000-0000FB310000}"/>
    <cellStyle name="Normal 6 4 3 2" xfId="923" xr:uid="{00000000-0005-0000-0000-0000FC310000}"/>
    <cellStyle name="Normal 6 4 3 2 2" xfId="1790" xr:uid="{00000000-0005-0000-0000-0000FD310000}"/>
    <cellStyle name="Normal 6 4 3 2 2 2" xfId="3529" xr:uid="{00000000-0005-0000-0000-0000FE310000}"/>
    <cellStyle name="Normal 6 4 3 2 2 2 2" xfId="6892" xr:uid="{00000000-0005-0000-0000-0000FF310000}"/>
    <cellStyle name="Normal 6 4 3 2 2 2 2 2" xfId="14121" xr:uid="{00000000-0005-0000-0000-000000320000}"/>
    <cellStyle name="Normal 6 4 3 2 2 2 3" xfId="10758" xr:uid="{00000000-0005-0000-0000-000001320000}"/>
    <cellStyle name="Normal 6 4 3 2 2 3" xfId="6891" xr:uid="{00000000-0005-0000-0000-000002320000}"/>
    <cellStyle name="Normal 6 4 3 2 2 3 2" xfId="14120" xr:uid="{00000000-0005-0000-0000-000003320000}"/>
    <cellStyle name="Normal 6 4 3 2 2 4" xfId="9020" xr:uid="{00000000-0005-0000-0000-000004320000}"/>
    <cellStyle name="Normal 6 4 3 2 3" xfId="2662" xr:uid="{00000000-0005-0000-0000-000005320000}"/>
    <cellStyle name="Normal 6 4 3 2 3 2" xfId="6893" xr:uid="{00000000-0005-0000-0000-000006320000}"/>
    <cellStyle name="Normal 6 4 3 2 3 2 2" xfId="14122" xr:uid="{00000000-0005-0000-0000-000007320000}"/>
    <cellStyle name="Normal 6 4 3 2 3 3" xfId="9891" xr:uid="{00000000-0005-0000-0000-000008320000}"/>
    <cellStyle name="Normal 6 4 3 2 4" xfId="6890" xr:uid="{00000000-0005-0000-0000-000009320000}"/>
    <cellStyle name="Normal 6 4 3 2 4 2" xfId="14119" xr:uid="{00000000-0005-0000-0000-00000A320000}"/>
    <cellStyle name="Normal 6 4 3 2 5" xfId="8153" xr:uid="{00000000-0005-0000-0000-00000B320000}"/>
    <cellStyle name="Normal 6 4 3 3" xfId="1359" xr:uid="{00000000-0005-0000-0000-00000C320000}"/>
    <cellStyle name="Normal 6 4 3 3 2" xfId="3098" xr:uid="{00000000-0005-0000-0000-00000D320000}"/>
    <cellStyle name="Normal 6 4 3 3 2 2" xfId="6895" xr:uid="{00000000-0005-0000-0000-00000E320000}"/>
    <cellStyle name="Normal 6 4 3 3 2 2 2" xfId="14124" xr:uid="{00000000-0005-0000-0000-00000F320000}"/>
    <cellStyle name="Normal 6 4 3 3 2 3" xfId="10327" xr:uid="{00000000-0005-0000-0000-000010320000}"/>
    <cellStyle name="Normal 6 4 3 3 3" xfId="6894" xr:uid="{00000000-0005-0000-0000-000011320000}"/>
    <cellStyle name="Normal 6 4 3 3 3 2" xfId="14123" xr:uid="{00000000-0005-0000-0000-000012320000}"/>
    <cellStyle name="Normal 6 4 3 3 4" xfId="8589" xr:uid="{00000000-0005-0000-0000-000013320000}"/>
    <cellStyle name="Normal 6 4 3 4" xfId="2231" xr:uid="{00000000-0005-0000-0000-000014320000}"/>
    <cellStyle name="Normal 6 4 3 4 2" xfId="6896" xr:uid="{00000000-0005-0000-0000-000015320000}"/>
    <cellStyle name="Normal 6 4 3 4 2 2" xfId="14125" xr:uid="{00000000-0005-0000-0000-000016320000}"/>
    <cellStyle name="Normal 6 4 3 4 3" xfId="9460" xr:uid="{00000000-0005-0000-0000-000017320000}"/>
    <cellStyle name="Normal 6 4 3 5" xfId="6889" xr:uid="{00000000-0005-0000-0000-000018320000}"/>
    <cellStyle name="Normal 6 4 3 5 2" xfId="14118" xr:uid="{00000000-0005-0000-0000-000019320000}"/>
    <cellStyle name="Normal 6 4 3 6" xfId="7722" xr:uid="{00000000-0005-0000-0000-00001A320000}"/>
    <cellStyle name="Normal 6 4 4" xfId="699" xr:uid="{00000000-0005-0000-0000-00001B320000}"/>
    <cellStyle name="Normal 6 4 4 2" xfId="1572" xr:uid="{00000000-0005-0000-0000-00001C320000}"/>
    <cellStyle name="Normal 6 4 4 2 2" xfId="3311" xr:uid="{00000000-0005-0000-0000-00001D320000}"/>
    <cellStyle name="Normal 6 4 4 2 2 2" xfId="6899" xr:uid="{00000000-0005-0000-0000-00001E320000}"/>
    <cellStyle name="Normal 6 4 4 2 2 2 2" xfId="14128" xr:uid="{00000000-0005-0000-0000-00001F320000}"/>
    <cellStyle name="Normal 6 4 4 2 2 3" xfId="10540" xr:uid="{00000000-0005-0000-0000-000020320000}"/>
    <cellStyle name="Normal 6 4 4 2 3" xfId="6898" xr:uid="{00000000-0005-0000-0000-000021320000}"/>
    <cellStyle name="Normal 6 4 4 2 3 2" xfId="14127" xr:uid="{00000000-0005-0000-0000-000022320000}"/>
    <cellStyle name="Normal 6 4 4 2 4" xfId="8802" xr:uid="{00000000-0005-0000-0000-000023320000}"/>
    <cellStyle name="Normal 6 4 4 3" xfId="2444" xr:uid="{00000000-0005-0000-0000-000024320000}"/>
    <cellStyle name="Normal 6 4 4 3 2" xfId="6900" xr:uid="{00000000-0005-0000-0000-000025320000}"/>
    <cellStyle name="Normal 6 4 4 3 2 2" xfId="14129" xr:uid="{00000000-0005-0000-0000-000026320000}"/>
    <cellStyle name="Normal 6 4 4 3 3" xfId="9673" xr:uid="{00000000-0005-0000-0000-000027320000}"/>
    <cellStyle name="Normal 6 4 4 4" xfId="6897" xr:uid="{00000000-0005-0000-0000-000028320000}"/>
    <cellStyle name="Normal 6 4 4 4 2" xfId="14126" xr:uid="{00000000-0005-0000-0000-000029320000}"/>
    <cellStyle name="Normal 6 4 4 5" xfId="7935" xr:uid="{00000000-0005-0000-0000-00002A320000}"/>
    <cellStyle name="Normal 6 4 5" xfId="1141" xr:uid="{00000000-0005-0000-0000-00002B320000}"/>
    <cellStyle name="Normal 6 4 5 2" xfId="2880" xr:uid="{00000000-0005-0000-0000-00002C320000}"/>
    <cellStyle name="Normal 6 4 5 2 2" xfId="6902" xr:uid="{00000000-0005-0000-0000-00002D320000}"/>
    <cellStyle name="Normal 6 4 5 2 2 2" xfId="14131" xr:uid="{00000000-0005-0000-0000-00002E320000}"/>
    <cellStyle name="Normal 6 4 5 2 3" xfId="10109" xr:uid="{00000000-0005-0000-0000-00002F320000}"/>
    <cellStyle name="Normal 6 4 5 3" xfId="6901" xr:uid="{00000000-0005-0000-0000-000030320000}"/>
    <cellStyle name="Normal 6 4 5 3 2" xfId="14130" xr:uid="{00000000-0005-0000-0000-000031320000}"/>
    <cellStyle name="Normal 6 4 5 4" xfId="8371" xr:uid="{00000000-0005-0000-0000-000032320000}"/>
    <cellStyle name="Normal 6 4 6" xfId="2013" xr:uid="{00000000-0005-0000-0000-000033320000}"/>
    <cellStyle name="Normal 6 4 6 2" xfId="6903" xr:uid="{00000000-0005-0000-0000-000034320000}"/>
    <cellStyle name="Normal 6 4 6 2 2" xfId="14132" xr:uid="{00000000-0005-0000-0000-000035320000}"/>
    <cellStyle name="Normal 6 4 6 3" xfId="9242" xr:uid="{00000000-0005-0000-0000-000036320000}"/>
    <cellStyle name="Normal 6 4 7" xfId="6872" xr:uid="{00000000-0005-0000-0000-000037320000}"/>
    <cellStyle name="Normal 6 4 7 2" xfId="14101" xr:uid="{00000000-0005-0000-0000-000038320000}"/>
    <cellStyle name="Normal 6 4 8" xfId="7504" xr:uid="{00000000-0005-0000-0000-000039320000}"/>
    <cellStyle name="Normal 6 5" xfId="6838" xr:uid="{00000000-0005-0000-0000-00003A320000}"/>
    <cellStyle name="Normal 6 5 2" xfId="14067" xr:uid="{00000000-0005-0000-0000-00003B320000}"/>
    <cellStyle name="Normal 7" xfId="41" xr:uid="{00000000-0005-0000-0000-00003C320000}"/>
    <cellStyle name="Normal 7 10" xfId="7423" xr:uid="{00000000-0005-0000-0000-00003D320000}"/>
    <cellStyle name="Normal 7 2" xfId="100" xr:uid="{00000000-0005-0000-0000-00003E320000}"/>
    <cellStyle name="Normal 7 2 2" xfId="236" xr:uid="{00000000-0005-0000-0000-00003F320000}"/>
    <cellStyle name="Normal 7 2 2 2" xfId="6906" xr:uid="{00000000-0005-0000-0000-000040320000}"/>
    <cellStyle name="Normal 7 2 2 2 2" xfId="14135" xr:uid="{00000000-0005-0000-0000-000041320000}"/>
    <cellStyle name="Normal 7 2 3" xfId="307" xr:uid="{00000000-0005-0000-0000-000042320000}"/>
    <cellStyle name="Normal 7 2 3 2" xfId="533" xr:uid="{00000000-0005-0000-0000-000043320000}"/>
    <cellStyle name="Normal 7 2 3 2 2" xfId="979" xr:uid="{00000000-0005-0000-0000-000044320000}"/>
    <cellStyle name="Normal 7 2 3 2 2 2" xfId="1846" xr:uid="{00000000-0005-0000-0000-000045320000}"/>
    <cellStyle name="Normal 7 2 3 2 2 2 2" xfId="3585" xr:uid="{00000000-0005-0000-0000-000046320000}"/>
    <cellStyle name="Normal 7 2 3 2 2 2 2 2" xfId="6911" xr:uid="{00000000-0005-0000-0000-000047320000}"/>
    <cellStyle name="Normal 7 2 3 2 2 2 2 2 2" xfId="14140" xr:uid="{00000000-0005-0000-0000-000048320000}"/>
    <cellStyle name="Normal 7 2 3 2 2 2 2 3" xfId="10814" xr:uid="{00000000-0005-0000-0000-000049320000}"/>
    <cellStyle name="Normal 7 2 3 2 2 2 3" xfId="6910" xr:uid="{00000000-0005-0000-0000-00004A320000}"/>
    <cellStyle name="Normal 7 2 3 2 2 2 3 2" xfId="14139" xr:uid="{00000000-0005-0000-0000-00004B320000}"/>
    <cellStyle name="Normal 7 2 3 2 2 2 4" xfId="9076" xr:uid="{00000000-0005-0000-0000-00004C320000}"/>
    <cellStyle name="Normal 7 2 3 2 2 3" xfId="2718" xr:uid="{00000000-0005-0000-0000-00004D320000}"/>
    <cellStyle name="Normal 7 2 3 2 2 3 2" xfId="6912" xr:uid="{00000000-0005-0000-0000-00004E320000}"/>
    <cellStyle name="Normal 7 2 3 2 2 3 2 2" xfId="14141" xr:uid="{00000000-0005-0000-0000-00004F320000}"/>
    <cellStyle name="Normal 7 2 3 2 2 3 3" xfId="9947" xr:uid="{00000000-0005-0000-0000-000050320000}"/>
    <cellStyle name="Normal 7 2 3 2 2 4" xfId="6909" xr:uid="{00000000-0005-0000-0000-000051320000}"/>
    <cellStyle name="Normal 7 2 3 2 2 4 2" xfId="14138" xr:uid="{00000000-0005-0000-0000-000052320000}"/>
    <cellStyle name="Normal 7 2 3 2 2 5" xfId="8209" xr:uid="{00000000-0005-0000-0000-000053320000}"/>
    <cellStyle name="Normal 7 2 3 2 3" xfId="1415" xr:uid="{00000000-0005-0000-0000-000054320000}"/>
    <cellStyle name="Normal 7 2 3 2 3 2" xfId="3154" xr:uid="{00000000-0005-0000-0000-000055320000}"/>
    <cellStyle name="Normal 7 2 3 2 3 2 2" xfId="6914" xr:uid="{00000000-0005-0000-0000-000056320000}"/>
    <cellStyle name="Normal 7 2 3 2 3 2 2 2" xfId="14143" xr:uid="{00000000-0005-0000-0000-000057320000}"/>
    <cellStyle name="Normal 7 2 3 2 3 2 3" xfId="10383" xr:uid="{00000000-0005-0000-0000-000058320000}"/>
    <cellStyle name="Normal 7 2 3 2 3 3" xfId="6913" xr:uid="{00000000-0005-0000-0000-000059320000}"/>
    <cellStyle name="Normal 7 2 3 2 3 3 2" xfId="14142" xr:uid="{00000000-0005-0000-0000-00005A320000}"/>
    <cellStyle name="Normal 7 2 3 2 3 4" xfId="8645" xr:uid="{00000000-0005-0000-0000-00005B320000}"/>
    <cellStyle name="Normal 7 2 3 2 4" xfId="2287" xr:uid="{00000000-0005-0000-0000-00005C320000}"/>
    <cellStyle name="Normal 7 2 3 2 4 2" xfId="6915" xr:uid="{00000000-0005-0000-0000-00005D320000}"/>
    <cellStyle name="Normal 7 2 3 2 4 2 2" xfId="14144" xr:uid="{00000000-0005-0000-0000-00005E320000}"/>
    <cellStyle name="Normal 7 2 3 2 4 3" xfId="9516" xr:uid="{00000000-0005-0000-0000-00005F320000}"/>
    <cellStyle name="Normal 7 2 3 2 5" xfId="6908" xr:uid="{00000000-0005-0000-0000-000060320000}"/>
    <cellStyle name="Normal 7 2 3 2 5 2" xfId="14137" xr:uid="{00000000-0005-0000-0000-000061320000}"/>
    <cellStyle name="Normal 7 2 3 2 6" xfId="7778" xr:uid="{00000000-0005-0000-0000-000062320000}"/>
    <cellStyle name="Normal 7 2 3 3" xfId="755" xr:uid="{00000000-0005-0000-0000-000063320000}"/>
    <cellStyle name="Normal 7 2 3 3 2" xfId="1628" xr:uid="{00000000-0005-0000-0000-000064320000}"/>
    <cellStyle name="Normal 7 2 3 3 2 2" xfId="3367" xr:uid="{00000000-0005-0000-0000-000065320000}"/>
    <cellStyle name="Normal 7 2 3 3 2 2 2" xfId="6918" xr:uid="{00000000-0005-0000-0000-000066320000}"/>
    <cellStyle name="Normal 7 2 3 3 2 2 2 2" xfId="14147" xr:uid="{00000000-0005-0000-0000-000067320000}"/>
    <cellStyle name="Normal 7 2 3 3 2 2 3" xfId="10596" xr:uid="{00000000-0005-0000-0000-000068320000}"/>
    <cellStyle name="Normal 7 2 3 3 2 3" xfId="6917" xr:uid="{00000000-0005-0000-0000-000069320000}"/>
    <cellStyle name="Normal 7 2 3 3 2 3 2" xfId="14146" xr:uid="{00000000-0005-0000-0000-00006A320000}"/>
    <cellStyle name="Normal 7 2 3 3 2 4" xfId="8858" xr:uid="{00000000-0005-0000-0000-00006B320000}"/>
    <cellStyle name="Normal 7 2 3 3 3" xfId="2500" xr:uid="{00000000-0005-0000-0000-00006C320000}"/>
    <cellStyle name="Normal 7 2 3 3 3 2" xfId="6919" xr:uid="{00000000-0005-0000-0000-00006D320000}"/>
    <cellStyle name="Normal 7 2 3 3 3 2 2" xfId="14148" xr:uid="{00000000-0005-0000-0000-00006E320000}"/>
    <cellStyle name="Normal 7 2 3 3 3 3" xfId="9729" xr:uid="{00000000-0005-0000-0000-00006F320000}"/>
    <cellStyle name="Normal 7 2 3 3 4" xfId="6916" xr:uid="{00000000-0005-0000-0000-000070320000}"/>
    <cellStyle name="Normal 7 2 3 3 4 2" xfId="14145" xr:uid="{00000000-0005-0000-0000-000071320000}"/>
    <cellStyle name="Normal 7 2 3 3 5" xfId="7991" xr:uid="{00000000-0005-0000-0000-000072320000}"/>
    <cellStyle name="Normal 7 2 3 4" xfId="1197" xr:uid="{00000000-0005-0000-0000-000073320000}"/>
    <cellStyle name="Normal 7 2 3 4 2" xfId="2936" xr:uid="{00000000-0005-0000-0000-000074320000}"/>
    <cellStyle name="Normal 7 2 3 4 2 2" xfId="6921" xr:uid="{00000000-0005-0000-0000-000075320000}"/>
    <cellStyle name="Normal 7 2 3 4 2 2 2" xfId="14150" xr:uid="{00000000-0005-0000-0000-000076320000}"/>
    <cellStyle name="Normal 7 2 3 4 2 3" xfId="10165" xr:uid="{00000000-0005-0000-0000-000077320000}"/>
    <cellStyle name="Normal 7 2 3 4 3" xfId="6920" xr:uid="{00000000-0005-0000-0000-000078320000}"/>
    <cellStyle name="Normal 7 2 3 4 3 2" xfId="14149" xr:uid="{00000000-0005-0000-0000-000079320000}"/>
    <cellStyle name="Normal 7 2 3 4 4" xfId="8427" xr:uid="{00000000-0005-0000-0000-00007A320000}"/>
    <cellStyle name="Normal 7 2 3 5" xfId="2069" xr:uid="{00000000-0005-0000-0000-00007B320000}"/>
    <cellStyle name="Normal 7 2 3 5 2" xfId="6922" xr:uid="{00000000-0005-0000-0000-00007C320000}"/>
    <cellStyle name="Normal 7 2 3 5 2 2" xfId="14151" xr:uid="{00000000-0005-0000-0000-00007D320000}"/>
    <cellStyle name="Normal 7 2 3 5 3" xfId="9298" xr:uid="{00000000-0005-0000-0000-00007E320000}"/>
    <cellStyle name="Normal 7 2 3 6" xfId="6907" xr:uid="{00000000-0005-0000-0000-00007F320000}"/>
    <cellStyle name="Normal 7 2 3 6 2" xfId="14136" xr:uid="{00000000-0005-0000-0000-000080320000}"/>
    <cellStyle name="Normal 7 2 3 7" xfId="7560" xr:uid="{00000000-0005-0000-0000-000081320000}"/>
    <cellStyle name="Normal 7 2 4" xfId="431" xr:uid="{00000000-0005-0000-0000-000082320000}"/>
    <cellStyle name="Normal 7 2 4 2" xfId="877" xr:uid="{00000000-0005-0000-0000-000083320000}"/>
    <cellStyle name="Normal 7 2 4 2 2" xfId="1744" xr:uid="{00000000-0005-0000-0000-000084320000}"/>
    <cellStyle name="Normal 7 2 4 2 2 2" xfId="3483" xr:uid="{00000000-0005-0000-0000-000085320000}"/>
    <cellStyle name="Normal 7 2 4 2 2 2 2" xfId="6926" xr:uid="{00000000-0005-0000-0000-000086320000}"/>
    <cellStyle name="Normal 7 2 4 2 2 2 2 2" xfId="14155" xr:uid="{00000000-0005-0000-0000-000087320000}"/>
    <cellStyle name="Normal 7 2 4 2 2 2 3" xfId="10712" xr:uid="{00000000-0005-0000-0000-000088320000}"/>
    <cellStyle name="Normal 7 2 4 2 2 3" xfId="6925" xr:uid="{00000000-0005-0000-0000-000089320000}"/>
    <cellStyle name="Normal 7 2 4 2 2 3 2" xfId="14154" xr:uid="{00000000-0005-0000-0000-00008A320000}"/>
    <cellStyle name="Normal 7 2 4 2 2 4" xfId="8974" xr:uid="{00000000-0005-0000-0000-00008B320000}"/>
    <cellStyle name="Normal 7 2 4 2 3" xfId="2616" xr:uid="{00000000-0005-0000-0000-00008C320000}"/>
    <cellStyle name="Normal 7 2 4 2 3 2" xfId="6927" xr:uid="{00000000-0005-0000-0000-00008D320000}"/>
    <cellStyle name="Normal 7 2 4 2 3 2 2" xfId="14156" xr:uid="{00000000-0005-0000-0000-00008E320000}"/>
    <cellStyle name="Normal 7 2 4 2 3 3" xfId="9845" xr:uid="{00000000-0005-0000-0000-00008F320000}"/>
    <cellStyle name="Normal 7 2 4 2 4" xfId="6924" xr:uid="{00000000-0005-0000-0000-000090320000}"/>
    <cellStyle name="Normal 7 2 4 2 4 2" xfId="14153" xr:uid="{00000000-0005-0000-0000-000091320000}"/>
    <cellStyle name="Normal 7 2 4 2 5" xfId="8107" xr:uid="{00000000-0005-0000-0000-000092320000}"/>
    <cellStyle name="Normal 7 2 4 3" xfId="1313" xr:uid="{00000000-0005-0000-0000-000093320000}"/>
    <cellStyle name="Normal 7 2 4 3 2" xfId="3052" xr:uid="{00000000-0005-0000-0000-000094320000}"/>
    <cellStyle name="Normal 7 2 4 3 2 2" xfId="6929" xr:uid="{00000000-0005-0000-0000-000095320000}"/>
    <cellStyle name="Normal 7 2 4 3 2 2 2" xfId="14158" xr:uid="{00000000-0005-0000-0000-000096320000}"/>
    <cellStyle name="Normal 7 2 4 3 2 3" xfId="10281" xr:uid="{00000000-0005-0000-0000-000097320000}"/>
    <cellStyle name="Normal 7 2 4 3 3" xfId="6928" xr:uid="{00000000-0005-0000-0000-000098320000}"/>
    <cellStyle name="Normal 7 2 4 3 3 2" xfId="14157" xr:uid="{00000000-0005-0000-0000-000099320000}"/>
    <cellStyle name="Normal 7 2 4 3 4" xfId="8543" xr:uid="{00000000-0005-0000-0000-00009A320000}"/>
    <cellStyle name="Normal 7 2 4 4" xfId="2185" xr:uid="{00000000-0005-0000-0000-00009B320000}"/>
    <cellStyle name="Normal 7 2 4 4 2" xfId="6930" xr:uid="{00000000-0005-0000-0000-00009C320000}"/>
    <cellStyle name="Normal 7 2 4 4 2 2" xfId="14159" xr:uid="{00000000-0005-0000-0000-00009D320000}"/>
    <cellStyle name="Normal 7 2 4 4 3" xfId="9414" xr:uid="{00000000-0005-0000-0000-00009E320000}"/>
    <cellStyle name="Normal 7 2 4 5" xfId="6923" xr:uid="{00000000-0005-0000-0000-00009F320000}"/>
    <cellStyle name="Normal 7 2 4 5 2" xfId="14152" xr:uid="{00000000-0005-0000-0000-0000A0320000}"/>
    <cellStyle name="Normal 7 2 4 6" xfId="7676" xr:uid="{00000000-0005-0000-0000-0000A1320000}"/>
    <cellStyle name="Normal 7 2 5" xfId="650" xr:uid="{00000000-0005-0000-0000-0000A2320000}"/>
    <cellStyle name="Normal 7 2 5 2" xfId="1526" xr:uid="{00000000-0005-0000-0000-0000A3320000}"/>
    <cellStyle name="Normal 7 2 5 2 2" xfId="3265" xr:uid="{00000000-0005-0000-0000-0000A4320000}"/>
    <cellStyle name="Normal 7 2 5 2 2 2" xfId="6933" xr:uid="{00000000-0005-0000-0000-0000A5320000}"/>
    <cellStyle name="Normal 7 2 5 2 2 2 2" xfId="14162" xr:uid="{00000000-0005-0000-0000-0000A6320000}"/>
    <cellStyle name="Normal 7 2 5 2 2 3" xfId="10494" xr:uid="{00000000-0005-0000-0000-0000A7320000}"/>
    <cellStyle name="Normal 7 2 5 2 3" xfId="6932" xr:uid="{00000000-0005-0000-0000-0000A8320000}"/>
    <cellStyle name="Normal 7 2 5 2 3 2" xfId="14161" xr:uid="{00000000-0005-0000-0000-0000A9320000}"/>
    <cellStyle name="Normal 7 2 5 2 4" xfId="8756" xr:uid="{00000000-0005-0000-0000-0000AA320000}"/>
    <cellStyle name="Normal 7 2 5 3" xfId="2398" xr:uid="{00000000-0005-0000-0000-0000AB320000}"/>
    <cellStyle name="Normal 7 2 5 3 2" xfId="6934" xr:uid="{00000000-0005-0000-0000-0000AC320000}"/>
    <cellStyle name="Normal 7 2 5 3 2 2" xfId="14163" xr:uid="{00000000-0005-0000-0000-0000AD320000}"/>
    <cellStyle name="Normal 7 2 5 3 3" xfId="9627" xr:uid="{00000000-0005-0000-0000-0000AE320000}"/>
    <cellStyle name="Normal 7 2 5 4" xfId="6931" xr:uid="{00000000-0005-0000-0000-0000AF320000}"/>
    <cellStyle name="Normal 7 2 5 4 2" xfId="14160" xr:uid="{00000000-0005-0000-0000-0000B0320000}"/>
    <cellStyle name="Normal 7 2 5 5" xfId="7889" xr:uid="{00000000-0005-0000-0000-0000B1320000}"/>
    <cellStyle name="Normal 7 2 6" xfId="1095" xr:uid="{00000000-0005-0000-0000-0000B2320000}"/>
    <cellStyle name="Normal 7 2 6 2" xfId="2834" xr:uid="{00000000-0005-0000-0000-0000B3320000}"/>
    <cellStyle name="Normal 7 2 6 2 2" xfId="6936" xr:uid="{00000000-0005-0000-0000-0000B4320000}"/>
    <cellStyle name="Normal 7 2 6 2 2 2" xfId="14165" xr:uid="{00000000-0005-0000-0000-0000B5320000}"/>
    <cellStyle name="Normal 7 2 6 2 3" xfId="10063" xr:uid="{00000000-0005-0000-0000-0000B6320000}"/>
    <cellStyle name="Normal 7 2 6 3" xfId="6935" xr:uid="{00000000-0005-0000-0000-0000B7320000}"/>
    <cellStyle name="Normal 7 2 6 3 2" xfId="14164" xr:uid="{00000000-0005-0000-0000-0000B8320000}"/>
    <cellStyle name="Normal 7 2 6 4" xfId="8325" xr:uid="{00000000-0005-0000-0000-0000B9320000}"/>
    <cellStyle name="Normal 7 2 7" xfId="1967" xr:uid="{00000000-0005-0000-0000-0000BA320000}"/>
    <cellStyle name="Normal 7 2 7 2" xfId="6937" xr:uid="{00000000-0005-0000-0000-0000BB320000}"/>
    <cellStyle name="Normal 7 2 7 2 2" xfId="14166" xr:uid="{00000000-0005-0000-0000-0000BC320000}"/>
    <cellStyle name="Normal 7 2 7 3" xfId="9196" xr:uid="{00000000-0005-0000-0000-0000BD320000}"/>
    <cellStyle name="Normal 7 2 8" xfId="6905" xr:uid="{00000000-0005-0000-0000-0000BE320000}"/>
    <cellStyle name="Normal 7 2 8 2" xfId="14134" xr:uid="{00000000-0005-0000-0000-0000BF320000}"/>
    <cellStyle name="Normal 7 2 9" xfId="7456" xr:uid="{00000000-0005-0000-0000-0000C0320000}"/>
    <cellStyle name="Normal 7 3" xfId="237" xr:uid="{00000000-0005-0000-0000-0000C1320000}"/>
    <cellStyle name="Normal 7 3 2" xfId="354" xr:uid="{00000000-0005-0000-0000-0000C2320000}"/>
    <cellStyle name="Normal 7 3 2 2" xfId="580" xr:uid="{00000000-0005-0000-0000-0000C3320000}"/>
    <cellStyle name="Normal 7 3 2 2 2" xfId="1026" xr:uid="{00000000-0005-0000-0000-0000C4320000}"/>
    <cellStyle name="Normal 7 3 2 2 2 2" xfId="1893" xr:uid="{00000000-0005-0000-0000-0000C5320000}"/>
    <cellStyle name="Normal 7 3 2 2 2 2 2" xfId="3632" xr:uid="{00000000-0005-0000-0000-0000C6320000}"/>
    <cellStyle name="Normal 7 3 2 2 2 2 2 2" xfId="6943" xr:uid="{00000000-0005-0000-0000-0000C7320000}"/>
    <cellStyle name="Normal 7 3 2 2 2 2 2 2 2" xfId="14172" xr:uid="{00000000-0005-0000-0000-0000C8320000}"/>
    <cellStyle name="Normal 7 3 2 2 2 2 2 3" xfId="10861" xr:uid="{00000000-0005-0000-0000-0000C9320000}"/>
    <cellStyle name="Normal 7 3 2 2 2 2 3" xfId="6942" xr:uid="{00000000-0005-0000-0000-0000CA320000}"/>
    <cellStyle name="Normal 7 3 2 2 2 2 3 2" xfId="14171" xr:uid="{00000000-0005-0000-0000-0000CB320000}"/>
    <cellStyle name="Normal 7 3 2 2 2 2 4" xfId="9123" xr:uid="{00000000-0005-0000-0000-0000CC320000}"/>
    <cellStyle name="Normal 7 3 2 2 2 3" xfId="2765" xr:uid="{00000000-0005-0000-0000-0000CD320000}"/>
    <cellStyle name="Normal 7 3 2 2 2 3 2" xfId="6944" xr:uid="{00000000-0005-0000-0000-0000CE320000}"/>
    <cellStyle name="Normal 7 3 2 2 2 3 2 2" xfId="14173" xr:uid="{00000000-0005-0000-0000-0000CF320000}"/>
    <cellStyle name="Normal 7 3 2 2 2 3 3" xfId="9994" xr:uid="{00000000-0005-0000-0000-0000D0320000}"/>
    <cellStyle name="Normal 7 3 2 2 2 4" xfId="6941" xr:uid="{00000000-0005-0000-0000-0000D1320000}"/>
    <cellStyle name="Normal 7 3 2 2 2 4 2" xfId="14170" xr:uid="{00000000-0005-0000-0000-0000D2320000}"/>
    <cellStyle name="Normal 7 3 2 2 2 5" xfId="8256" xr:uid="{00000000-0005-0000-0000-0000D3320000}"/>
    <cellStyle name="Normal 7 3 2 2 3" xfId="1462" xr:uid="{00000000-0005-0000-0000-0000D4320000}"/>
    <cellStyle name="Normal 7 3 2 2 3 2" xfId="3201" xr:uid="{00000000-0005-0000-0000-0000D5320000}"/>
    <cellStyle name="Normal 7 3 2 2 3 2 2" xfId="6946" xr:uid="{00000000-0005-0000-0000-0000D6320000}"/>
    <cellStyle name="Normal 7 3 2 2 3 2 2 2" xfId="14175" xr:uid="{00000000-0005-0000-0000-0000D7320000}"/>
    <cellStyle name="Normal 7 3 2 2 3 2 3" xfId="10430" xr:uid="{00000000-0005-0000-0000-0000D8320000}"/>
    <cellStyle name="Normal 7 3 2 2 3 3" xfId="6945" xr:uid="{00000000-0005-0000-0000-0000D9320000}"/>
    <cellStyle name="Normal 7 3 2 2 3 3 2" xfId="14174" xr:uid="{00000000-0005-0000-0000-0000DA320000}"/>
    <cellStyle name="Normal 7 3 2 2 3 4" xfId="8692" xr:uid="{00000000-0005-0000-0000-0000DB320000}"/>
    <cellStyle name="Normal 7 3 2 2 4" xfId="2334" xr:uid="{00000000-0005-0000-0000-0000DC320000}"/>
    <cellStyle name="Normal 7 3 2 2 4 2" xfId="6947" xr:uid="{00000000-0005-0000-0000-0000DD320000}"/>
    <cellStyle name="Normal 7 3 2 2 4 2 2" xfId="14176" xr:uid="{00000000-0005-0000-0000-0000DE320000}"/>
    <cellStyle name="Normal 7 3 2 2 4 3" xfId="9563" xr:uid="{00000000-0005-0000-0000-0000DF320000}"/>
    <cellStyle name="Normal 7 3 2 2 5" xfId="6940" xr:uid="{00000000-0005-0000-0000-0000E0320000}"/>
    <cellStyle name="Normal 7 3 2 2 5 2" xfId="14169" xr:uid="{00000000-0005-0000-0000-0000E1320000}"/>
    <cellStyle name="Normal 7 3 2 2 6" xfId="7825" xr:uid="{00000000-0005-0000-0000-0000E2320000}"/>
    <cellStyle name="Normal 7 3 2 3" xfId="802" xr:uid="{00000000-0005-0000-0000-0000E3320000}"/>
    <cellStyle name="Normal 7 3 2 3 2" xfId="1675" xr:uid="{00000000-0005-0000-0000-0000E4320000}"/>
    <cellStyle name="Normal 7 3 2 3 2 2" xfId="3414" xr:uid="{00000000-0005-0000-0000-0000E5320000}"/>
    <cellStyle name="Normal 7 3 2 3 2 2 2" xfId="6950" xr:uid="{00000000-0005-0000-0000-0000E6320000}"/>
    <cellStyle name="Normal 7 3 2 3 2 2 2 2" xfId="14179" xr:uid="{00000000-0005-0000-0000-0000E7320000}"/>
    <cellStyle name="Normal 7 3 2 3 2 2 3" xfId="10643" xr:uid="{00000000-0005-0000-0000-0000E8320000}"/>
    <cellStyle name="Normal 7 3 2 3 2 3" xfId="6949" xr:uid="{00000000-0005-0000-0000-0000E9320000}"/>
    <cellStyle name="Normal 7 3 2 3 2 3 2" xfId="14178" xr:uid="{00000000-0005-0000-0000-0000EA320000}"/>
    <cellStyle name="Normal 7 3 2 3 2 4" xfId="8905" xr:uid="{00000000-0005-0000-0000-0000EB320000}"/>
    <cellStyle name="Normal 7 3 2 3 3" xfId="2547" xr:uid="{00000000-0005-0000-0000-0000EC320000}"/>
    <cellStyle name="Normal 7 3 2 3 3 2" xfId="6951" xr:uid="{00000000-0005-0000-0000-0000ED320000}"/>
    <cellStyle name="Normal 7 3 2 3 3 2 2" xfId="14180" xr:uid="{00000000-0005-0000-0000-0000EE320000}"/>
    <cellStyle name="Normal 7 3 2 3 3 3" xfId="9776" xr:uid="{00000000-0005-0000-0000-0000EF320000}"/>
    <cellStyle name="Normal 7 3 2 3 4" xfId="6948" xr:uid="{00000000-0005-0000-0000-0000F0320000}"/>
    <cellStyle name="Normal 7 3 2 3 4 2" xfId="14177" xr:uid="{00000000-0005-0000-0000-0000F1320000}"/>
    <cellStyle name="Normal 7 3 2 3 5" xfId="8038" xr:uid="{00000000-0005-0000-0000-0000F2320000}"/>
    <cellStyle name="Normal 7 3 2 4" xfId="1244" xr:uid="{00000000-0005-0000-0000-0000F3320000}"/>
    <cellStyle name="Normal 7 3 2 4 2" xfId="2983" xr:uid="{00000000-0005-0000-0000-0000F4320000}"/>
    <cellStyle name="Normal 7 3 2 4 2 2" xfId="6953" xr:uid="{00000000-0005-0000-0000-0000F5320000}"/>
    <cellStyle name="Normal 7 3 2 4 2 2 2" xfId="14182" xr:uid="{00000000-0005-0000-0000-0000F6320000}"/>
    <cellStyle name="Normal 7 3 2 4 2 3" xfId="10212" xr:uid="{00000000-0005-0000-0000-0000F7320000}"/>
    <cellStyle name="Normal 7 3 2 4 3" xfId="6952" xr:uid="{00000000-0005-0000-0000-0000F8320000}"/>
    <cellStyle name="Normal 7 3 2 4 3 2" xfId="14181" xr:uid="{00000000-0005-0000-0000-0000F9320000}"/>
    <cellStyle name="Normal 7 3 2 4 4" xfId="8474" xr:uid="{00000000-0005-0000-0000-0000FA320000}"/>
    <cellStyle name="Normal 7 3 2 5" xfId="2116" xr:uid="{00000000-0005-0000-0000-0000FB320000}"/>
    <cellStyle name="Normal 7 3 2 5 2" xfId="6954" xr:uid="{00000000-0005-0000-0000-0000FC320000}"/>
    <cellStyle name="Normal 7 3 2 5 2 2" xfId="14183" xr:uid="{00000000-0005-0000-0000-0000FD320000}"/>
    <cellStyle name="Normal 7 3 2 5 3" xfId="9345" xr:uid="{00000000-0005-0000-0000-0000FE320000}"/>
    <cellStyle name="Normal 7 3 2 6" xfId="6939" xr:uid="{00000000-0005-0000-0000-0000FF320000}"/>
    <cellStyle name="Normal 7 3 2 6 2" xfId="14168" xr:uid="{00000000-0005-0000-0000-000000330000}"/>
    <cellStyle name="Normal 7 3 2 7" xfId="7607" xr:uid="{00000000-0005-0000-0000-000001330000}"/>
    <cellStyle name="Normal 7 3 3" xfId="478" xr:uid="{00000000-0005-0000-0000-000002330000}"/>
    <cellStyle name="Normal 7 3 3 2" xfId="924" xr:uid="{00000000-0005-0000-0000-000003330000}"/>
    <cellStyle name="Normal 7 3 3 2 2" xfId="1791" xr:uid="{00000000-0005-0000-0000-000004330000}"/>
    <cellStyle name="Normal 7 3 3 2 2 2" xfId="3530" xr:uid="{00000000-0005-0000-0000-000005330000}"/>
    <cellStyle name="Normal 7 3 3 2 2 2 2" xfId="6958" xr:uid="{00000000-0005-0000-0000-000006330000}"/>
    <cellStyle name="Normal 7 3 3 2 2 2 2 2" xfId="14187" xr:uid="{00000000-0005-0000-0000-000007330000}"/>
    <cellStyle name="Normal 7 3 3 2 2 2 3" xfId="10759" xr:uid="{00000000-0005-0000-0000-000008330000}"/>
    <cellStyle name="Normal 7 3 3 2 2 3" xfId="6957" xr:uid="{00000000-0005-0000-0000-000009330000}"/>
    <cellStyle name="Normal 7 3 3 2 2 3 2" xfId="14186" xr:uid="{00000000-0005-0000-0000-00000A330000}"/>
    <cellStyle name="Normal 7 3 3 2 2 4" xfId="9021" xr:uid="{00000000-0005-0000-0000-00000B330000}"/>
    <cellStyle name="Normal 7 3 3 2 3" xfId="2663" xr:uid="{00000000-0005-0000-0000-00000C330000}"/>
    <cellStyle name="Normal 7 3 3 2 3 2" xfId="6959" xr:uid="{00000000-0005-0000-0000-00000D330000}"/>
    <cellStyle name="Normal 7 3 3 2 3 2 2" xfId="14188" xr:uid="{00000000-0005-0000-0000-00000E330000}"/>
    <cellStyle name="Normal 7 3 3 2 3 3" xfId="9892" xr:uid="{00000000-0005-0000-0000-00000F330000}"/>
    <cellStyle name="Normal 7 3 3 2 4" xfId="6956" xr:uid="{00000000-0005-0000-0000-000010330000}"/>
    <cellStyle name="Normal 7 3 3 2 4 2" xfId="14185" xr:uid="{00000000-0005-0000-0000-000011330000}"/>
    <cellStyle name="Normal 7 3 3 2 5" xfId="8154" xr:uid="{00000000-0005-0000-0000-000012330000}"/>
    <cellStyle name="Normal 7 3 3 3" xfId="1360" xr:uid="{00000000-0005-0000-0000-000013330000}"/>
    <cellStyle name="Normal 7 3 3 3 2" xfId="3099" xr:uid="{00000000-0005-0000-0000-000014330000}"/>
    <cellStyle name="Normal 7 3 3 3 2 2" xfId="6961" xr:uid="{00000000-0005-0000-0000-000015330000}"/>
    <cellStyle name="Normal 7 3 3 3 2 2 2" xfId="14190" xr:uid="{00000000-0005-0000-0000-000016330000}"/>
    <cellStyle name="Normal 7 3 3 3 2 3" xfId="10328" xr:uid="{00000000-0005-0000-0000-000017330000}"/>
    <cellStyle name="Normal 7 3 3 3 3" xfId="6960" xr:uid="{00000000-0005-0000-0000-000018330000}"/>
    <cellStyle name="Normal 7 3 3 3 3 2" xfId="14189" xr:uid="{00000000-0005-0000-0000-000019330000}"/>
    <cellStyle name="Normal 7 3 3 3 4" xfId="8590" xr:uid="{00000000-0005-0000-0000-00001A330000}"/>
    <cellStyle name="Normal 7 3 3 4" xfId="2232" xr:uid="{00000000-0005-0000-0000-00001B330000}"/>
    <cellStyle name="Normal 7 3 3 4 2" xfId="6962" xr:uid="{00000000-0005-0000-0000-00001C330000}"/>
    <cellStyle name="Normal 7 3 3 4 2 2" xfId="14191" xr:uid="{00000000-0005-0000-0000-00001D330000}"/>
    <cellStyle name="Normal 7 3 3 4 3" xfId="9461" xr:uid="{00000000-0005-0000-0000-00001E330000}"/>
    <cellStyle name="Normal 7 3 3 5" xfId="6955" xr:uid="{00000000-0005-0000-0000-00001F330000}"/>
    <cellStyle name="Normal 7 3 3 5 2" xfId="14184" xr:uid="{00000000-0005-0000-0000-000020330000}"/>
    <cellStyle name="Normal 7 3 3 6" xfId="7723" xr:uid="{00000000-0005-0000-0000-000021330000}"/>
    <cellStyle name="Normal 7 3 4" xfId="700" xr:uid="{00000000-0005-0000-0000-000022330000}"/>
    <cellStyle name="Normal 7 3 4 2" xfId="1573" xr:uid="{00000000-0005-0000-0000-000023330000}"/>
    <cellStyle name="Normal 7 3 4 2 2" xfId="3312" xr:uid="{00000000-0005-0000-0000-000024330000}"/>
    <cellStyle name="Normal 7 3 4 2 2 2" xfId="6965" xr:uid="{00000000-0005-0000-0000-000025330000}"/>
    <cellStyle name="Normal 7 3 4 2 2 2 2" xfId="14194" xr:uid="{00000000-0005-0000-0000-000026330000}"/>
    <cellStyle name="Normal 7 3 4 2 2 3" xfId="10541" xr:uid="{00000000-0005-0000-0000-000027330000}"/>
    <cellStyle name="Normal 7 3 4 2 3" xfId="6964" xr:uid="{00000000-0005-0000-0000-000028330000}"/>
    <cellStyle name="Normal 7 3 4 2 3 2" xfId="14193" xr:uid="{00000000-0005-0000-0000-000029330000}"/>
    <cellStyle name="Normal 7 3 4 2 4" xfId="8803" xr:uid="{00000000-0005-0000-0000-00002A330000}"/>
    <cellStyle name="Normal 7 3 4 3" xfId="2445" xr:uid="{00000000-0005-0000-0000-00002B330000}"/>
    <cellStyle name="Normal 7 3 4 3 2" xfId="6966" xr:uid="{00000000-0005-0000-0000-00002C330000}"/>
    <cellStyle name="Normal 7 3 4 3 2 2" xfId="14195" xr:uid="{00000000-0005-0000-0000-00002D330000}"/>
    <cellStyle name="Normal 7 3 4 3 3" xfId="9674" xr:uid="{00000000-0005-0000-0000-00002E330000}"/>
    <cellStyle name="Normal 7 3 4 4" xfId="6963" xr:uid="{00000000-0005-0000-0000-00002F330000}"/>
    <cellStyle name="Normal 7 3 4 4 2" xfId="14192" xr:uid="{00000000-0005-0000-0000-000030330000}"/>
    <cellStyle name="Normal 7 3 4 5" xfId="7936" xr:uid="{00000000-0005-0000-0000-000031330000}"/>
    <cellStyle name="Normal 7 3 5" xfId="1142" xr:uid="{00000000-0005-0000-0000-000032330000}"/>
    <cellStyle name="Normal 7 3 5 2" xfId="2881" xr:uid="{00000000-0005-0000-0000-000033330000}"/>
    <cellStyle name="Normal 7 3 5 2 2" xfId="6968" xr:uid="{00000000-0005-0000-0000-000034330000}"/>
    <cellStyle name="Normal 7 3 5 2 2 2" xfId="14197" xr:uid="{00000000-0005-0000-0000-000035330000}"/>
    <cellStyle name="Normal 7 3 5 2 3" xfId="10110" xr:uid="{00000000-0005-0000-0000-000036330000}"/>
    <cellStyle name="Normal 7 3 5 3" xfId="6967" xr:uid="{00000000-0005-0000-0000-000037330000}"/>
    <cellStyle name="Normal 7 3 5 3 2" xfId="14196" xr:uid="{00000000-0005-0000-0000-000038330000}"/>
    <cellStyle name="Normal 7 3 5 4" xfId="8372" xr:uid="{00000000-0005-0000-0000-000039330000}"/>
    <cellStyle name="Normal 7 3 6" xfId="2014" xr:uid="{00000000-0005-0000-0000-00003A330000}"/>
    <cellStyle name="Normal 7 3 6 2" xfId="6969" xr:uid="{00000000-0005-0000-0000-00003B330000}"/>
    <cellStyle name="Normal 7 3 6 2 2" xfId="14198" xr:uid="{00000000-0005-0000-0000-00003C330000}"/>
    <cellStyle name="Normal 7 3 6 3" xfId="9243" xr:uid="{00000000-0005-0000-0000-00003D330000}"/>
    <cellStyle name="Normal 7 3 7" xfId="6938" xr:uid="{00000000-0005-0000-0000-00003E330000}"/>
    <cellStyle name="Normal 7 3 7 2" xfId="14167" xr:uid="{00000000-0005-0000-0000-00003F330000}"/>
    <cellStyle name="Normal 7 3 8" xfId="7505" xr:uid="{00000000-0005-0000-0000-000040330000}"/>
    <cellStyle name="Normal 7 4" xfId="274" xr:uid="{00000000-0005-0000-0000-000041330000}"/>
    <cellStyle name="Normal 7 4 2" xfId="500" xr:uid="{00000000-0005-0000-0000-000042330000}"/>
    <cellStyle name="Normal 7 4 2 2" xfId="946" xr:uid="{00000000-0005-0000-0000-000043330000}"/>
    <cellStyle name="Normal 7 4 2 2 2" xfId="1813" xr:uid="{00000000-0005-0000-0000-000044330000}"/>
    <cellStyle name="Normal 7 4 2 2 2 2" xfId="3552" xr:uid="{00000000-0005-0000-0000-000045330000}"/>
    <cellStyle name="Normal 7 4 2 2 2 2 2" xfId="6974" xr:uid="{00000000-0005-0000-0000-000046330000}"/>
    <cellStyle name="Normal 7 4 2 2 2 2 2 2" xfId="14203" xr:uid="{00000000-0005-0000-0000-000047330000}"/>
    <cellStyle name="Normal 7 4 2 2 2 2 3" xfId="10781" xr:uid="{00000000-0005-0000-0000-000048330000}"/>
    <cellStyle name="Normal 7 4 2 2 2 3" xfId="6973" xr:uid="{00000000-0005-0000-0000-000049330000}"/>
    <cellStyle name="Normal 7 4 2 2 2 3 2" xfId="14202" xr:uid="{00000000-0005-0000-0000-00004A330000}"/>
    <cellStyle name="Normal 7 4 2 2 2 4" xfId="9043" xr:uid="{00000000-0005-0000-0000-00004B330000}"/>
    <cellStyle name="Normal 7 4 2 2 3" xfId="2685" xr:uid="{00000000-0005-0000-0000-00004C330000}"/>
    <cellStyle name="Normal 7 4 2 2 3 2" xfId="6975" xr:uid="{00000000-0005-0000-0000-00004D330000}"/>
    <cellStyle name="Normal 7 4 2 2 3 2 2" xfId="14204" xr:uid="{00000000-0005-0000-0000-00004E330000}"/>
    <cellStyle name="Normal 7 4 2 2 3 3" xfId="9914" xr:uid="{00000000-0005-0000-0000-00004F330000}"/>
    <cellStyle name="Normal 7 4 2 2 4" xfId="6972" xr:uid="{00000000-0005-0000-0000-000050330000}"/>
    <cellStyle name="Normal 7 4 2 2 4 2" xfId="14201" xr:uid="{00000000-0005-0000-0000-000051330000}"/>
    <cellStyle name="Normal 7 4 2 2 5" xfId="8176" xr:uid="{00000000-0005-0000-0000-000052330000}"/>
    <cellStyle name="Normal 7 4 2 3" xfId="1382" xr:uid="{00000000-0005-0000-0000-000053330000}"/>
    <cellStyle name="Normal 7 4 2 3 2" xfId="3121" xr:uid="{00000000-0005-0000-0000-000054330000}"/>
    <cellStyle name="Normal 7 4 2 3 2 2" xfId="6977" xr:uid="{00000000-0005-0000-0000-000055330000}"/>
    <cellStyle name="Normal 7 4 2 3 2 2 2" xfId="14206" xr:uid="{00000000-0005-0000-0000-000056330000}"/>
    <cellStyle name="Normal 7 4 2 3 2 3" xfId="10350" xr:uid="{00000000-0005-0000-0000-000057330000}"/>
    <cellStyle name="Normal 7 4 2 3 3" xfId="6976" xr:uid="{00000000-0005-0000-0000-000058330000}"/>
    <cellStyle name="Normal 7 4 2 3 3 2" xfId="14205" xr:uid="{00000000-0005-0000-0000-000059330000}"/>
    <cellStyle name="Normal 7 4 2 3 4" xfId="8612" xr:uid="{00000000-0005-0000-0000-00005A330000}"/>
    <cellStyle name="Normal 7 4 2 4" xfId="2254" xr:uid="{00000000-0005-0000-0000-00005B330000}"/>
    <cellStyle name="Normal 7 4 2 4 2" xfId="6978" xr:uid="{00000000-0005-0000-0000-00005C330000}"/>
    <cellStyle name="Normal 7 4 2 4 2 2" xfId="14207" xr:uid="{00000000-0005-0000-0000-00005D330000}"/>
    <cellStyle name="Normal 7 4 2 4 3" xfId="9483" xr:uid="{00000000-0005-0000-0000-00005E330000}"/>
    <cellStyle name="Normal 7 4 2 5" xfId="6971" xr:uid="{00000000-0005-0000-0000-00005F330000}"/>
    <cellStyle name="Normal 7 4 2 5 2" xfId="14200" xr:uid="{00000000-0005-0000-0000-000060330000}"/>
    <cellStyle name="Normal 7 4 2 6" xfId="7745" xr:uid="{00000000-0005-0000-0000-000061330000}"/>
    <cellStyle name="Normal 7 4 3" xfId="722" xr:uid="{00000000-0005-0000-0000-000062330000}"/>
    <cellStyle name="Normal 7 4 3 2" xfId="1595" xr:uid="{00000000-0005-0000-0000-000063330000}"/>
    <cellStyle name="Normal 7 4 3 2 2" xfId="3334" xr:uid="{00000000-0005-0000-0000-000064330000}"/>
    <cellStyle name="Normal 7 4 3 2 2 2" xfId="6981" xr:uid="{00000000-0005-0000-0000-000065330000}"/>
    <cellStyle name="Normal 7 4 3 2 2 2 2" xfId="14210" xr:uid="{00000000-0005-0000-0000-000066330000}"/>
    <cellStyle name="Normal 7 4 3 2 2 3" xfId="10563" xr:uid="{00000000-0005-0000-0000-000067330000}"/>
    <cellStyle name="Normal 7 4 3 2 3" xfId="6980" xr:uid="{00000000-0005-0000-0000-000068330000}"/>
    <cellStyle name="Normal 7 4 3 2 3 2" xfId="14209" xr:uid="{00000000-0005-0000-0000-000069330000}"/>
    <cellStyle name="Normal 7 4 3 2 4" xfId="8825" xr:uid="{00000000-0005-0000-0000-00006A330000}"/>
    <cellStyle name="Normal 7 4 3 3" xfId="2467" xr:uid="{00000000-0005-0000-0000-00006B330000}"/>
    <cellStyle name="Normal 7 4 3 3 2" xfId="6982" xr:uid="{00000000-0005-0000-0000-00006C330000}"/>
    <cellStyle name="Normal 7 4 3 3 2 2" xfId="14211" xr:uid="{00000000-0005-0000-0000-00006D330000}"/>
    <cellStyle name="Normal 7 4 3 3 3" xfId="9696" xr:uid="{00000000-0005-0000-0000-00006E330000}"/>
    <cellStyle name="Normal 7 4 3 4" xfId="6979" xr:uid="{00000000-0005-0000-0000-00006F330000}"/>
    <cellStyle name="Normal 7 4 3 4 2" xfId="14208" xr:uid="{00000000-0005-0000-0000-000070330000}"/>
    <cellStyle name="Normal 7 4 3 5" xfId="7958" xr:uid="{00000000-0005-0000-0000-000071330000}"/>
    <cellStyle name="Normal 7 4 4" xfId="1164" xr:uid="{00000000-0005-0000-0000-000072330000}"/>
    <cellStyle name="Normal 7 4 4 2" xfId="2903" xr:uid="{00000000-0005-0000-0000-000073330000}"/>
    <cellStyle name="Normal 7 4 4 2 2" xfId="6984" xr:uid="{00000000-0005-0000-0000-000074330000}"/>
    <cellStyle name="Normal 7 4 4 2 2 2" xfId="14213" xr:uid="{00000000-0005-0000-0000-000075330000}"/>
    <cellStyle name="Normal 7 4 4 2 3" xfId="10132" xr:uid="{00000000-0005-0000-0000-000076330000}"/>
    <cellStyle name="Normal 7 4 4 3" xfId="6983" xr:uid="{00000000-0005-0000-0000-000077330000}"/>
    <cellStyle name="Normal 7 4 4 3 2" xfId="14212" xr:uid="{00000000-0005-0000-0000-000078330000}"/>
    <cellStyle name="Normal 7 4 4 4" xfId="8394" xr:uid="{00000000-0005-0000-0000-000079330000}"/>
    <cellStyle name="Normal 7 4 5" xfId="2036" xr:uid="{00000000-0005-0000-0000-00007A330000}"/>
    <cellStyle name="Normal 7 4 5 2" xfId="6985" xr:uid="{00000000-0005-0000-0000-00007B330000}"/>
    <cellStyle name="Normal 7 4 5 2 2" xfId="14214" xr:uid="{00000000-0005-0000-0000-00007C330000}"/>
    <cellStyle name="Normal 7 4 5 3" xfId="9265" xr:uid="{00000000-0005-0000-0000-00007D330000}"/>
    <cellStyle name="Normal 7 4 6" xfId="6970" xr:uid="{00000000-0005-0000-0000-00007E330000}"/>
    <cellStyle name="Normal 7 4 6 2" xfId="14199" xr:uid="{00000000-0005-0000-0000-00007F330000}"/>
    <cellStyle name="Normal 7 4 7" xfId="7527" xr:uid="{00000000-0005-0000-0000-000080330000}"/>
    <cellStyle name="Normal 7 5" xfId="398" xr:uid="{00000000-0005-0000-0000-000081330000}"/>
    <cellStyle name="Normal 7 5 2" xfId="844" xr:uid="{00000000-0005-0000-0000-000082330000}"/>
    <cellStyle name="Normal 7 5 2 2" xfId="1711" xr:uid="{00000000-0005-0000-0000-000083330000}"/>
    <cellStyle name="Normal 7 5 2 2 2" xfId="3450" xr:uid="{00000000-0005-0000-0000-000084330000}"/>
    <cellStyle name="Normal 7 5 2 2 2 2" xfId="6989" xr:uid="{00000000-0005-0000-0000-000085330000}"/>
    <cellStyle name="Normal 7 5 2 2 2 2 2" xfId="14218" xr:uid="{00000000-0005-0000-0000-000086330000}"/>
    <cellStyle name="Normal 7 5 2 2 2 3" xfId="10679" xr:uid="{00000000-0005-0000-0000-000087330000}"/>
    <cellStyle name="Normal 7 5 2 2 3" xfId="6988" xr:uid="{00000000-0005-0000-0000-000088330000}"/>
    <cellStyle name="Normal 7 5 2 2 3 2" xfId="14217" xr:uid="{00000000-0005-0000-0000-000089330000}"/>
    <cellStyle name="Normal 7 5 2 2 4" xfId="8941" xr:uid="{00000000-0005-0000-0000-00008A330000}"/>
    <cellStyle name="Normal 7 5 2 3" xfId="2583" xr:uid="{00000000-0005-0000-0000-00008B330000}"/>
    <cellStyle name="Normal 7 5 2 3 2" xfId="6990" xr:uid="{00000000-0005-0000-0000-00008C330000}"/>
    <cellStyle name="Normal 7 5 2 3 2 2" xfId="14219" xr:uid="{00000000-0005-0000-0000-00008D330000}"/>
    <cellStyle name="Normal 7 5 2 3 3" xfId="9812" xr:uid="{00000000-0005-0000-0000-00008E330000}"/>
    <cellStyle name="Normal 7 5 2 4" xfId="6987" xr:uid="{00000000-0005-0000-0000-00008F330000}"/>
    <cellStyle name="Normal 7 5 2 4 2" xfId="14216" xr:uid="{00000000-0005-0000-0000-000090330000}"/>
    <cellStyle name="Normal 7 5 2 5" xfId="8074" xr:uid="{00000000-0005-0000-0000-000091330000}"/>
    <cellStyle name="Normal 7 5 3" xfId="1280" xr:uid="{00000000-0005-0000-0000-000092330000}"/>
    <cellStyle name="Normal 7 5 3 2" xfId="3019" xr:uid="{00000000-0005-0000-0000-000093330000}"/>
    <cellStyle name="Normal 7 5 3 2 2" xfId="6992" xr:uid="{00000000-0005-0000-0000-000094330000}"/>
    <cellStyle name="Normal 7 5 3 2 2 2" xfId="14221" xr:uid="{00000000-0005-0000-0000-000095330000}"/>
    <cellStyle name="Normal 7 5 3 2 3" xfId="10248" xr:uid="{00000000-0005-0000-0000-000096330000}"/>
    <cellStyle name="Normal 7 5 3 3" xfId="6991" xr:uid="{00000000-0005-0000-0000-000097330000}"/>
    <cellStyle name="Normal 7 5 3 3 2" xfId="14220" xr:uid="{00000000-0005-0000-0000-000098330000}"/>
    <cellStyle name="Normal 7 5 3 4" xfId="8510" xr:uid="{00000000-0005-0000-0000-000099330000}"/>
    <cellStyle name="Normal 7 5 4" xfId="2152" xr:uid="{00000000-0005-0000-0000-00009A330000}"/>
    <cellStyle name="Normal 7 5 4 2" xfId="6993" xr:uid="{00000000-0005-0000-0000-00009B330000}"/>
    <cellStyle name="Normal 7 5 4 2 2" xfId="14222" xr:uid="{00000000-0005-0000-0000-00009C330000}"/>
    <cellStyle name="Normal 7 5 4 3" xfId="9381" xr:uid="{00000000-0005-0000-0000-00009D330000}"/>
    <cellStyle name="Normal 7 5 5" xfId="6986" xr:uid="{00000000-0005-0000-0000-00009E330000}"/>
    <cellStyle name="Normal 7 5 5 2" xfId="14215" xr:uid="{00000000-0005-0000-0000-00009F330000}"/>
    <cellStyle name="Normal 7 5 6" xfId="7643" xr:uid="{00000000-0005-0000-0000-0000A0330000}"/>
    <cellStyle name="Normal 7 6" xfId="616" xr:uid="{00000000-0005-0000-0000-0000A1330000}"/>
    <cellStyle name="Normal 7 6 2" xfId="1493" xr:uid="{00000000-0005-0000-0000-0000A2330000}"/>
    <cellStyle name="Normal 7 6 2 2" xfId="3232" xr:uid="{00000000-0005-0000-0000-0000A3330000}"/>
    <cellStyle name="Normal 7 6 2 2 2" xfId="6996" xr:uid="{00000000-0005-0000-0000-0000A4330000}"/>
    <cellStyle name="Normal 7 6 2 2 2 2" xfId="14225" xr:uid="{00000000-0005-0000-0000-0000A5330000}"/>
    <cellStyle name="Normal 7 6 2 2 3" xfId="10461" xr:uid="{00000000-0005-0000-0000-0000A6330000}"/>
    <cellStyle name="Normal 7 6 2 3" xfId="6995" xr:uid="{00000000-0005-0000-0000-0000A7330000}"/>
    <cellStyle name="Normal 7 6 2 3 2" xfId="14224" xr:uid="{00000000-0005-0000-0000-0000A8330000}"/>
    <cellStyle name="Normal 7 6 2 4" xfId="8723" xr:uid="{00000000-0005-0000-0000-0000A9330000}"/>
    <cellStyle name="Normal 7 6 3" xfId="2365" xr:uid="{00000000-0005-0000-0000-0000AA330000}"/>
    <cellStyle name="Normal 7 6 3 2" xfId="6997" xr:uid="{00000000-0005-0000-0000-0000AB330000}"/>
    <cellStyle name="Normal 7 6 3 2 2" xfId="14226" xr:uid="{00000000-0005-0000-0000-0000AC330000}"/>
    <cellStyle name="Normal 7 6 3 3" xfId="9594" xr:uid="{00000000-0005-0000-0000-0000AD330000}"/>
    <cellStyle name="Normal 7 6 4" xfId="6994" xr:uid="{00000000-0005-0000-0000-0000AE330000}"/>
    <cellStyle name="Normal 7 6 4 2" xfId="14223" xr:uid="{00000000-0005-0000-0000-0000AF330000}"/>
    <cellStyle name="Normal 7 6 5" xfId="7856" xr:uid="{00000000-0005-0000-0000-0000B0330000}"/>
    <cellStyle name="Normal 7 7" xfId="1062" xr:uid="{00000000-0005-0000-0000-0000B1330000}"/>
    <cellStyle name="Normal 7 7 2" xfId="2801" xr:uid="{00000000-0005-0000-0000-0000B2330000}"/>
    <cellStyle name="Normal 7 7 2 2" xfId="6999" xr:uid="{00000000-0005-0000-0000-0000B3330000}"/>
    <cellStyle name="Normal 7 7 2 2 2" xfId="14228" xr:uid="{00000000-0005-0000-0000-0000B4330000}"/>
    <cellStyle name="Normal 7 7 2 3" xfId="10030" xr:uid="{00000000-0005-0000-0000-0000B5330000}"/>
    <cellStyle name="Normal 7 7 3" xfId="6998" xr:uid="{00000000-0005-0000-0000-0000B6330000}"/>
    <cellStyle name="Normal 7 7 3 2" xfId="14227" xr:uid="{00000000-0005-0000-0000-0000B7330000}"/>
    <cellStyle name="Normal 7 7 4" xfId="8292" xr:uid="{00000000-0005-0000-0000-0000B8330000}"/>
    <cellStyle name="Normal 7 8" xfId="1934" xr:uid="{00000000-0005-0000-0000-0000B9330000}"/>
    <cellStyle name="Normal 7 8 2" xfId="7000" xr:uid="{00000000-0005-0000-0000-0000BA330000}"/>
    <cellStyle name="Normal 7 8 2 2" xfId="14229" xr:uid="{00000000-0005-0000-0000-0000BB330000}"/>
    <cellStyle name="Normal 7 8 3" xfId="9163" xr:uid="{00000000-0005-0000-0000-0000BC330000}"/>
    <cellStyle name="Normal 7 9" xfId="6904" xr:uid="{00000000-0005-0000-0000-0000BD330000}"/>
    <cellStyle name="Normal 7 9 2" xfId="14133" xr:uid="{00000000-0005-0000-0000-0000BE330000}"/>
    <cellStyle name="Normal 8" xfId="44" xr:uid="{00000000-0005-0000-0000-0000BF330000}"/>
    <cellStyle name="Normal 8 10" xfId="7424" xr:uid="{00000000-0005-0000-0000-0000C0330000}"/>
    <cellStyle name="Normal 8 2" xfId="101" xr:uid="{00000000-0005-0000-0000-0000C1330000}"/>
    <cellStyle name="Normal 8 2 2" xfId="238" xr:uid="{00000000-0005-0000-0000-0000C2330000}"/>
    <cellStyle name="Normal 8 2 2 2" xfId="355" xr:uid="{00000000-0005-0000-0000-0000C3330000}"/>
    <cellStyle name="Normal 8 2 2 2 2" xfId="581" xr:uid="{00000000-0005-0000-0000-0000C4330000}"/>
    <cellStyle name="Normal 8 2 2 2 2 2" xfId="1027" xr:uid="{00000000-0005-0000-0000-0000C5330000}"/>
    <cellStyle name="Normal 8 2 2 2 2 2 2" xfId="1894" xr:uid="{00000000-0005-0000-0000-0000C6330000}"/>
    <cellStyle name="Normal 8 2 2 2 2 2 2 2" xfId="3633" xr:uid="{00000000-0005-0000-0000-0000C7330000}"/>
    <cellStyle name="Normal 8 2 2 2 2 2 2 2 2" xfId="7008" xr:uid="{00000000-0005-0000-0000-0000C8330000}"/>
    <cellStyle name="Normal 8 2 2 2 2 2 2 2 2 2" xfId="14237" xr:uid="{00000000-0005-0000-0000-0000C9330000}"/>
    <cellStyle name="Normal 8 2 2 2 2 2 2 2 3" xfId="10862" xr:uid="{00000000-0005-0000-0000-0000CA330000}"/>
    <cellStyle name="Normal 8 2 2 2 2 2 2 3" xfId="7007" xr:uid="{00000000-0005-0000-0000-0000CB330000}"/>
    <cellStyle name="Normal 8 2 2 2 2 2 2 3 2" xfId="14236" xr:uid="{00000000-0005-0000-0000-0000CC330000}"/>
    <cellStyle name="Normal 8 2 2 2 2 2 2 4" xfId="9124" xr:uid="{00000000-0005-0000-0000-0000CD330000}"/>
    <cellStyle name="Normal 8 2 2 2 2 2 3" xfId="2766" xr:uid="{00000000-0005-0000-0000-0000CE330000}"/>
    <cellStyle name="Normal 8 2 2 2 2 2 3 2" xfId="7009" xr:uid="{00000000-0005-0000-0000-0000CF330000}"/>
    <cellStyle name="Normal 8 2 2 2 2 2 3 2 2" xfId="14238" xr:uid="{00000000-0005-0000-0000-0000D0330000}"/>
    <cellStyle name="Normal 8 2 2 2 2 2 3 3" xfId="9995" xr:uid="{00000000-0005-0000-0000-0000D1330000}"/>
    <cellStyle name="Normal 8 2 2 2 2 2 4" xfId="7006" xr:uid="{00000000-0005-0000-0000-0000D2330000}"/>
    <cellStyle name="Normal 8 2 2 2 2 2 4 2" xfId="14235" xr:uid="{00000000-0005-0000-0000-0000D3330000}"/>
    <cellStyle name="Normal 8 2 2 2 2 2 5" xfId="8257" xr:uid="{00000000-0005-0000-0000-0000D4330000}"/>
    <cellStyle name="Normal 8 2 2 2 2 3" xfId="1463" xr:uid="{00000000-0005-0000-0000-0000D5330000}"/>
    <cellStyle name="Normal 8 2 2 2 2 3 2" xfId="3202" xr:uid="{00000000-0005-0000-0000-0000D6330000}"/>
    <cellStyle name="Normal 8 2 2 2 2 3 2 2" xfId="7011" xr:uid="{00000000-0005-0000-0000-0000D7330000}"/>
    <cellStyle name="Normal 8 2 2 2 2 3 2 2 2" xfId="14240" xr:uid="{00000000-0005-0000-0000-0000D8330000}"/>
    <cellStyle name="Normal 8 2 2 2 2 3 2 3" xfId="10431" xr:uid="{00000000-0005-0000-0000-0000D9330000}"/>
    <cellStyle name="Normal 8 2 2 2 2 3 3" xfId="7010" xr:uid="{00000000-0005-0000-0000-0000DA330000}"/>
    <cellStyle name="Normal 8 2 2 2 2 3 3 2" xfId="14239" xr:uid="{00000000-0005-0000-0000-0000DB330000}"/>
    <cellStyle name="Normal 8 2 2 2 2 3 4" xfId="8693" xr:uid="{00000000-0005-0000-0000-0000DC330000}"/>
    <cellStyle name="Normal 8 2 2 2 2 4" xfId="2335" xr:uid="{00000000-0005-0000-0000-0000DD330000}"/>
    <cellStyle name="Normal 8 2 2 2 2 4 2" xfId="7012" xr:uid="{00000000-0005-0000-0000-0000DE330000}"/>
    <cellStyle name="Normal 8 2 2 2 2 4 2 2" xfId="14241" xr:uid="{00000000-0005-0000-0000-0000DF330000}"/>
    <cellStyle name="Normal 8 2 2 2 2 4 3" xfId="9564" xr:uid="{00000000-0005-0000-0000-0000E0330000}"/>
    <cellStyle name="Normal 8 2 2 2 2 5" xfId="7005" xr:uid="{00000000-0005-0000-0000-0000E1330000}"/>
    <cellStyle name="Normal 8 2 2 2 2 5 2" xfId="14234" xr:uid="{00000000-0005-0000-0000-0000E2330000}"/>
    <cellStyle name="Normal 8 2 2 2 2 6" xfId="7826" xr:uid="{00000000-0005-0000-0000-0000E3330000}"/>
    <cellStyle name="Normal 8 2 2 2 3" xfId="803" xr:uid="{00000000-0005-0000-0000-0000E4330000}"/>
    <cellStyle name="Normal 8 2 2 2 3 2" xfId="1676" xr:uid="{00000000-0005-0000-0000-0000E5330000}"/>
    <cellStyle name="Normal 8 2 2 2 3 2 2" xfId="3415" xr:uid="{00000000-0005-0000-0000-0000E6330000}"/>
    <cellStyle name="Normal 8 2 2 2 3 2 2 2" xfId="7015" xr:uid="{00000000-0005-0000-0000-0000E7330000}"/>
    <cellStyle name="Normal 8 2 2 2 3 2 2 2 2" xfId="14244" xr:uid="{00000000-0005-0000-0000-0000E8330000}"/>
    <cellStyle name="Normal 8 2 2 2 3 2 2 3" xfId="10644" xr:uid="{00000000-0005-0000-0000-0000E9330000}"/>
    <cellStyle name="Normal 8 2 2 2 3 2 3" xfId="7014" xr:uid="{00000000-0005-0000-0000-0000EA330000}"/>
    <cellStyle name="Normal 8 2 2 2 3 2 3 2" xfId="14243" xr:uid="{00000000-0005-0000-0000-0000EB330000}"/>
    <cellStyle name="Normal 8 2 2 2 3 2 4" xfId="8906" xr:uid="{00000000-0005-0000-0000-0000EC330000}"/>
    <cellStyle name="Normal 8 2 2 2 3 3" xfId="2548" xr:uid="{00000000-0005-0000-0000-0000ED330000}"/>
    <cellStyle name="Normal 8 2 2 2 3 3 2" xfId="7016" xr:uid="{00000000-0005-0000-0000-0000EE330000}"/>
    <cellStyle name="Normal 8 2 2 2 3 3 2 2" xfId="14245" xr:uid="{00000000-0005-0000-0000-0000EF330000}"/>
    <cellStyle name="Normal 8 2 2 2 3 3 3" xfId="9777" xr:uid="{00000000-0005-0000-0000-0000F0330000}"/>
    <cellStyle name="Normal 8 2 2 2 3 4" xfId="7013" xr:uid="{00000000-0005-0000-0000-0000F1330000}"/>
    <cellStyle name="Normal 8 2 2 2 3 4 2" xfId="14242" xr:uid="{00000000-0005-0000-0000-0000F2330000}"/>
    <cellStyle name="Normal 8 2 2 2 3 5" xfId="8039" xr:uid="{00000000-0005-0000-0000-0000F3330000}"/>
    <cellStyle name="Normal 8 2 2 2 4" xfId="1245" xr:uid="{00000000-0005-0000-0000-0000F4330000}"/>
    <cellStyle name="Normal 8 2 2 2 4 2" xfId="2984" xr:uid="{00000000-0005-0000-0000-0000F5330000}"/>
    <cellStyle name="Normal 8 2 2 2 4 2 2" xfId="7018" xr:uid="{00000000-0005-0000-0000-0000F6330000}"/>
    <cellStyle name="Normal 8 2 2 2 4 2 2 2" xfId="14247" xr:uid="{00000000-0005-0000-0000-0000F7330000}"/>
    <cellStyle name="Normal 8 2 2 2 4 2 3" xfId="10213" xr:uid="{00000000-0005-0000-0000-0000F8330000}"/>
    <cellStyle name="Normal 8 2 2 2 4 3" xfId="7017" xr:uid="{00000000-0005-0000-0000-0000F9330000}"/>
    <cellStyle name="Normal 8 2 2 2 4 3 2" xfId="14246" xr:uid="{00000000-0005-0000-0000-0000FA330000}"/>
    <cellStyle name="Normal 8 2 2 2 4 4" xfId="8475" xr:uid="{00000000-0005-0000-0000-0000FB330000}"/>
    <cellStyle name="Normal 8 2 2 2 5" xfId="2117" xr:uid="{00000000-0005-0000-0000-0000FC330000}"/>
    <cellStyle name="Normal 8 2 2 2 5 2" xfId="7019" xr:uid="{00000000-0005-0000-0000-0000FD330000}"/>
    <cellStyle name="Normal 8 2 2 2 5 2 2" xfId="14248" xr:uid="{00000000-0005-0000-0000-0000FE330000}"/>
    <cellStyle name="Normal 8 2 2 2 5 3" xfId="9346" xr:uid="{00000000-0005-0000-0000-0000FF330000}"/>
    <cellStyle name="Normal 8 2 2 2 6" xfId="7004" xr:uid="{00000000-0005-0000-0000-000000340000}"/>
    <cellStyle name="Normal 8 2 2 2 6 2" xfId="14233" xr:uid="{00000000-0005-0000-0000-000001340000}"/>
    <cellStyle name="Normal 8 2 2 2 7" xfId="7608" xr:uid="{00000000-0005-0000-0000-000002340000}"/>
    <cellStyle name="Normal 8 2 2 3" xfId="479" xr:uid="{00000000-0005-0000-0000-000003340000}"/>
    <cellStyle name="Normal 8 2 2 3 2" xfId="925" xr:uid="{00000000-0005-0000-0000-000004340000}"/>
    <cellStyle name="Normal 8 2 2 3 2 2" xfId="1792" xr:uid="{00000000-0005-0000-0000-000005340000}"/>
    <cellStyle name="Normal 8 2 2 3 2 2 2" xfId="3531" xr:uid="{00000000-0005-0000-0000-000006340000}"/>
    <cellStyle name="Normal 8 2 2 3 2 2 2 2" xfId="7023" xr:uid="{00000000-0005-0000-0000-000007340000}"/>
    <cellStyle name="Normal 8 2 2 3 2 2 2 2 2" xfId="14252" xr:uid="{00000000-0005-0000-0000-000008340000}"/>
    <cellStyle name="Normal 8 2 2 3 2 2 2 3" xfId="10760" xr:uid="{00000000-0005-0000-0000-000009340000}"/>
    <cellStyle name="Normal 8 2 2 3 2 2 3" xfId="7022" xr:uid="{00000000-0005-0000-0000-00000A340000}"/>
    <cellStyle name="Normal 8 2 2 3 2 2 3 2" xfId="14251" xr:uid="{00000000-0005-0000-0000-00000B340000}"/>
    <cellStyle name="Normal 8 2 2 3 2 2 4" xfId="9022" xr:uid="{00000000-0005-0000-0000-00000C340000}"/>
    <cellStyle name="Normal 8 2 2 3 2 3" xfId="2664" xr:uid="{00000000-0005-0000-0000-00000D340000}"/>
    <cellStyle name="Normal 8 2 2 3 2 3 2" xfId="7024" xr:uid="{00000000-0005-0000-0000-00000E340000}"/>
    <cellStyle name="Normal 8 2 2 3 2 3 2 2" xfId="14253" xr:uid="{00000000-0005-0000-0000-00000F340000}"/>
    <cellStyle name="Normal 8 2 2 3 2 3 3" xfId="9893" xr:uid="{00000000-0005-0000-0000-000010340000}"/>
    <cellStyle name="Normal 8 2 2 3 2 4" xfId="7021" xr:uid="{00000000-0005-0000-0000-000011340000}"/>
    <cellStyle name="Normal 8 2 2 3 2 4 2" xfId="14250" xr:uid="{00000000-0005-0000-0000-000012340000}"/>
    <cellStyle name="Normal 8 2 2 3 2 5" xfId="8155" xr:uid="{00000000-0005-0000-0000-000013340000}"/>
    <cellStyle name="Normal 8 2 2 3 3" xfId="1361" xr:uid="{00000000-0005-0000-0000-000014340000}"/>
    <cellStyle name="Normal 8 2 2 3 3 2" xfId="3100" xr:uid="{00000000-0005-0000-0000-000015340000}"/>
    <cellStyle name="Normal 8 2 2 3 3 2 2" xfId="7026" xr:uid="{00000000-0005-0000-0000-000016340000}"/>
    <cellStyle name="Normal 8 2 2 3 3 2 2 2" xfId="14255" xr:uid="{00000000-0005-0000-0000-000017340000}"/>
    <cellStyle name="Normal 8 2 2 3 3 2 3" xfId="10329" xr:uid="{00000000-0005-0000-0000-000018340000}"/>
    <cellStyle name="Normal 8 2 2 3 3 3" xfId="7025" xr:uid="{00000000-0005-0000-0000-000019340000}"/>
    <cellStyle name="Normal 8 2 2 3 3 3 2" xfId="14254" xr:uid="{00000000-0005-0000-0000-00001A340000}"/>
    <cellStyle name="Normal 8 2 2 3 3 4" xfId="8591" xr:uid="{00000000-0005-0000-0000-00001B340000}"/>
    <cellStyle name="Normal 8 2 2 3 4" xfId="2233" xr:uid="{00000000-0005-0000-0000-00001C340000}"/>
    <cellStyle name="Normal 8 2 2 3 4 2" xfId="7027" xr:uid="{00000000-0005-0000-0000-00001D340000}"/>
    <cellStyle name="Normal 8 2 2 3 4 2 2" xfId="14256" xr:uid="{00000000-0005-0000-0000-00001E340000}"/>
    <cellStyle name="Normal 8 2 2 3 4 3" xfId="9462" xr:uid="{00000000-0005-0000-0000-00001F340000}"/>
    <cellStyle name="Normal 8 2 2 3 5" xfId="7020" xr:uid="{00000000-0005-0000-0000-000020340000}"/>
    <cellStyle name="Normal 8 2 2 3 5 2" xfId="14249" xr:uid="{00000000-0005-0000-0000-000021340000}"/>
    <cellStyle name="Normal 8 2 2 3 6" xfId="7724" xr:uid="{00000000-0005-0000-0000-000022340000}"/>
    <cellStyle name="Normal 8 2 2 4" xfId="701" xr:uid="{00000000-0005-0000-0000-000023340000}"/>
    <cellStyle name="Normal 8 2 2 4 2" xfId="1574" xr:uid="{00000000-0005-0000-0000-000024340000}"/>
    <cellStyle name="Normal 8 2 2 4 2 2" xfId="3313" xr:uid="{00000000-0005-0000-0000-000025340000}"/>
    <cellStyle name="Normal 8 2 2 4 2 2 2" xfId="7030" xr:uid="{00000000-0005-0000-0000-000026340000}"/>
    <cellStyle name="Normal 8 2 2 4 2 2 2 2" xfId="14259" xr:uid="{00000000-0005-0000-0000-000027340000}"/>
    <cellStyle name="Normal 8 2 2 4 2 2 3" xfId="10542" xr:uid="{00000000-0005-0000-0000-000028340000}"/>
    <cellStyle name="Normal 8 2 2 4 2 3" xfId="7029" xr:uid="{00000000-0005-0000-0000-000029340000}"/>
    <cellStyle name="Normal 8 2 2 4 2 3 2" xfId="14258" xr:uid="{00000000-0005-0000-0000-00002A340000}"/>
    <cellStyle name="Normal 8 2 2 4 2 4" xfId="8804" xr:uid="{00000000-0005-0000-0000-00002B340000}"/>
    <cellStyle name="Normal 8 2 2 4 3" xfId="2446" xr:uid="{00000000-0005-0000-0000-00002C340000}"/>
    <cellStyle name="Normal 8 2 2 4 3 2" xfId="7031" xr:uid="{00000000-0005-0000-0000-00002D340000}"/>
    <cellStyle name="Normal 8 2 2 4 3 2 2" xfId="14260" xr:uid="{00000000-0005-0000-0000-00002E340000}"/>
    <cellStyle name="Normal 8 2 2 4 3 3" xfId="9675" xr:uid="{00000000-0005-0000-0000-00002F340000}"/>
    <cellStyle name="Normal 8 2 2 4 4" xfId="7028" xr:uid="{00000000-0005-0000-0000-000030340000}"/>
    <cellStyle name="Normal 8 2 2 4 4 2" xfId="14257" xr:uid="{00000000-0005-0000-0000-000031340000}"/>
    <cellStyle name="Normal 8 2 2 4 5" xfId="7937" xr:uid="{00000000-0005-0000-0000-000032340000}"/>
    <cellStyle name="Normal 8 2 2 5" xfId="1143" xr:uid="{00000000-0005-0000-0000-000033340000}"/>
    <cellStyle name="Normal 8 2 2 5 2" xfId="2882" xr:uid="{00000000-0005-0000-0000-000034340000}"/>
    <cellStyle name="Normal 8 2 2 5 2 2" xfId="7033" xr:uid="{00000000-0005-0000-0000-000035340000}"/>
    <cellStyle name="Normal 8 2 2 5 2 2 2" xfId="14262" xr:uid="{00000000-0005-0000-0000-000036340000}"/>
    <cellStyle name="Normal 8 2 2 5 2 3" xfId="10111" xr:uid="{00000000-0005-0000-0000-000037340000}"/>
    <cellStyle name="Normal 8 2 2 5 3" xfId="7032" xr:uid="{00000000-0005-0000-0000-000038340000}"/>
    <cellStyle name="Normal 8 2 2 5 3 2" xfId="14261" xr:uid="{00000000-0005-0000-0000-000039340000}"/>
    <cellStyle name="Normal 8 2 2 5 4" xfId="8373" xr:uid="{00000000-0005-0000-0000-00003A340000}"/>
    <cellStyle name="Normal 8 2 2 6" xfId="2015" xr:uid="{00000000-0005-0000-0000-00003B340000}"/>
    <cellStyle name="Normal 8 2 2 6 2" xfId="7034" xr:uid="{00000000-0005-0000-0000-00003C340000}"/>
    <cellStyle name="Normal 8 2 2 6 2 2" xfId="14263" xr:uid="{00000000-0005-0000-0000-00003D340000}"/>
    <cellStyle name="Normal 8 2 2 6 3" xfId="9244" xr:uid="{00000000-0005-0000-0000-00003E340000}"/>
    <cellStyle name="Normal 8 2 2 7" xfId="7003" xr:uid="{00000000-0005-0000-0000-00003F340000}"/>
    <cellStyle name="Normal 8 2 2 7 2" xfId="14232" xr:uid="{00000000-0005-0000-0000-000040340000}"/>
    <cellStyle name="Normal 8 2 2 8" xfId="7506" xr:uid="{00000000-0005-0000-0000-000041340000}"/>
    <cellStyle name="Normal 8 2 3" xfId="308" xr:uid="{00000000-0005-0000-0000-000042340000}"/>
    <cellStyle name="Normal 8 2 3 2" xfId="534" xr:uid="{00000000-0005-0000-0000-000043340000}"/>
    <cellStyle name="Normal 8 2 3 2 2" xfId="980" xr:uid="{00000000-0005-0000-0000-000044340000}"/>
    <cellStyle name="Normal 8 2 3 2 2 2" xfId="1847" xr:uid="{00000000-0005-0000-0000-000045340000}"/>
    <cellStyle name="Normal 8 2 3 2 2 2 2" xfId="3586" xr:uid="{00000000-0005-0000-0000-000046340000}"/>
    <cellStyle name="Normal 8 2 3 2 2 2 2 2" xfId="7039" xr:uid="{00000000-0005-0000-0000-000047340000}"/>
    <cellStyle name="Normal 8 2 3 2 2 2 2 2 2" xfId="14268" xr:uid="{00000000-0005-0000-0000-000048340000}"/>
    <cellStyle name="Normal 8 2 3 2 2 2 2 3" xfId="10815" xr:uid="{00000000-0005-0000-0000-000049340000}"/>
    <cellStyle name="Normal 8 2 3 2 2 2 3" xfId="7038" xr:uid="{00000000-0005-0000-0000-00004A340000}"/>
    <cellStyle name="Normal 8 2 3 2 2 2 3 2" xfId="14267" xr:uid="{00000000-0005-0000-0000-00004B340000}"/>
    <cellStyle name="Normal 8 2 3 2 2 2 4" xfId="9077" xr:uid="{00000000-0005-0000-0000-00004C340000}"/>
    <cellStyle name="Normal 8 2 3 2 2 3" xfId="2719" xr:uid="{00000000-0005-0000-0000-00004D340000}"/>
    <cellStyle name="Normal 8 2 3 2 2 3 2" xfId="7040" xr:uid="{00000000-0005-0000-0000-00004E340000}"/>
    <cellStyle name="Normal 8 2 3 2 2 3 2 2" xfId="14269" xr:uid="{00000000-0005-0000-0000-00004F340000}"/>
    <cellStyle name="Normal 8 2 3 2 2 3 3" xfId="9948" xr:uid="{00000000-0005-0000-0000-000050340000}"/>
    <cellStyle name="Normal 8 2 3 2 2 4" xfId="7037" xr:uid="{00000000-0005-0000-0000-000051340000}"/>
    <cellStyle name="Normal 8 2 3 2 2 4 2" xfId="14266" xr:uid="{00000000-0005-0000-0000-000052340000}"/>
    <cellStyle name="Normal 8 2 3 2 2 5" xfId="8210" xr:uid="{00000000-0005-0000-0000-000053340000}"/>
    <cellStyle name="Normal 8 2 3 2 3" xfId="1416" xr:uid="{00000000-0005-0000-0000-000054340000}"/>
    <cellStyle name="Normal 8 2 3 2 3 2" xfId="3155" xr:uid="{00000000-0005-0000-0000-000055340000}"/>
    <cellStyle name="Normal 8 2 3 2 3 2 2" xfId="7042" xr:uid="{00000000-0005-0000-0000-000056340000}"/>
    <cellStyle name="Normal 8 2 3 2 3 2 2 2" xfId="14271" xr:uid="{00000000-0005-0000-0000-000057340000}"/>
    <cellStyle name="Normal 8 2 3 2 3 2 3" xfId="10384" xr:uid="{00000000-0005-0000-0000-000058340000}"/>
    <cellStyle name="Normal 8 2 3 2 3 3" xfId="7041" xr:uid="{00000000-0005-0000-0000-000059340000}"/>
    <cellStyle name="Normal 8 2 3 2 3 3 2" xfId="14270" xr:uid="{00000000-0005-0000-0000-00005A340000}"/>
    <cellStyle name="Normal 8 2 3 2 3 4" xfId="8646" xr:uid="{00000000-0005-0000-0000-00005B340000}"/>
    <cellStyle name="Normal 8 2 3 2 4" xfId="2288" xr:uid="{00000000-0005-0000-0000-00005C340000}"/>
    <cellStyle name="Normal 8 2 3 2 4 2" xfId="7043" xr:uid="{00000000-0005-0000-0000-00005D340000}"/>
    <cellStyle name="Normal 8 2 3 2 4 2 2" xfId="14272" xr:uid="{00000000-0005-0000-0000-00005E340000}"/>
    <cellStyle name="Normal 8 2 3 2 4 3" xfId="9517" xr:uid="{00000000-0005-0000-0000-00005F340000}"/>
    <cellStyle name="Normal 8 2 3 2 5" xfId="7036" xr:uid="{00000000-0005-0000-0000-000060340000}"/>
    <cellStyle name="Normal 8 2 3 2 5 2" xfId="14265" xr:uid="{00000000-0005-0000-0000-000061340000}"/>
    <cellStyle name="Normal 8 2 3 2 6" xfId="7779" xr:uid="{00000000-0005-0000-0000-000062340000}"/>
    <cellStyle name="Normal 8 2 3 3" xfId="756" xr:uid="{00000000-0005-0000-0000-000063340000}"/>
    <cellStyle name="Normal 8 2 3 3 2" xfId="1629" xr:uid="{00000000-0005-0000-0000-000064340000}"/>
    <cellStyle name="Normal 8 2 3 3 2 2" xfId="3368" xr:uid="{00000000-0005-0000-0000-000065340000}"/>
    <cellStyle name="Normal 8 2 3 3 2 2 2" xfId="7046" xr:uid="{00000000-0005-0000-0000-000066340000}"/>
    <cellStyle name="Normal 8 2 3 3 2 2 2 2" xfId="14275" xr:uid="{00000000-0005-0000-0000-000067340000}"/>
    <cellStyle name="Normal 8 2 3 3 2 2 3" xfId="10597" xr:uid="{00000000-0005-0000-0000-000068340000}"/>
    <cellStyle name="Normal 8 2 3 3 2 3" xfId="7045" xr:uid="{00000000-0005-0000-0000-000069340000}"/>
    <cellStyle name="Normal 8 2 3 3 2 3 2" xfId="14274" xr:uid="{00000000-0005-0000-0000-00006A340000}"/>
    <cellStyle name="Normal 8 2 3 3 2 4" xfId="8859" xr:uid="{00000000-0005-0000-0000-00006B340000}"/>
    <cellStyle name="Normal 8 2 3 3 3" xfId="2501" xr:uid="{00000000-0005-0000-0000-00006C340000}"/>
    <cellStyle name="Normal 8 2 3 3 3 2" xfId="7047" xr:uid="{00000000-0005-0000-0000-00006D340000}"/>
    <cellStyle name="Normal 8 2 3 3 3 2 2" xfId="14276" xr:uid="{00000000-0005-0000-0000-00006E340000}"/>
    <cellStyle name="Normal 8 2 3 3 3 3" xfId="9730" xr:uid="{00000000-0005-0000-0000-00006F340000}"/>
    <cellStyle name="Normal 8 2 3 3 4" xfId="7044" xr:uid="{00000000-0005-0000-0000-000070340000}"/>
    <cellStyle name="Normal 8 2 3 3 4 2" xfId="14273" xr:uid="{00000000-0005-0000-0000-000071340000}"/>
    <cellStyle name="Normal 8 2 3 3 5" xfId="7992" xr:uid="{00000000-0005-0000-0000-000072340000}"/>
    <cellStyle name="Normal 8 2 3 4" xfId="1198" xr:uid="{00000000-0005-0000-0000-000073340000}"/>
    <cellStyle name="Normal 8 2 3 4 2" xfId="2937" xr:uid="{00000000-0005-0000-0000-000074340000}"/>
    <cellStyle name="Normal 8 2 3 4 2 2" xfId="7049" xr:uid="{00000000-0005-0000-0000-000075340000}"/>
    <cellStyle name="Normal 8 2 3 4 2 2 2" xfId="14278" xr:uid="{00000000-0005-0000-0000-000076340000}"/>
    <cellStyle name="Normal 8 2 3 4 2 3" xfId="10166" xr:uid="{00000000-0005-0000-0000-000077340000}"/>
    <cellStyle name="Normal 8 2 3 4 3" xfId="7048" xr:uid="{00000000-0005-0000-0000-000078340000}"/>
    <cellStyle name="Normal 8 2 3 4 3 2" xfId="14277" xr:uid="{00000000-0005-0000-0000-000079340000}"/>
    <cellStyle name="Normal 8 2 3 4 4" xfId="8428" xr:uid="{00000000-0005-0000-0000-00007A340000}"/>
    <cellStyle name="Normal 8 2 3 5" xfId="2070" xr:uid="{00000000-0005-0000-0000-00007B340000}"/>
    <cellStyle name="Normal 8 2 3 5 2" xfId="7050" xr:uid="{00000000-0005-0000-0000-00007C340000}"/>
    <cellStyle name="Normal 8 2 3 5 2 2" xfId="14279" xr:uid="{00000000-0005-0000-0000-00007D340000}"/>
    <cellStyle name="Normal 8 2 3 5 3" xfId="9299" xr:uid="{00000000-0005-0000-0000-00007E340000}"/>
    <cellStyle name="Normal 8 2 3 6" xfId="7035" xr:uid="{00000000-0005-0000-0000-00007F340000}"/>
    <cellStyle name="Normal 8 2 3 6 2" xfId="14264" xr:uid="{00000000-0005-0000-0000-000080340000}"/>
    <cellStyle name="Normal 8 2 3 7" xfId="7561" xr:uid="{00000000-0005-0000-0000-000081340000}"/>
    <cellStyle name="Normal 8 2 4" xfId="432" xr:uid="{00000000-0005-0000-0000-000082340000}"/>
    <cellStyle name="Normal 8 2 4 2" xfId="878" xr:uid="{00000000-0005-0000-0000-000083340000}"/>
    <cellStyle name="Normal 8 2 4 2 2" xfId="1745" xr:uid="{00000000-0005-0000-0000-000084340000}"/>
    <cellStyle name="Normal 8 2 4 2 2 2" xfId="3484" xr:uid="{00000000-0005-0000-0000-000085340000}"/>
    <cellStyle name="Normal 8 2 4 2 2 2 2" xfId="7054" xr:uid="{00000000-0005-0000-0000-000086340000}"/>
    <cellStyle name="Normal 8 2 4 2 2 2 2 2" xfId="14283" xr:uid="{00000000-0005-0000-0000-000087340000}"/>
    <cellStyle name="Normal 8 2 4 2 2 2 3" xfId="10713" xr:uid="{00000000-0005-0000-0000-000088340000}"/>
    <cellStyle name="Normal 8 2 4 2 2 3" xfId="7053" xr:uid="{00000000-0005-0000-0000-000089340000}"/>
    <cellStyle name="Normal 8 2 4 2 2 3 2" xfId="14282" xr:uid="{00000000-0005-0000-0000-00008A340000}"/>
    <cellStyle name="Normal 8 2 4 2 2 4" xfId="8975" xr:uid="{00000000-0005-0000-0000-00008B340000}"/>
    <cellStyle name="Normal 8 2 4 2 3" xfId="2617" xr:uid="{00000000-0005-0000-0000-00008C340000}"/>
    <cellStyle name="Normal 8 2 4 2 3 2" xfId="7055" xr:uid="{00000000-0005-0000-0000-00008D340000}"/>
    <cellStyle name="Normal 8 2 4 2 3 2 2" xfId="14284" xr:uid="{00000000-0005-0000-0000-00008E340000}"/>
    <cellStyle name="Normal 8 2 4 2 3 3" xfId="9846" xr:uid="{00000000-0005-0000-0000-00008F340000}"/>
    <cellStyle name="Normal 8 2 4 2 4" xfId="7052" xr:uid="{00000000-0005-0000-0000-000090340000}"/>
    <cellStyle name="Normal 8 2 4 2 4 2" xfId="14281" xr:uid="{00000000-0005-0000-0000-000091340000}"/>
    <cellStyle name="Normal 8 2 4 2 5" xfId="8108" xr:uid="{00000000-0005-0000-0000-000092340000}"/>
    <cellStyle name="Normal 8 2 4 3" xfId="1314" xr:uid="{00000000-0005-0000-0000-000093340000}"/>
    <cellStyle name="Normal 8 2 4 3 2" xfId="3053" xr:uid="{00000000-0005-0000-0000-000094340000}"/>
    <cellStyle name="Normal 8 2 4 3 2 2" xfId="7057" xr:uid="{00000000-0005-0000-0000-000095340000}"/>
    <cellStyle name="Normal 8 2 4 3 2 2 2" xfId="14286" xr:uid="{00000000-0005-0000-0000-000096340000}"/>
    <cellStyle name="Normal 8 2 4 3 2 3" xfId="10282" xr:uid="{00000000-0005-0000-0000-000097340000}"/>
    <cellStyle name="Normal 8 2 4 3 3" xfId="7056" xr:uid="{00000000-0005-0000-0000-000098340000}"/>
    <cellStyle name="Normal 8 2 4 3 3 2" xfId="14285" xr:uid="{00000000-0005-0000-0000-000099340000}"/>
    <cellStyle name="Normal 8 2 4 3 4" xfId="8544" xr:uid="{00000000-0005-0000-0000-00009A340000}"/>
    <cellStyle name="Normal 8 2 4 4" xfId="2186" xr:uid="{00000000-0005-0000-0000-00009B340000}"/>
    <cellStyle name="Normal 8 2 4 4 2" xfId="7058" xr:uid="{00000000-0005-0000-0000-00009C340000}"/>
    <cellStyle name="Normal 8 2 4 4 2 2" xfId="14287" xr:uid="{00000000-0005-0000-0000-00009D340000}"/>
    <cellStyle name="Normal 8 2 4 4 3" xfId="9415" xr:uid="{00000000-0005-0000-0000-00009E340000}"/>
    <cellStyle name="Normal 8 2 4 5" xfId="7051" xr:uid="{00000000-0005-0000-0000-00009F340000}"/>
    <cellStyle name="Normal 8 2 4 5 2" xfId="14280" xr:uid="{00000000-0005-0000-0000-0000A0340000}"/>
    <cellStyle name="Normal 8 2 4 6" xfId="7677" xr:uid="{00000000-0005-0000-0000-0000A1340000}"/>
    <cellStyle name="Normal 8 2 5" xfId="651" xr:uid="{00000000-0005-0000-0000-0000A2340000}"/>
    <cellStyle name="Normal 8 2 5 2" xfId="1527" xr:uid="{00000000-0005-0000-0000-0000A3340000}"/>
    <cellStyle name="Normal 8 2 5 2 2" xfId="3266" xr:uid="{00000000-0005-0000-0000-0000A4340000}"/>
    <cellStyle name="Normal 8 2 5 2 2 2" xfId="7061" xr:uid="{00000000-0005-0000-0000-0000A5340000}"/>
    <cellStyle name="Normal 8 2 5 2 2 2 2" xfId="14290" xr:uid="{00000000-0005-0000-0000-0000A6340000}"/>
    <cellStyle name="Normal 8 2 5 2 2 3" xfId="10495" xr:uid="{00000000-0005-0000-0000-0000A7340000}"/>
    <cellStyle name="Normal 8 2 5 2 3" xfId="7060" xr:uid="{00000000-0005-0000-0000-0000A8340000}"/>
    <cellStyle name="Normal 8 2 5 2 3 2" xfId="14289" xr:uid="{00000000-0005-0000-0000-0000A9340000}"/>
    <cellStyle name="Normal 8 2 5 2 4" xfId="8757" xr:uid="{00000000-0005-0000-0000-0000AA340000}"/>
    <cellStyle name="Normal 8 2 5 3" xfId="2399" xr:uid="{00000000-0005-0000-0000-0000AB340000}"/>
    <cellStyle name="Normal 8 2 5 3 2" xfId="7062" xr:uid="{00000000-0005-0000-0000-0000AC340000}"/>
    <cellStyle name="Normal 8 2 5 3 2 2" xfId="14291" xr:uid="{00000000-0005-0000-0000-0000AD340000}"/>
    <cellStyle name="Normal 8 2 5 3 3" xfId="9628" xr:uid="{00000000-0005-0000-0000-0000AE340000}"/>
    <cellStyle name="Normal 8 2 5 4" xfId="7059" xr:uid="{00000000-0005-0000-0000-0000AF340000}"/>
    <cellStyle name="Normal 8 2 5 4 2" xfId="14288" xr:uid="{00000000-0005-0000-0000-0000B0340000}"/>
    <cellStyle name="Normal 8 2 5 5" xfId="7890" xr:uid="{00000000-0005-0000-0000-0000B1340000}"/>
    <cellStyle name="Normal 8 2 6" xfId="1096" xr:uid="{00000000-0005-0000-0000-0000B2340000}"/>
    <cellStyle name="Normal 8 2 6 2" xfId="2835" xr:uid="{00000000-0005-0000-0000-0000B3340000}"/>
    <cellStyle name="Normal 8 2 6 2 2" xfId="7064" xr:uid="{00000000-0005-0000-0000-0000B4340000}"/>
    <cellStyle name="Normal 8 2 6 2 2 2" xfId="14293" xr:uid="{00000000-0005-0000-0000-0000B5340000}"/>
    <cellStyle name="Normal 8 2 6 2 3" xfId="10064" xr:uid="{00000000-0005-0000-0000-0000B6340000}"/>
    <cellStyle name="Normal 8 2 6 3" xfId="7063" xr:uid="{00000000-0005-0000-0000-0000B7340000}"/>
    <cellStyle name="Normal 8 2 6 3 2" xfId="14292" xr:uid="{00000000-0005-0000-0000-0000B8340000}"/>
    <cellStyle name="Normal 8 2 6 4" xfId="8326" xr:uid="{00000000-0005-0000-0000-0000B9340000}"/>
    <cellStyle name="Normal 8 2 7" xfId="1968" xr:uid="{00000000-0005-0000-0000-0000BA340000}"/>
    <cellStyle name="Normal 8 2 7 2" xfId="7065" xr:uid="{00000000-0005-0000-0000-0000BB340000}"/>
    <cellStyle name="Normal 8 2 7 2 2" xfId="14294" xr:uid="{00000000-0005-0000-0000-0000BC340000}"/>
    <cellStyle name="Normal 8 2 7 3" xfId="9197" xr:uid="{00000000-0005-0000-0000-0000BD340000}"/>
    <cellStyle name="Normal 8 2 8" xfId="7002" xr:uid="{00000000-0005-0000-0000-0000BE340000}"/>
    <cellStyle name="Normal 8 2 8 2" xfId="14231" xr:uid="{00000000-0005-0000-0000-0000BF340000}"/>
    <cellStyle name="Normal 8 2 9" xfId="7457" xr:uid="{00000000-0005-0000-0000-0000C0340000}"/>
    <cellStyle name="Normal 8 3" xfId="239" xr:uid="{00000000-0005-0000-0000-0000C1340000}"/>
    <cellStyle name="Normal 8 3 2" xfId="240" xr:uid="{00000000-0005-0000-0000-0000C2340000}"/>
    <cellStyle name="Normal 8 3 2 2" xfId="357" xr:uid="{00000000-0005-0000-0000-0000C3340000}"/>
    <cellStyle name="Normal 8 3 2 2 2" xfId="583" xr:uid="{00000000-0005-0000-0000-0000C4340000}"/>
    <cellStyle name="Normal 8 3 2 2 2 2" xfId="1029" xr:uid="{00000000-0005-0000-0000-0000C5340000}"/>
    <cellStyle name="Normal 8 3 2 2 2 2 2" xfId="1896" xr:uid="{00000000-0005-0000-0000-0000C6340000}"/>
    <cellStyle name="Normal 8 3 2 2 2 2 2 2" xfId="3635" xr:uid="{00000000-0005-0000-0000-0000C7340000}"/>
    <cellStyle name="Normal 8 3 2 2 2 2 2 2 2" xfId="7072" xr:uid="{00000000-0005-0000-0000-0000C8340000}"/>
    <cellStyle name="Normal 8 3 2 2 2 2 2 2 2 2" xfId="14301" xr:uid="{00000000-0005-0000-0000-0000C9340000}"/>
    <cellStyle name="Normal 8 3 2 2 2 2 2 2 3" xfId="10864" xr:uid="{00000000-0005-0000-0000-0000CA340000}"/>
    <cellStyle name="Normal 8 3 2 2 2 2 2 3" xfId="7071" xr:uid="{00000000-0005-0000-0000-0000CB340000}"/>
    <cellStyle name="Normal 8 3 2 2 2 2 2 3 2" xfId="14300" xr:uid="{00000000-0005-0000-0000-0000CC340000}"/>
    <cellStyle name="Normal 8 3 2 2 2 2 2 4" xfId="9126" xr:uid="{00000000-0005-0000-0000-0000CD340000}"/>
    <cellStyle name="Normal 8 3 2 2 2 2 3" xfId="2768" xr:uid="{00000000-0005-0000-0000-0000CE340000}"/>
    <cellStyle name="Normal 8 3 2 2 2 2 3 2" xfId="7073" xr:uid="{00000000-0005-0000-0000-0000CF340000}"/>
    <cellStyle name="Normal 8 3 2 2 2 2 3 2 2" xfId="14302" xr:uid="{00000000-0005-0000-0000-0000D0340000}"/>
    <cellStyle name="Normal 8 3 2 2 2 2 3 3" xfId="9997" xr:uid="{00000000-0005-0000-0000-0000D1340000}"/>
    <cellStyle name="Normal 8 3 2 2 2 2 4" xfId="7070" xr:uid="{00000000-0005-0000-0000-0000D2340000}"/>
    <cellStyle name="Normal 8 3 2 2 2 2 4 2" xfId="14299" xr:uid="{00000000-0005-0000-0000-0000D3340000}"/>
    <cellStyle name="Normal 8 3 2 2 2 2 5" xfId="8259" xr:uid="{00000000-0005-0000-0000-0000D4340000}"/>
    <cellStyle name="Normal 8 3 2 2 2 3" xfId="1465" xr:uid="{00000000-0005-0000-0000-0000D5340000}"/>
    <cellStyle name="Normal 8 3 2 2 2 3 2" xfId="3204" xr:uid="{00000000-0005-0000-0000-0000D6340000}"/>
    <cellStyle name="Normal 8 3 2 2 2 3 2 2" xfId="7075" xr:uid="{00000000-0005-0000-0000-0000D7340000}"/>
    <cellStyle name="Normal 8 3 2 2 2 3 2 2 2" xfId="14304" xr:uid="{00000000-0005-0000-0000-0000D8340000}"/>
    <cellStyle name="Normal 8 3 2 2 2 3 2 3" xfId="10433" xr:uid="{00000000-0005-0000-0000-0000D9340000}"/>
    <cellStyle name="Normal 8 3 2 2 2 3 3" xfId="7074" xr:uid="{00000000-0005-0000-0000-0000DA340000}"/>
    <cellStyle name="Normal 8 3 2 2 2 3 3 2" xfId="14303" xr:uid="{00000000-0005-0000-0000-0000DB340000}"/>
    <cellStyle name="Normal 8 3 2 2 2 3 4" xfId="8695" xr:uid="{00000000-0005-0000-0000-0000DC340000}"/>
    <cellStyle name="Normal 8 3 2 2 2 4" xfId="2337" xr:uid="{00000000-0005-0000-0000-0000DD340000}"/>
    <cellStyle name="Normal 8 3 2 2 2 4 2" xfId="7076" xr:uid="{00000000-0005-0000-0000-0000DE340000}"/>
    <cellStyle name="Normal 8 3 2 2 2 4 2 2" xfId="14305" xr:uid="{00000000-0005-0000-0000-0000DF340000}"/>
    <cellStyle name="Normal 8 3 2 2 2 4 3" xfId="9566" xr:uid="{00000000-0005-0000-0000-0000E0340000}"/>
    <cellStyle name="Normal 8 3 2 2 2 5" xfId="7069" xr:uid="{00000000-0005-0000-0000-0000E1340000}"/>
    <cellStyle name="Normal 8 3 2 2 2 5 2" xfId="14298" xr:uid="{00000000-0005-0000-0000-0000E2340000}"/>
    <cellStyle name="Normal 8 3 2 2 2 6" xfId="7828" xr:uid="{00000000-0005-0000-0000-0000E3340000}"/>
    <cellStyle name="Normal 8 3 2 2 3" xfId="805" xr:uid="{00000000-0005-0000-0000-0000E4340000}"/>
    <cellStyle name="Normal 8 3 2 2 3 2" xfId="1678" xr:uid="{00000000-0005-0000-0000-0000E5340000}"/>
    <cellStyle name="Normal 8 3 2 2 3 2 2" xfId="3417" xr:uid="{00000000-0005-0000-0000-0000E6340000}"/>
    <cellStyle name="Normal 8 3 2 2 3 2 2 2" xfId="7079" xr:uid="{00000000-0005-0000-0000-0000E7340000}"/>
    <cellStyle name="Normal 8 3 2 2 3 2 2 2 2" xfId="14308" xr:uid="{00000000-0005-0000-0000-0000E8340000}"/>
    <cellStyle name="Normal 8 3 2 2 3 2 2 3" xfId="10646" xr:uid="{00000000-0005-0000-0000-0000E9340000}"/>
    <cellStyle name="Normal 8 3 2 2 3 2 3" xfId="7078" xr:uid="{00000000-0005-0000-0000-0000EA340000}"/>
    <cellStyle name="Normal 8 3 2 2 3 2 3 2" xfId="14307" xr:uid="{00000000-0005-0000-0000-0000EB340000}"/>
    <cellStyle name="Normal 8 3 2 2 3 2 4" xfId="8908" xr:uid="{00000000-0005-0000-0000-0000EC340000}"/>
    <cellStyle name="Normal 8 3 2 2 3 3" xfId="2550" xr:uid="{00000000-0005-0000-0000-0000ED340000}"/>
    <cellStyle name="Normal 8 3 2 2 3 3 2" xfId="7080" xr:uid="{00000000-0005-0000-0000-0000EE340000}"/>
    <cellStyle name="Normal 8 3 2 2 3 3 2 2" xfId="14309" xr:uid="{00000000-0005-0000-0000-0000EF340000}"/>
    <cellStyle name="Normal 8 3 2 2 3 3 3" xfId="9779" xr:uid="{00000000-0005-0000-0000-0000F0340000}"/>
    <cellStyle name="Normal 8 3 2 2 3 4" xfId="7077" xr:uid="{00000000-0005-0000-0000-0000F1340000}"/>
    <cellStyle name="Normal 8 3 2 2 3 4 2" xfId="14306" xr:uid="{00000000-0005-0000-0000-0000F2340000}"/>
    <cellStyle name="Normal 8 3 2 2 3 5" xfId="8041" xr:uid="{00000000-0005-0000-0000-0000F3340000}"/>
    <cellStyle name="Normal 8 3 2 2 4" xfId="1247" xr:uid="{00000000-0005-0000-0000-0000F4340000}"/>
    <cellStyle name="Normal 8 3 2 2 4 2" xfId="2986" xr:uid="{00000000-0005-0000-0000-0000F5340000}"/>
    <cellStyle name="Normal 8 3 2 2 4 2 2" xfId="7082" xr:uid="{00000000-0005-0000-0000-0000F6340000}"/>
    <cellStyle name="Normal 8 3 2 2 4 2 2 2" xfId="14311" xr:uid="{00000000-0005-0000-0000-0000F7340000}"/>
    <cellStyle name="Normal 8 3 2 2 4 2 3" xfId="10215" xr:uid="{00000000-0005-0000-0000-0000F8340000}"/>
    <cellStyle name="Normal 8 3 2 2 4 3" xfId="7081" xr:uid="{00000000-0005-0000-0000-0000F9340000}"/>
    <cellStyle name="Normal 8 3 2 2 4 3 2" xfId="14310" xr:uid="{00000000-0005-0000-0000-0000FA340000}"/>
    <cellStyle name="Normal 8 3 2 2 4 4" xfId="8477" xr:uid="{00000000-0005-0000-0000-0000FB340000}"/>
    <cellStyle name="Normal 8 3 2 2 5" xfId="2119" xr:uid="{00000000-0005-0000-0000-0000FC340000}"/>
    <cellStyle name="Normal 8 3 2 2 5 2" xfId="7083" xr:uid="{00000000-0005-0000-0000-0000FD340000}"/>
    <cellStyle name="Normal 8 3 2 2 5 2 2" xfId="14312" xr:uid="{00000000-0005-0000-0000-0000FE340000}"/>
    <cellStyle name="Normal 8 3 2 2 5 3" xfId="9348" xr:uid="{00000000-0005-0000-0000-0000FF340000}"/>
    <cellStyle name="Normal 8 3 2 2 6" xfId="7068" xr:uid="{00000000-0005-0000-0000-000000350000}"/>
    <cellStyle name="Normal 8 3 2 2 6 2" xfId="14297" xr:uid="{00000000-0005-0000-0000-000001350000}"/>
    <cellStyle name="Normal 8 3 2 2 7" xfId="7610" xr:uid="{00000000-0005-0000-0000-000002350000}"/>
    <cellStyle name="Normal 8 3 2 3" xfId="481" xr:uid="{00000000-0005-0000-0000-000003350000}"/>
    <cellStyle name="Normal 8 3 2 3 2" xfId="927" xr:uid="{00000000-0005-0000-0000-000004350000}"/>
    <cellStyle name="Normal 8 3 2 3 2 2" xfId="1794" xr:uid="{00000000-0005-0000-0000-000005350000}"/>
    <cellStyle name="Normal 8 3 2 3 2 2 2" xfId="3533" xr:uid="{00000000-0005-0000-0000-000006350000}"/>
    <cellStyle name="Normal 8 3 2 3 2 2 2 2" xfId="7087" xr:uid="{00000000-0005-0000-0000-000007350000}"/>
    <cellStyle name="Normal 8 3 2 3 2 2 2 2 2" xfId="14316" xr:uid="{00000000-0005-0000-0000-000008350000}"/>
    <cellStyle name="Normal 8 3 2 3 2 2 2 3" xfId="10762" xr:uid="{00000000-0005-0000-0000-000009350000}"/>
    <cellStyle name="Normal 8 3 2 3 2 2 3" xfId="7086" xr:uid="{00000000-0005-0000-0000-00000A350000}"/>
    <cellStyle name="Normal 8 3 2 3 2 2 3 2" xfId="14315" xr:uid="{00000000-0005-0000-0000-00000B350000}"/>
    <cellStyle name="Normal 8 3 2 3 2 2 4" xfId="9024" xr:uid="{00000000-0005-0000-0000-00000C350000}"/>
    <cellStyle name="Normal 8 3 2 3 2 3" xfId="2666" xr:uid="{00000000-0005-0000-0000-00000D350000}"/>
    <cellStyle name="Normal 8 3 2 3 2 3 2" xfId="7088" xr:uid="{00000000-0005-0000-0000-00000E350000}"/>
    <cellStyle name="Normal 8 3 2 3 2 3 2 2" xfId="14317" xr:uid="{00000000-0005-0000-0000-00000F350000}"/>
    <cellStyle name="Normal 8 3 2 3 2 3 3" xfId="9895" xr:uid="{00000000-0005-0000-0000-000010350000}"/>
    <cellStyle name="Normal 8 3 2 3 2 4" xfId="7085" xr:uid="{00000000-0005-0000-0000-000011350000}"/>
    <cellStyle name="Normal 8 3 2 3 2 4 2" xfId="14314" xr:uid="{00000000-0005-0000-0000-000012350000}"/>
    <cellStyle name="Normal 8 3 2 3 2 5" xfId="8157" xr:uid="{00000000-0005-0000-0000-000013350000}"/>
    <cellStyle name="Normal 8 3 2 3 3" xfId="1363" xr:uid="{00000000-0005-0000-0000-000014350000}"/>
    <cellStyle name="Normal 8 3 2 3 3 2" xfId="3102" xr:uid="{00000000-0005-0000-0000-000015350000}"/>
    <cellStyle name="Normal 8 3 2 3 3 2 2" xfId="7090" xr:uid="{00000000-0005-0000-0000-000016350000}"/>
    <cellStyle name="Normal 8 3 2 3 3 2 2 2" xfId="14319" xr:uid="{00000000-0005-0000-0000-000017350000}"/>
    <cellStyle name="Normal 8 3 2 3 3 2 3" xfId="10331" xr:uid="{00000000-0005-0000-0000-000018350000}"/>
    <cellStyle name="Normal 8 3 2 3 3 3" xfId="7089" xr:uid="{00000000-0005-0000-0000-000019350000}"/>
    <cellStyle name="Normal 8 3 2 3 3 3 2" xfId="14318" xr:uid="{00000000-0005-0000-0000-00001A350000}"/>
    <cellStyle name="Normal 8 3 2 3 3 4" xfId="8593" xr:uid="{00000000-0005-0000-0000-00001B350000}"/>
    <cellStyle name="Normal 8 3 2 3 4" xfId="2235" xr:uid="{00000000-0005-0000-0000-00001C350000}"/>
    <cellStyle name="Normal 8 3 2 3 4 2" xfId="7091" xr:uid="{00000000-0005-0000-0000-00001D350000}"/>
    <cellStyle name="Normal 8 3 2 3 4 2 2" xfId="14320" xr:uid="{00000000-0005-0000-0000-00001E350000}"/>
    <cellStyle name="Normal 8 3 2 3 4 3" xfId="9464" xr:uid="{00000000-0005-0000-0000-00001F350000}"/>
    <cellStyle name="Normal 8 3 2 3 5" xfId="7084" xr:uid="{00000000-0005-0000-0000-000020350000}"/>
    <cellStyle name="Normal 8 3 2 3 5 2" xfId="14313" xr:uid="{00000000-0005-0000-0000-000021350000}"/>
    <cellStyle name="Normal 8 3 2 3 6" xfId="7726" xr:uid="{00000000-0005-0000-0000-000022350000}"/>
    <cellStyle name="Normal 8 3 2 4" xfId="703" xr:uid="{00000000-0005-0000-0000-000023350000}"/>
    <cellStyle name="Normal 8 3 2 4 2" xfId="1576" xr:uid="{00000000-0005-0000-0000-000024350000}"/>
    <cellStyle name="Normal 8 3 2 4 2 2" xfId="3315" xr:uid="{00000000-0005-0000-0000-000025350000}"/>
    <cellStyle name="Normal 8 3 2 4 2 2 2" xfId="7094" xr:uid="{00000000-0005-0000-0000-000026350000}"/>
    <cellStyle name="Normal 8 3 2 4 2 2 2 2" xfId="14323" xr:uid="{00000000-0005-0000-0000-000027350000}"/>
    <cellStyle name="Normal 8 3 2 4 2 2 3" xfId="10544" xr:uid="{00000000-0005-0000-0000-000028350000}"/>
    <cellStyle name="Normal 8 3 2 4 2 3" xfId="7093" xr:uid="{00000000-0005-0000-0000-000029350000}"/>
    <cellStyle name="Normal 8 3 2 4 2 3 2" xfId="14322" xr:uid="{00000000-0005-0000-0000-00002A350000}"/>
    <cellStyle name="Normal 8 3 2 4 2 4" xfId="8806" xr:uid="{00000000-0005-0000-0000-00002B350000}"/>
    <cellStyle name="Normal 8 3 2 4 3" xfId="2448" xr:uid="{00000000-0005-0000-0000-00002C350000}"/>
    <cellStyle name="Normal 8 3 2 4 3 2" xfId="7095" xr:uid="{00000000-0005-0000-0000-00002D350000}"/>
    <cellStyle name="Normal 8 3 2 4 3 2 2" xfId="14324" xr:uid="{00000000-0005-0000-0000-00002E350000}"/>
    <cellStyle name="Normal 8 3 2 4 3 3" xfId="9677" xr:uid="{00000000-0005-0000-0000-00002F350000}"/>
    <cellStyle name="Normal 8 3 2 4 4" xfId="7092" xr:uid="{00000000-0005-0000-0000-000030350000}"/>
    <cellStyle name="Normal 8 3 2 4 4 2" xfId="14321" xr:uid="{00000000-0005-0000-0000-000031350000}"/>
    <cellStyle name="Normal 8 3 2 4 5" xfId="7939" xr:uid="{00000000-0005-0000-0000-000032350000}"/>
    <cellStyle name="Normal 8 3 2 5" xfId="1145" xr:uid="{00000000-0005-0000-0000-000033350000}"/>
    <cellStyle name="Normal 8 3 2 5 2" xfId="2884" xr:uid="{00000000-0005-0000-0000-000034350000}"/>
    <cellStyle name="Normal 8 3 2 5 2 2" xfId="7097" xr:uid="{00000000-0005-0000-0000-000035350000}"/>
    <cellStyle name="Normal 8 3 2 5 2 2 2" xfId="14326" xr:uid="{00000000-0005-0000-0000-000036350000}"/>
    <cellStyle name="Normal 8 3 2 5 2 3" xfId="10113" xr:uid="{00000000-0005-0000-0000-000037350000}"/>
    <cellStyle name="Normal 8 3 2 5 3" xfId="7096" xr:uid="{00000000-0005-0000-0000-000038350000}"/>
    <cellStyle name="Normal 8 3 2 5 3 2" xfId="14325" xr:uid="{00000000-0005-0000-0000-000039350000}"/>
    <cellStyle name="Normal 8 3 2 5 4" xfId="8375" xr:uid="{00000000-0005-0000-0000-00003A350000}"/>
    <cellStyle name="Normal 8 3 2 6" xfId="2017" xr:uid="{00000000-0005-0000-0000-00003B350000}"/>
    <cellStyle name="Normal 8 3 2 6 2" xfId="7098" xr:uid="{00000000-0005-0000-0000-00003C350000}"/>
    <cellStyle name="Normal 8 3 2 6 2 2" xfId="14327" xr:uid="{00000000-0005-0000-0000-00003D350000}"/>
    <cellStyle name="Normal 8 3 2 6 3" xfId="9246" xr:uid="{00000000-0005-0000-0000-00003E350000}"/>
    <cellStyle name="Normal 8 3 2 7" xfId="7067" xr:uid="{00000000-0005-0000-0000-00003F350000}"/>
    <cellStyle name="Normal 8 3 2 7 2" xfId="14296" xr:uid="{00000000-0005-0000-0000-000040350000}"/>
    <cellStyle name="Normal 8 3 2 8" xfId="7508" xr:uid="{00000000-0005-0000-0000-000041350000}"/>
    <cellStyle name="Normal 8 3 3" xfId="356" xr:uid="{00000000-0005-0000-0000-000042350000}"/>
    <cellStyle name="Normal 8 3 3 2" xfId="582" xr:uid="{00000000-0005-0000-0000-000043350000}"/>
    <cellStyle name="Normal 8 3 3 2 2" xfId="1028" xr:uid="{00000000-0005-0000-0000-000044350000}"/>
    <cellStyle name="Normal 8 3 3 2 2 2" xfId="1895" xr:uid="{00000000-0005-0000-0000-000045350000}"/>
    <cellStyle name="Normal 8 3 3 2 2 2 2" xfId="3634" xr:uid="{00000000-0005-0000-0000-000046350000}"/>
    <cellStyle name="Normal 8 3 3 2 2 2 2 2" xfId="7103" xr:uid="{00000000-0005-0000-0000-000047350000}"/>
    <cellStyle name="Normal 8 3 3 2 2 2 2 2 2" xfId="14332" xr:uid="{00000000-0005-0000-0000-000048350000}"/>
    <cellStyle name="Normal 8 3 3 2 2 2 2 3" xfId="10863" xr:uid="{00000000-0005-0000-0000-000049350000}"/>
    <cellStyle name="Normal 8 3 3 2 2 2 3" xfId="7102" xr:uid="{00000000-0005-0000-0000-00004A350000}"/>
    <cellStyle name="Normal 8 3 3 2 2 2 3 2" xfId="14331" xr:uid="{00000000-0005-0000-0000-00004B350000}"/>
    <cellStyle name="Normal 8 3 3 2 2 2 4" xfId="9125" xr:uid="{00000000-0005-0000-0000-00004C350000}"/>
    <cellStyle name="Normal 8 3 3 2 2 3" xfId="2767" xr:uid="{00000000-0005-0000-0000-00004D350000}"/>
    <cellStyle name="Normal 8 3 3 2 2 3 2" xfId="7104" xr:uid="{00000000-0005-0000-0000-00004E350000}"/>
    <cellStyle name="Normal 8 3 3 2 2 3 2 2" xfId="14333" xr:uid="{00000000-0005-0000-0000-00004F350000}"/>
    <cellStyle name="Normal 8 3 3 2 2 3 3" xfId="9996" xr:uid="{00000000-0005-0000-0000-000050350000}"/>
    <cellStyle name="Normal 8 3 3 2 2 4" xfId="7101" xr:uid="{00000000-0005-0000-0000-000051350000}"/>
    <cellStyle name="Normal 8 3 3 2 2 4 2" xfId="14330" xr:uid="{00000000-0005-0000-0000-000052350000}"/>
    <cellStyle name="Normal 8 3 3 2 2 5" xfId="8258" xr:uid="{00000000-0005-0000-0000-000053350000}"/>
    <cellStyle name="Normal 8 3 3 2 3" xfId="1464" xr:uid="{00000000-0005-0000-0000-000054350000}"/>
    <cellStyle name="Normal 8 3 3 2 3 2" xfId="3203" xr:uid="{00000000-0005-0000-0000-000055350000}"/>
    <cellStyle name="Normal 8 3 3 2 3 2 2" xfId="7106" xr:uid="{00000000-0005-0000-0000-000056350000}"/>
    <cellStyle name="Normal 8 3 3 2 3 2 2 2" xfId="14335" xr:uid="{00000000-0005-0000-0000-000057350000}"/>
    <cellStyle name="Normal 8 3 3 2 3 2 3" xfId="10432" xr:uid="{00000000-0005-0000-0000-000058350000}"/>
    <cellStyle name="Normal 8 3 3 2 3 3" xfId="7105" xr:uid="{00000000-0005-0000-0000-000059350000}"/>
    <cellStyle name="Normal 8 3 3 2 3 3 2" xfId="14334" xr:uid="{00000000-0005-0000-0000-00005A350000}"/>
    <cellStyle name="Normal 8 3 3 2 3 4" xfId="8694" xr:uid="{00000000-0005-0000-0000-00005B350000}"/>
    <cellStyle name="Normal 8 3 3 2 4" xfId="2336" xr:uid="{00000000-0005-0000-0000-00005C350000}"/>
    <cellStyle name="Normal 8 3 3 2 4 2" xfId="7107" xr:uid="{00000000-0005-0000-0000-00005D350000}"/>
    <cellStyle name="Normal 8 3 3 2 4 2 2" xfId="14336" xr:uid="{00000000-0005-0000-0000-00005E350000}"/>
    <cellStyle name="Normal 8 3 3 2 4 3" xfId="9565" xr:uid="{00000000-0005-0000-0000-00005F350000}"/>
    <cellStyle name="Normal 8 3 3 2 5" xfId="7100" xr:uid="{00000000-0005-0000-0000-000060350000}"/>
    <cellStyle name="Normal 8 3 3 2 5 2" xfId="14329" xr:uid="{00000000-0005-0000-0000-000061350000}"/>
    <cellStyle name="Normal 8 3 3 2 6" xfId="7827" xr:uid="{00000000-0005-0000-0000-000062350000}"/>
    <cellStyle name="Normal 8 3 3 3" xfId="804" xr:uid="{00000000-0005-0000-0000-000063350000}"/>
    <cellStyle name="Normal 8 3 3 3 2" xfId="1677" xr:uid="{00000000-0005-0000-0000-000064350000}"/>
    <cellStyle name="Normal 8 3 3 3 2 2" xfId="3416" xr:uid="{00000000-0005-0000-0000-000065350000}"/>
    <cellStyle name="Normal 8 3 3 3 2 2 2" xfId="7110" xr:uid="{00000000-0005-0000-0000-000066350000}"/>
    <cellStyle name="Normal 8 3 3 3 2 2 2 2" xfId="14339" xr:uid="{00000000-0005-0000-0000-000067350000}"/>
    <cellStyle name="Normal 8 3 3 3 2 2 3" xfId="10645" xr:uid="{00000000-0005-0000-0000-000068350000}"/>
    <cellStyle name="Normal 8 3 3 3 2 3" xfId="7109" xr:uid="{00000000-0005-0000-0000-000069350000}"/>
    <cellStyle name="Normal 8 3 3 3 2 3 2" xfId="14338" xr:uid="{00000000-0005-0000-0000-00006A350000}"/>
    <cellStyle name="Normal 8 3 3 3 2 4" xfId="8907" xr:uid="{00000000-0005-0000-0000-00006B350000}"/>
    <cellStyle name="Normal 8 3 3 3 3" xfId="2549" xr:uid="{00000000-0005-0000-0000-00006C350000}"/>
    <cellStyle name="Normal 8 3 3 3 3 2" xfId="7111" xr:uid="{00000000-0005-0000-0000-00006D350000}"/>
    <cellStyle name="Normal 8 3 3 3 3 2 2" xfId="14340" xr:uid="{00000000-0005-0000-0000-00006E350000}"/>
    <cellStyle name="Normal 8 3 3 3 3 3" xfId="9778" xr:uid="{00000000-0005-0000-0000-00006F350000}"/>
    <cellStyle name="Normal 8 3 3 3 4" xfId="7108" xr:uid="{00000000-0005-0000-0000-000070350000}"/>
    <cellStyle name="Normal 8 3 3 3 4 2" xfId="14337" xr:uid="{00000000-0005-0000-0000-000071350000}"/>
    <cellStyle name="Normal 8 3 3 3 5" xfId="8040" xr:uid="{00000000-0005-0000-0000-000072350000}"/>
    <cellStyle name="Normal 8 3 3 4" xfId="1246" xr:uid="{00000000-0005-0000-0000-000073350000}"/>
    <cellStyle name="Normal 8 3 3 4 2" xfId="2985" xr:uid="{00000000-0005-0000-0000-000074350000}"/>
    <cellStyle name="Normal 8 3 3 4 2 2" xfId="7113" xr:uid="{00000000-0005-0000-0000-000075350000}"/>
    <cellStyle name="Normal 8 3 3 4 2 2 2" xfId="14342" xr:uid="{00000000-0005-0000-0000-000076350000}"/>
    <cellStyle name="Normal 8 3 3 4 2 3" xfId="10214" xr:uid="{00000000-0005-0000-0000-000077350000}"/>
    <cellStyle name="Normal 8 3 3 4 3" xfId="7112" xr:uid="{00000000-0005-0000-0000-000078350000}"/>
    <cellStyle name="Normal 8 3 3 4 3 2" xfId="14341" xr:uid="{00000000-0005-0000-0000-000079350000}"/>
    <cellStyle name="Normal 8 3 3 4 4" xfId="8476" xr:uid="{00000000-0005-0000-0000-00007A350000}"/>
    <cellStyle name="Normal 8 3 3 5" xfId="2118" xr:uid="{00000000-0005-0000-0000-00007B350000}"/>
    <cellStyle name="Normal 8 3 3 5 2" xfId="7114" xr:uid="{00000000-0005-0000-0000-00007C350000}"/>
    <cellStyle name="Normal 8 3 3 5 2 2" xfId="14343" xr:uid="{00000000-0005-0000-0000-00007D350000}"/>
    <cellStyle name="Normal 8 3 3 5 3" xfId="9347" xr:uid="{00000000-0005-0000-0000-00007E350000}"/>
    <cellStyle name="Normal 8 3 3 6" xfId="7099" xr:uid="{00000000-0005-0000-0000-00007F350000}"/>
    <cellStyle name="Normal 8 3 3 6 2" xfId="14328" xr:uid="{00000000-0005-0000-0000-000080350000}"/>
    <cellStyle name="Normal 8 3 3 7" xfId="7609" xr:uid="{00000000-0005-0000-0000-000081350000}"/>
    <cellStyle name="Normal 8 3 4" xfId="480" xr:uid="{00000000-0005-0000-0000-000082350000}"/>
    <cellStyle name="Normal 8 3 4 2" xfId="926" xr:uid="{00000000-0005-0000-0000-000083350000}"/>
    <cellStyle name="Normal 8 3 4 2 2" xfId="1793" xr:uid="{00000000-0005-0000-0000-000084350000}"/>
    <cellStyle name="Normal 8 3 4 2 2 2" xfId="3532" xr:uid="{00000000-0005-0000-0000-000085350000}"/>
    <cellStyle name="Normal 8 3 4 2 2 2 2" xfId="7118" xr:uid="{00000000-0005-0000-0000-000086350000}"/>
    <cellStyle name="Normal 8 3 4 2 2 2 2 2" xfId="14347" xr:uid="{00000000-0005-0000-0000-000087350000}"/>
    <cellStyle name="Normal 8 3 4 2 2 2 3" xfId="10761" xr:uid="{00000000-0005-0000-0000-000088350000}"/>
    <cellStyle name="Normal 8 3 4 2 2 3" xfId="7117" xr:uid="{00000000-0005-0000-0000-000089350000}"/>
    <cellStyle name="Normal 8 3 4 2 2 3 2" xfId="14346" xr:uid="{00000000-0005-0000-0000-00008A350000}"/>
    <cellStyle name="Normal 8 3 4 2 2 4" xfId="9023" xr:uid="{00000000-0005-0000-0000-00008B350000}"/>
    <cellStyle name="Normal 8 3 4 2 3" xfId="2665" xr:uid="{00000000-0005-0000-0000-00008C350000}"/>
    <cellStyle name="Normal 8 3 4 2 3 2" xfId="7119" xr:uid="{00000000-0005-0000-0000-00008D350000}"/>
    <cellStyle name="Normal 8 3 4 2 3 2 2" xfId="14348" xr:uid="{00000000-0005-0000-0000-00008E350000}"/>
    <cellStyle name="Normal 8 3 4 2 3 3" xfId="9894" xr:uid="{00000000-0005-0000-0000-00008F350000}"/>
    <cellStyle name="Normal 8 3 4 2 4" xfId="7116" xr:uid="{00000000-0005-0000-0000-000090350000}"/>
    <cellStyle name="Normal 8 3 4 2 4 2" xfId="14345" xr:uid="{00000000-0005-0000-0000-000091350000}"/>
    <cellStyle name="Normal 8 3 4 2 5" xfId="8156" xr:uid="{00000000-0005-0000-0000-000092350000}"/>
    <cellStyle name="Normal 8 3 4 3" xfId="1362" xr:uid="{00000000-0005-0000-0000-000093350000}"/>
    <cellStyle name="Normal 8 3 4 3 2" xfId="3101" xr:uid="{00000000-0005-0000-0000-000094350000}"/>
    <cellStyle name="Normal 8 3 4 3 2 2" xfId="7121" xr:uid="{00000000-0005-0000-0000-000095350000}"/>
    <cellStyle name="Normal 8 3 4 3 2 2 2" xfId="14350" xr:uid="{00000000-0005-0000-0000-000096350000}"/>
    <cellStyle name="Normal 8 3 4 3 2 3" xfId="10330" xr:uid="{00000000-0005-0000-0000-000097350000}"/>
    <cellStyle name="Normal 8 3 4 3 3" xfId="7120" xr:uid="{00000000-0005-0000-0000-000098350000}"/>
    <cellStyle name="Normal 8 3 4 3 3 2" xfId="14349" xr:uid="{00000000-0005-0000-0000-000099350000}"/>
    <cellStyle name="Normal 8 3 4 3 4" xfId="8592" xr:uid="{00000000-0005-0000-0000-00009A350000}"/>
    <cellStyle name="Normal 8 3 4 4" xfId="2234" xr:uid="{00000000-0005-0000-0000-00009B350000}"/>
    <cellStyle name="Normal 8 3 4 4 2" xfId="7122" xr:uid="{00000000-0005-0000-0000-00009C350000}"/>
    <cellStyle name="Normal 8 3 4 4 2 2" xfId="14351" xr:uid="{00000000-0005-0000-0000-00009D350000}"/>
    <cellStyle name="Normal 8 3 4 4 3" xfId="9463" xr:uid="{00000000-0005-0000-0000-00009E350000}"/>
    <cellStyle name="Normal 8 3 4 5" xfId="7115" xr:uid="{00000000-0005-0000-0000-00009F350000}"/>
    <cellStyle name="Normal 8 3 4 5 2" xfId="14344" xr:uid="{00000000-0005-0000-0000-0000A0350000}"/>
    <cellStyle name="Normal 8 3 4 6" xfId="7725" xr:uid="{00000000-0005-0000-0000-0000A1350000}"/>
    <cellStyle name="Normal 8 3 5" xfId="702" xr:uid="{00000000-0005-0000-0000-0000A2350000}"/>
    <cellStyle name="Normal 8 3 5 2" xfId="1575" xr:uid="{00000000-0005-0000-0000-0000A3350000}"/>
    <cellStyle name="Normal 8 3 5 2 2" xfId="3314" xr:uid="{00000000-0005-0000-0000-0000A4350000}"/>
    <cellStyle name="Normal 8 3 5 2 2 2" xfId="7125" xr:uid="{00000000-0005-0000-0000-0000A5350000}"/>
    <cellStyle name="Normal 8 3 5 2 2 2 2" xfId="14354" xr:uid="{00000000-0005-0000-0000-0000A6350000}"/>
    <cellStyle name="Normal 8 3 5 2 2 3" xfId="10543" xr:uid="{00000000-0005-0000-0000-0000A7350000}"/>
    <cellStyle name="Normal 8 3 5 2 3" xfId="7124" xr:uid="{00000000-0005-0000-0000-0000A8350000}"/>
    <cellStyle name="Normal 8 3 5 2 3 2" xfId="14353" xr:uid="{00000000-0005-0000-0000-0000A9350000}"/>
    <cellStyle name="Normal 8 3 5 2 4" xfId="8805" xr:uid="{00000000-0005-0000-0000-0000AA350000}"/>
    <cellStyle name="Normal 8 3 5 3" xfId="2447" xr:uid="{00000000-0005-0000-0000-0000AB350000}"/>
    <cellStyle name="Normal 8 3 5 3 2" xfId="7126" xr:uid="{00000000-0005-0000-0000-0000AC350000}"/>
    <cellStyle name="Normal 8 3 5 3 2 2" xfId="14355" xr:uid="{00000000-0005-0000-0000-0000AD350000}"/>
    <cellStyle name="Normal 8 3 5 3 3" xfId="9676" xr:uid="{00000000-0005-0000-0000-0000AE350000}"/>
    <cellStyle name="Normal 8 3 5 4" xfId="7123" xr:uid="{00000000-0005-0000-0000-0000AF350000}"/>
    <cellStyle name="Normal 8 3 5 4 2" xfId="14352" xr:uid="{00000000-0005-0000-0000-0000B0350000}"/>
    <cellStyle name="Normal 8 3 5 5" xfId="7938" xr:uid="{00000000-0005-0000-0000-0000B1350000}"/>
    <cellStyle name="Normal 8 3 6" xfId="1144" xr:uid="{00000000-0005-0000-0000-0000B2350000}"/>
    <cellStyle name="Normal 8 3 6 2" xfId="2883" xr:uid="{00000000-0005-0000-0000-0000B3350000}"/>
    <cellStyle name="Normal 8 3 6 2 2" xfId="7128" xr:uid="{00000000-0005-0000-0000-0000B4350000}"/>
    <cellStyle name="Normal 8 3 6 2 2 2" xfId="14357" xr:uid="{00000000-0005-0000-0000-0000B5350000}"/>
    <cellStyle name="Normal 8 3 6 2 3" xfId="10112" xr:uid="{00000000-0005-0000-0000-0000B6350000}"/>
    <cellStyle name="Normal 8 3 6 3" xfId="7127" xr:uid="{00000000-0005-0000-0000-0000B7350000}"/>
    <cellStyle name="Normal 8 3 6 3 2" xfId="14356" xr:uid="{00000000-0005-0000-0000-0000B8350000}"/>
    <cellStyle name="Normal 8 3 6 4" xfId="8374" xr:uid="{00000000-0005-0000-0000-0000B9350000}"/>
    <cellStyle name="Normal 8 3 7" xfId="2016" xr:uid="{00000000-0005-0000-0000-0000BA350000}"/>
    <cellStyle name="Normal 8 3 7 2" xfId="7129" xr:uid="{00000000-0005-0000-0000-0000BB350000}"/>
    <cellStyle name="Normal 8 3 7 2 2" xfId="14358" xr:uid="{00000000-0005-0000-0000-0000BC350000}"/>
    <cellStyle name="Normal 8 3 7 3" xfId="9245" xr:uid="{00000000-0005-0000-0000-0000BD350000}"/>
    <cellStyle name="Normal 8 3 8" xfId="7066" xr:uid="{00000000-0005-0000-0000-0000BE350000}"/>
    <cellStyle name="Normal 8 3 8 2" xfId="14295" xr:uid="{00000000-0005-0000-0000-0000BF350000}"/>
    <cellStyle name="Normal 8 3 9" xfId="7507" xr:uid="{00000000-0005-0000-0000-0000C0350000}"/>
    <cellStyle name="Normal 8 4" xfId="275" xr:uid="{00000000-0005-0000-0000-0000C1350000}"/>
    <cellStyle name="Normal 8 4 2" xfId="501" xr:uid="{00000000-0005-0000-0000-0000C2350000}"/>
    <cellStyle name="Normal 8 4 2 2" xfId="947" xr:uid="{00000000-0005-0000-0000-0000C3350000}"/>
    <cellStyle name="Normal 8 4 2 2 2" xfId="1814" xr:uid="{00000000-0005-0000-0000-0000C4350000}"/>
    <cellStyle name="Normal 8 4 2 2 2 2" xfId="3553" xr:uid="{00000000-0005-0000-0000-0000C5350000}"/>
    <cellStyle name="Normal 8 4 2 2 2 2 2" xfId="7134" xr:uid="{00000000-0005-0000-0000-0000C6350000}"/>
    <cellStyle name="Normal 8 4 2 2 2 2 2 2" xfId="14363" xr:uid="{00000000-0005-0000-0000-0000C7350000}"/>
    <cellStyle name="Normal 8 4 2 2 2 2 3" xfId="10782" xr:uid="{00000000-0005-0000-0000-0000C8350000}"/>
    <cellStyle name="Normal 8 4 2 2 2 3" xfId="7133" xr:uid="{00000000-0005-0000-0000-0000C9350000}"/>
    <cellStyle name="Normal 8 4 2 2 2 3 2" xfId="14362" xr:uid="{00000000-0005-0000-0000-0000CA350000}"/>
    <cellStyle name="Normal 8 4 2 2 2 4" xfId="9044" xr:uid="{00000000-0005-0000-0000-0000CB350000}"/>
    <cellStyle name="Normal 8 4 2 2 3" xfId="2686" xr:uid="{00000000-0005-0000-0000-0000CC350000}"/>
    <cellStyle name="Normal 8 4 2 2 3 2" xfId="7135" xr:uid="{00000000-0005-0000-0000-0000CD350000}"/>
    <cellStyle name="Normal 8 4 2 2 3 2 2" xfId="14364" xr:uid="{00000000-0005-0000-0000-0000CE350000}"/>
    <cellStyle name="Normal 8 4 2 2 3 3" xfId="9915" xr:uid="{00000000-0005-0000-0000-0000CF350000}"/>
    <cellStyle name="Normal 8 4 2 2 4" xfId="7132" xr:uid="{00000000-0005-0000-0000-0000D0350000}"/>
    <cellStyle name="Normal 8 4 2 2 4 2" xfId="14361" xr:uid="{00000000-0005-0000-0000-0000D1350000}"/>
    <cellStyle name="Normal 8 4 2 2 5" xfId="8177" xr:uid="{00000000-0005-0000-0000-0000D2350000}"/>
    <cellStyle name="Normal 8 4 2 3" xfId="1383" xr:uid="{00000000-0005-0000-0000-0000D3350000}"/>
    <cellStyle name="Normal 8 4 2 3 2" xfId="3122" xr:uid="{00000000-0005-0000-0000-0000D4350000}"/>
    <cellStyle name="Normal 8 4 2 3 2 2" xfId="7137" xr:uid="{00000000-0005-0000-0000-0000D5350000}"/>
    <cellStyle name="Normal 8 4 2 3 2 2 2" xfId="14366" xr:uid="{00000000-0005-0000-0000-0000D6350000}"/>
    <cellStyle name="Normal 8 4 2 3 2 3" xfId="10351" xr:uid="{00000000-0005-0000-0000-0000D7350000}"/>
    <cellStyle name="Normal 8 4 2 3 3" xfId="7136" xr:uid="{00000000-0005-0000-0000-0000D8350000}"/>
    <cellStyle name="Normal 8 4 2 3 3 2" xfId="14365" xr:uid="{00000000-0005-0000-0000-0000D9350000}"/>
    <cellStyle name="Normal 8 4 2 3 4" xfId="8613" xr:uid="{00000000-0005-0000-0000-0000DA350000}"/>
    <cellStyle name="Normal 8 4 2 4" xfId="2255" xr:uid="{00000000-0005-0000-0000-0000DB350000}"/>
    <cellStyle name="Normal 8 4 2 4 2" xfId="7138" xr:uid="{00000000-0005-0000-0000-0000DC350000}"/>
    <cellStyle name="Normal 8 4 2 4 2 2" xfId="14367" xr:uid="{00000000-0005-0000-0000-0000DD350000}"/>
    <cellStyle name="Normal 8 4 2 4 3" xfId="9484" xr:uid="{00000000-0005-0000-0000-0000DE350000}"/>
    <cellStyle name="Normal 8 4 2 5" xfId="7131" xr:uid="{00000000-0005-0000-0000-0000DF350000}"/>
    <cellStyle name="Normal 8 4 2 5 2" xfId="14360" xr:uid="{00000000-0005-0000-0000-0000E0350000}"/>
    <cellStyle name="Normal 8 4 2 6" xfId="7746" xr:uid="{00000000-0005-0000-0000-0000E1350000}"/>
    <cellStyle name="Normal 8 4 3" xfId="723" xr:uid="{00000000-0005-0000-0000-0000E2350000}"/>
    <cellStyle name="Normal 8 4 3 2" xfId="1596" xr:uid="{00000000-0005-0000-0000-0000E3350000}"/>
    <cellStyle name="Normal 8 4 3 2 2" xfId="3335" xr:uid="{00000000-0005-0000-0000-0000E4350000}"/>
    <cellStyle name="Normal 8 4 3 2 2 2" xfId="7141" xr:uid="{00000000-0005-0000-0000-0000E5350000}"/>
    <cellStyle name="Normal 8 4 3 2 2 2 2" xfId="14370" xr:uid="{00000000-0005-0000-0000-0000E6350000}"/>
    <cellStyle name="Normal 8 4 3 2 2 3" xfId="10564" xr:uid="{00000000-0005-0000-0000-0000E7350000}"/>
    <cellStyle name="Normal 8 4 3 2 3" xfId="7140" xr:uid="{00000000-0005-0000-0000-0000E8350000}"/>
    <cellStyle name="Normal 8 4 3 2 3 2" xfId="14369" xr:uid="{00000000-0005-0000-0000-0000E9350000}"/>
    <cellStyle name="Normal 8 4 3 2 4" xfId="8826" xr:uid="{00000000-0005-0000-0000-0000EA350000}"/>
    <cellStyle name="Normal 8 4 3 3" xfId="2468" xr:uid="{00000000-0005-0000-0000-0000EB350000}"/>
    <cellStyle name="Normal 8 4 3 3 2" xfId="7142" xr:uid="{00000000-0005-0000-0000-0000EC350000}"/>
    <cellStyle name="Normal 8 4 3 3 2 2" xfId="14371" xr:uid="{00000000-0005-0000-0000-0000ED350000}"/>
    <cellStyle name="Normal 8 4 3 3 3" xfId="9697" xr:uid="{00000000-0005-0000-0000-0000EE350000}"/>
    <cellStyle name="Normal 8 4 3 4" xfId="7139" xr:uid="{00000000-0005-0000-0000-0000EF350000}"/>
    <cellStyle name="Normal 8 4 3 4 2" xfId="14368" xr:uid="{00000000-0005-0000-0000-0000F0350000}"/>
    <cellStyle name="Normal 8 4 3 5" xfId="7959" xr:uid="{00000000-0005-0000-0000-0000F1350000}"/>
    <cellStyle name="Normal 8 4 4" xfId="1165" xr:uid="{00000000-0005-0000-0000-0000F2350000}"/>
    <cellStyle name="Normal 8 4 4 2" xfId="2904" xr:uid="{00000000-0005-0000-0000-0000F3350000}"/>
    <cellStyle name="Normal 8 4 4 2 2" xfId="7144" xr:uid="{00000000-0005-0000-0000-0000F4350000}"/>
    <cellStyle name="Normal 8 4 4 2 2 2" xfId="14373" xr:uid="{00000000-0005-0000-0000-0000F5350000}"/>
    <cellStyle name="Normal 8 4 4 2 3" xfId="10133" xr:uid="{00000000-0005-0000-0000-0000F6350000}"/>
    <cellStyle name="Normal 8 4 4 3" xfId="7143" xr:uid="{00000000-0005-0000-0000-0000F7350000}"/>
    <cellStyle name="Normal 8 4 4 3 2" xfId="14372" xr:uid="{00000000-0005-0000-0000-0000F8350000}"/>
    <cellStyle name="Normal 8 4 4 4" xfId="8395" xr:uid="{00000000-0005-0000-0000-0000F9350000}"/>
    <cellStyle name="Normal 8 4 5" xfId="2037" xr:uid="{00000000-0005-0000-0000-0000FA350000}"/>
    <cellStyle name="Normal 8 4 5 2" xfId="7145" xr:uid="{00000000-0005-0000-0000-0000FB350000}"/>
    <cellStyle name="Normal 8 4 5 2 2" xfId="14374" xr:uid="{00000000-0005-0000-0000-0000FC350000}"/>
    <cellStyle name="Normal 8 4 5 3" xfId="9266" xr:uid="{00000000-0005-0000-0000-0000FD350000}"/>
    <cellStyle name="Normal 8 4 6" xfId="7130" xr:uid="{00000000-0005-0000-0000-0000FE350000}"/>
    <cellStyle name="Normal 8 4 6 2" xfId="14359" xr:uid="{00000000-0005-0000-0000-0000FF350000}"/>
    <cellStyle name="Normal 8 4 7" xfId="7528" xr:uid="{00000000-0005-0000-0000-000000360000}"/>
    <cellStyle name="Normal 8 5" xfId="399" xr:uid="{00000000-0005-0000-0000-000001360000}"/>
    <cellStyle name="Normal 8 5 2" xfId="845" xr:uid="{00000000-0005-0000-0000-000002360000}"/>
    <cellStyle name="Normal 8 5 2 2" xfId="1712" xr:uid="{00000000-0005-0000-0000-000003360000}"/>
    <cellStyle name="Normal 8 5 2 2 2" xfId="3451" xr:uid="{00000000-0005-0000-0000-000004360000}"/>
    <cellStyle name="Normal 8 5 2 2 2 2" xfId="7149" xr:uid="{00000000-0005-0000-0000-000005360000}"/>
    <cellStyle name="Normal 8 5 2 2 2 2 2" xfId="14378" xr:uid="{00000000-0005-0000-0000-000006360000}"/>
    <cellStyle name="Normal 8 5 2 2 2 3" xfId="10680" xr:uid="{00000000-0005-0000-0000-000007360000}"/>
    <cellStyle name="Normal 8 5 2 2 3" xfId="7148" xr:uid="{00000000-0005-0000-0000-000008360000}"/>
    <cellStyle name="Normal 8 5 2 2 3 2" xfId="14377" xr:uid="{00000000-0005-0000-0000-000009360000}"/>
    <cellStyle name="Normal 8 5 2 2 4" xfId="8942" xr:uid="{00000000-0005-0000-0000-00000A360000}"/>
    <cellStyle name="Normal 8 5 2 3" xfId="2584" xr:uid="{00000000-0005-0000-0000-00000B360000}"/>
    <cellStyle name="Normal 8 5 2 3 2" xfId="7150" xr:uid="{00000000-0005-0000-0000-00000C360000}"/>
    <cellStyle name="Normal 8 5 2 3 2 2" xfId="14379" xr:uid="{00000000-0005-0000-0000-00000D360000}"/>
    <cellStyle name="Normal 8 5 2 3 3" xfId="9813" xr:uid="{00000000-0005-0000-0000-00000E360000}"/>
    <cellStyle name="Normal 8 5 2 4" xfId="7147" xr:uid="{00000000-0005-0000-0000-00000F360000}"/>
    <cellStyle name="Normal 8 5 2 4 2" xfId="14376" xr:uid="{00000000-0005-0000-0000-000010360000}"/>
    <cellStyle name="Normal 8 5 2 5" xfId="8075" xr:uid="{00000000-0005-0000-0000-000011360000}"/>
    <cellStyle name="Normal 8 5 3" xfId="1281" xr:uid="{00000000-0005-0000-0000-000012360000}"/>
    <cellStyle name="Normal 8 5 3 2" xfId="3020" xr:uid="{00000000-0005-0000-0000-000013360000}"/>
    <cellStyle name="Normal 8 5 3 2 2" xfId="7152" xr:uid="{00000000-0005-0000-0000-000014360000}"/>
    <cellStyle name="Normal 8 5 3 2 2 2" xfId="14381" xr:uid="{00000000-0005-0000-0000-000015360000}"/>
    <cellStyle name="Normal 8 5 3 2 3" xfId="10249" xr:uid="{00000000-0005-0000-0000-000016360000}"/>
    <cellStyle name="Normal 8 5 3 3" xfId="7151" xr:uid="{00000000-0005-0000-0000-000017360000}"/>
    <cellStyle name="Normal 8 5 3 3 2" xfId="14380" xr:uid="{00000000-0005-0000-0000-000018360000}"/>
    <cellStyle name="Normal 8 5 3 4" xfId="8511" xr:uid="{00000000-0005-0000-0000-000019360000}"/>
    <cellStyle name="Normal 8 5 4" xfId="2153" xr:uid="{00000000-0005-0000-0000-00001A360000}"/>
    <cellStyle name="Normal 8 5 4 2" xfId="7153" xr:uid="{00000000-0005-0000-0000-00001B360000}"/>
    <cellStyle name="Normal 8 5 4 2 2" xfId="14382" xr:uid="{00000000-0005-0000-0000-00001C360000}"/>
    <cellStyle name="Normal 8 5 4 3" xfId="9382" xr:uid="{00000000-0005-0000-0000-00001D360000}"/>
    <cellStyle name="Normal 8 5 5" xfId="7146" xr:uid="{00000000-0005-0000-0000-00001E360000}"/>
    <cellStyle name="Normal 8 5 5 2" xfId="14375" xr:uid="{00000000-0005-0000-0000-00001F360000}"/>
    <cellStyle name="Normal 8 5 6" xfId="7644" xr:uid="{00000000-0005-0000-0000-000020360000}"/>
    <cellStyle name="Normal 8 6" xfId="617" xr:uid="{00000000-0005-0000-0000-000021360000}"/>
    <cellStyle name="Normal 8 6 2" xfId="1494" xr:uid="{00000000-0005-0000-0000-000022360000}"/>
    <cellStyle name="Normal 8 6 2 2" xfId="3233" xr:uid="{00000000-0005-0000-0000-000023360000}"/>
    <cellStyle name="Normal 8 6 2 2 2" xfId="7156" xr:uid="{00000000-0005-0000-0000-000024360000}"/>
    <cellStyle name="Normal 8 6 2 2 2 2" xfId="14385" xr:uid="{00000000-0005-0000-0000-000025360000}"/>
    <cellStyle name="Normal 8 6 2 2 3" xfId="10462" xr:uid="{00000000-0005-0000-0000-000026360000}"/>
    <cellStyle name="Normal 8 6 2 3" xfId="7155" xr:uid="{00000000-0005-0000-0000-000027360000}"/>
    <cellStyle name="Normal 8 6 2 3 2" xfId="14384" xr:uid="{00000000-0005-0000-0000-000028360000}"/>
    <cellStyle name="Normal 8 6 2 4" xfId="8724" xr:uid="{00000000-0005-0000-0000-000029360000}"/>
    <cellStyle name="Normal 8 6 3" xfId="2366" xr:uid="{00000000-0005-0000-0000-00002A360000}"/>
    <cellStyle name="Normal 8 6 3 2" xfId="7157" xr:uid="{00000000-0005-0000-0000-00002B360000}"/>
    <cellStyle name="Normal 8 6 3 2 2" xfId="14386" xr:uid="{00000000-0005-0000-0000-00002C360000}"/>
    <cellStyle name="Normal 8 6 3 3" xfId="9595" xr:uid="{00000000-0005-0000-0000-00002D360000}"/>
    <cellStyle name="Normal 8 6 4" xfId="7154" xr:uid="{00000000-0005-0000-0000-00002E360000}"/>
    <cellStyle name="Normal 8 6 4 2" xfId="14383" xr:uid="{00000000-0005-0000-0000-00002F360000}"/>
    <cellStyle name="Normal 8 6 5" xfId="7857" xr:uid="{00000000-0005-0000-0000-000030360000}"/>
    <cellStyle name="Normal 8 7" xfId="1063" xr:uid="{00000000-0005-0000-0000-000031360000}"/>
    <cellStyle name="Normal 8 7 2" xfId="2802" xr:uid="{00000000-0005-0000-0000-000032360000}"/>
    <cellStyle name="Normal 8 7 2 2" xfId="7159" xr:uid="{00000000-0005-0000-0000-000033360000}"/>
    <cellStyle name="Normal 8 7 2 2 2" xfId="14388" xr:uid="{00000000-0005-0000-0000-000034360000}"/>
    <cellStyle name="Normal 8 7 2 3" xfId="10031" xr:uid="{00000000-0005-0000-0000-000035360000}"/>
    <cellStyle name="Normal 8 7 3" xfId="7158" xr:uid="{00000000-0005-0000-0000-000036360000}"/>
    <cellStyle name="Normal 8 7 3 2" xfId="14387" xr:uid="{00000000-0005-0000-0000-000037360000}"/>
    <cellStyle name="Normal 8 7 4" xfId="8293" xr:uid="{00000000-0005-0000-0000-000038360000}"/>
    <cellStyle name="Normal 8 8" xfId="1935" xr:uid="{00000000-0005-0000-0000-000039360000}"/>
    <cellStyle name="Normal 8 8 2" xfId="7160" xr:uid="{00000000-0005-0000-0000-00003A360000}"/>
    <cellStyle name="Normal 8 8 2 2" xfId="14389" xr:uid="{00000000-0005-0000-0000-00003B360000}"/>
    <cellStyle name="Normal 8 8 3" xfId="9164" xr:uid="{00000000-0005-0000-0000-00003C360000}"/>
    <cellStyle name="Normal 8 9" xfId="7001" xr:uid="{00000000-0005-0000-0000-00003D360000}"/>
    <cellStyle name="Normal 8 9 2" xfId="14230" xr:uid="{00000000-0005-0000-0000-00003E360000}"/>
    <cellStyle name="Normal 9" xfId="45" xr:uid="{00000000-0005-0000-0000-00003F360000}"/>
    <cellStyle name="Normal 9 10" xfId="7425" xr:uid="{00000000-0005-0000-0000-000040360000}"/>
    <cellStyle name="Normal 9 2" xfId="102" xr:uid="{00000000-0005-0000-0000-000041360000}"/>
    <cellStyle name="Normal 9 2 2" xfId="241" xr:uid="{00000000-0005-0000-0000-000042360000}"/>
    <cellStyle name="Normal 9 2 2 2" xfId="358" xr:uid="{00000000-0005-0000-0000-000043360000}"/>
    <cellStyle name="Normal 9 2 2 2 2" xfId="584" xr:uid="{00000000-0005-0000-0000-000044360000}"/>
    <cellStyle name="Normal 9 2 2 2 2 2" xfId="1030" xr:uid="{00000000-0005-0000-0000-000045360000}"/>
    <cellStyle name="Normal 9 2 2 2 2 2 2" xfId="1897" xr:uid="{00000000-0005-0000-0000-000046360000}"/>
    <cellStyle name="Normal 9 2 2 2 2 2 2 2" xfId="3636" xr:uid="{00000000-0005-0000-0000-000047360000}"/>
    <cellStyle name="Normal 9 2 2 2 2 2 2 2 2" xfId="7168" xr:uid="{00000000-0005-0000-0000-000048360000}"/>
    <cellStyle name="Normal 9 2 2 2 2 2 2 2 2 2" xfId="14397" xr:uid="{00000000-0005-0000-0000-000049360000}"/>
    <cellStyle name="Normal 9 2 2 2 2 2 2 2 3" xfId="10865" xr:uid="{00000000-0005-0000-0000-00004A360000}"/>
    <cellStyle name="Normal 9 2 2 2 2 2 2 3" xfId="7167" xr:uid="{00000000-0005-0000-0000-00004B360000}"/>
    <cellStyle name="Normal 9 2 2 2 2 2 2 3 2" xfId="14396" xr:uid="{00000000-0005-0000-0000-00004C360000}"/>
    <cellStyle name="Normal 9 2 2 2 2 2 2 4" xfId="9127" xr:uid="{00000000-0005-0000-0000-00004D360000}"/>
    <cellStyle name="Normal 9 2 2 2 2 2 3" xfId="2769" xr:uid="{00000000-0005-0000-0000-00004E360000}"/>
    <cellStyle name="Normal 9 2 2 2 2 2 3 2" xfId="7169" xr:uid="{00000000-0005-0000-0000-00004F360000}"/>
    <cellStyle name="Normal 9 2 2 2 2 2 3 2 2" xfId="14398" xr:uid="{00000000-0005-0000-0000-000050360000}"/>
    <cellStyle name="Normal 9 2 2 2 2 2 3 3" xfId="9998" xr:uid="{00000000-0005-0000-0000-000051360000}"/>
    <cellStyle name="Normal 9 2 2 2 2 2 4" xfId="7166" xr:uid="{00000000-0005-0000-0000-000052360000}"/>
    <cellStyle name="Normal 9 2 2 2 2 2 4 2" xfId="14395" xr:uid="{00000000-0005-0000-0000-000053360000}"/>
    <cellStyle name="Normal 9 2 2 2 2 2 5" xfId="8260" xr:uid="{00000000-0005-0000-0000-000054360000}"/>
    <cellStyle name="Normal 9 2 2 2 2 3" xfId="1466" xr:uid="{00000000-0005-0000-0000-000055360000}"/>
    <cellStyle name="Normal 9 2 2 2 2 3 2" xfId="3205" xr:uid="{00000000-0005-0000-0000-000056360000}"/>
    <cellStyle name="Normal 9 2 2 2 2 3 2 2" xfId="7171" xr:uid="{00000000-0005-0000-0000-000057360000}"/>
    <cellStyle name="Normal 9 2 2 2 2 3 2 2 2" xfId="14400" xr:uid="{00000000-0005-0000-0000-000058360000}"/>
    <cellStyle name="Normal 9 2 2 2 2 3 2 3" xfId="10434" xr:uid="{00000000-0005-0000-0000-000059360000}"/>
    <cellStyle name="Normal 9 2 2 2 2 3 3" xfId="7170" xr:uid="{00000000-0005-0000-0000-00005A360000}"/>
    <cellStyle name="Normal 9 2 2 2 2 3 3 2" xfId="14399" xr:uid="{00000000-0005-0000-0000-00005B360000}"/>
    <cellStyle name="Normal 9 2 2 2 2 3 4" xfId="8696" xr:uid="{00000000-0005-0000-0000-00005C360000}"/>
    <cellStyle name="Normal 9 2 2 2 2 4" xfId="2338" xr:uid="{00000000-0005-0000-0000-00005D360000}"/>
    <cellStyle name="Normal 9 2 2 2 2 4 2" xfId="7172" xr:uid="{00000000-0005-0000-0000-00005E360000}"/>
    <cellStyle name="Normal 9 2 2 2 2 4 2 2" xfId="14401" xr:uid="{00000000-0005-0000-0000-00005F360000}"/>
    <cellStyle name="Normal 9 2 2 2 2 4 3" xfId="9567" xr:uid="{00000000-0005-0000-0000-000060360000}"/>
    <cellStyle name="Normal 9 2 2 2 2 5" xfId="7165" xr:uid="{00000000-0005-0000-0000-000061360000}"/>
    <cellStyle name="Normal 9 2 2 2 2 5 2" xfId="14394" xr:uid="{00000000-0005-0000-0000-000062360000}"/>
    <cellStyle name="Normal 9 2 2 2 2 6" xfId="7829" xr:uid="{00000000-0005-0000-0000-000063360000}"/>
    <cellStyle name="Normal 9 2 2 2 3" xfId="806" xr:uid="{00000000-0005-0000-0000-000064360000}"/>
    <cellStyle name="Normal 9 2 2 2 3 2" xfId="1679" xr:uid="{00000000-0005-0000-0000-000065360000}"/>
    <cellStyle name="Normal 9 2 2 2 3 2 2" xfId="3418" xr:uid="{00000000-0005-0000-0000-000066360000}"/>
    <cellStyle name="Normal 9 2 2 2 3 2 2 2" xfId="7175" xr:uid="{00000000-0005-0000-0000-000067360000}"/>
    <cellStyle name="Normal 9 2 2 2 3 2 2 2 2" xfId="14404" xr:uid="{00000000-0005-0000-0000-000068360000}"/>
    <cellStyle name="Normal 9 2 2 2 3 2 2 3" xfId="10647" xr:uid="{00000000-0005-0000-0000-000069360000}"/>
    <cellStyle name="Normal 9 2 2 2 3 2 3" xfId="7174" xr:uid="{00000000-0005-0000-0000-00006A360000}"/>
    <cellStyle name="Normal 9 2 2 2 3 2 3 2" xfId="14403" xr:uid="{00000000-0005-0000-0000-00006B360000}"/>
    <cellStyle name="Normal 9 2 2 2 3 2 4" xfId="8909" xr:uid="{00000000-0005-0000-0000-00006C360000}"/>
    <cellStyle name="Normal 9 2 2 2 3 3" xfId="2551" xr:uid="{00000000-0005-0000-0000-00006D360000}"/>
    <cellStyle name="Normal 9 2 2 2 3 3 2" xfId="7176" xr:uid="{00000000-0005-0000-0000-00006E360000}"/>
    <cellStyle name="Normal 9 2 2 2 3 3 2 2" xfId="14405" xr:uid="{00000000-0005-0000-0000-00006F360000}"/>
    <cellStyle name="Normal 9 2 2 2 3 3 3" xfId="9780" xr:uid="{00000000-0005-0000-0000-000070360000}"/>
    <cellStyle name="Normal 9 2 2 2 3 4" xfId="7173" xr:uid="{00000000-0005-0000-0000-000071360000}"/>
    <cellStyle name="Normal 9 2 2 2 3 4 2" xfId="14402" xr:uid="{00000000-0005-0000-0000-000072360000}"/>
    <cellStyle name="Normal 9 2 2 2 3 5" xfId="8042" xr:uid="{00000000-0005-0000-0000-000073360000}"/>
    <cellStyle name="Normal 9 2 2 2 4" xfId="1248" xr:uid="{00000000-0005-0000-0000-000074360000}"/>
    <cellStyle name="Normal 9 2 2 2 4 2" xfId="2987" xr:uid="{00000000-0005-0000-0000-000075360000}"/>
    <cellStyle name="Normal 9 2 2 2 4 2 2" xfId="7178" xr:uid="{00000000-0005-0000-0000-000076360000}"/>
    <cellStyle name="Normal 9 2 2 2 4 2 2 2" xfId="14407" xr:uid="{00000000-0005-0000-0000-000077360000}"/>
    <cellStyle name="Normal 9 2 2 2 4 2 3" xfId="10216" xr:uid="{00000000-0005-0000-0000-000078360000}"/>
    <cellStyle name="Normal 9 2 2 2 4 3" xfId="7177" xr:uid="{00000000-0005-0000-0000-000079360000}"/>
    <cellStyle name="Normal 9 2 2 2 4 3 2" xfId="14406" xr:uid="{00000000-0005-0000-0000-00007A360000}"/>
    <cellStyle name="Normal 9 2 2 2 4 4" xfId="8478" xr:uid="{00000000-0005-0000-0000-00007B360000}"/>
    <cellStyle name="Normal 9 2 2 2 5" xfId="2120" xr:uid="{00000000-0005-0000-0000-00007C360000}"/>
    <cellStyle name="Normal 9 2 2 2 5 2" xfId="7179" xr:uid="{00000000-0005-0000-0000-00007D360000}"/>
    <cellStyle name="Normal 9 2 2 2 5 2 2" xfId="14408" xr:uid="{00000000-0005-0000-0000-00007E360000}"/>
    <cellStyle name="Normal 9 2 2 2 5 3" xfId="9349" xr:uid="{00000000-0005-0000-0000-00007F360000}"/>
    <cellStyle name="Normal 9 2 2 2 6" xfId="7164" xr:uid="{00000000-0005-0000-0000-000080360000}"/>
    <cellStyle name="Normal 9 2 2 2 6 2" xfId="14393" xr:uid="{00000000-0005-0000-0000-000081360000}"/>
    <cellStyle name="Normal 9 2 2 2 7" xfId="7611" xr:uid="{00000000-0005-0000-0000-000082360000}"/>
    <cellStyle name="Normal 9 2 2 3" xfId="482" xr:uid="{00000000-0005-0000-0000-000083360000}"/>
    <cellStyle name="Normal 9 2 2 3 2" xfId="928" xr:uid="{00000000-0005-0000-0000-000084360000}"/>
    <cellStyle name="Normal 9 2 2 3 2 2" xfId="1795" xr:uid="{00000000-0005-0000-0000-000085360000}"/>
    <cellStyle name="Normal 9 2 2 3 2 2 2" xfId="3534" xr:uid="{00000000-0005-0000-0000-000086360000}"/>
    <cellStyle name="Normal 9 2 2 3 2 2 2 2" xfId="7183" xr:uid="{00000000-0005-0000-0000-000087360000}"/>
    <cellStyle name="Normal 9 2 2 3 2 2 2 2 2" xfId="14412" xr:uid="{00000000-0005-0000-0000-000088360000}"/>
    <cellStyle name="Normal 9 2 2 3 2 2 2 3" xfId="10763" xr:uid="{00000000-0005-0000-0000-000089360000}"/>
    <cellStyle name="Normal 9 2 2 3 2 2 3" xfId="7182" xr:uid="{00000000-0005-0000-0000-00008A360000}"/>
    <cellStyle name="Normal 9 2 2 3 2 2 3 2" xfId="14411" xr:uid="{00000000-0005-0000-0000-00008B360000}"/>
    <cellStyle name="Normal 9 2 2 3 2 2 4" xfId="9025" xr:uid="{00000000-0005-0000-0000-00008C360000}"/>
    <cellStyle name="Normal 9 2 2 3 2 3" xfId="2667" xr:uid="{00000000-0005-0000-0000-00008D360000}"/>
    <cellStyle name="Normal 9 2 2 3 2 3 2" xfId="7184" xr:uid="{00000000-0005-0000-0000-00008E360000}"/>
    <cellStyle name="Normal 9 2 2 3 2 3 2 2" xfId="14413" xr:uid="{00000000-0005-0000-0000-00008F360000}"/>
    <cellStyle name="Normal 9 2 2 3 2 3 3" xfId="9896" xr:uid="{00000000-0005-0000-0000-000090360000}"/>
    <cellStyle name="Normal 9 2 2 3 2 4" xfId="7181" xr:uid="{00000000-0005-0000-0000-000091360000}"/>
    <cellStyle name="Normal 9 2 2 3 2 4 2" xfId="14410" xr:uid="{00000000-0005-0000-0000-000092360000}"/>
    <cellStyle name="Normal 9 2 2 3 2 5" xfId="8158" xr:uid="{00000000-0005-0000-0000-000093360000}"/>
    <cellStyle name="Normal 9 2 2 3 3" xfId="1364" xr:uid="{00000000-0005-0000-0000-000094360000}"/>
    <cellStyle name="Normal 9 2 2 3 3 2" xfId="3103" xr:uid="{00000000-0005-0000-0000-000095360000}"/>
    <cellStyle name="Normal 9 2 2 3 3 2 2" xfId="7186" xr:uid="{00000000-0005-0000-0000-000096360000}"/>
    <cellStyle name="Normal 9 2 2 3 3 2 2 2" xfId="14415" xr:uid="{00000000-0005-0000-0000-000097360000}"/>
    <cellStyle name="Normal 9 2 2 3 3 2 3" xfId="10332" xr:uid="{00000000-0005-0000-0000-000098360000}"/>
    <cellStyle name="Normal 9 2 2 3 3 3" xfId="7185" xr:uid="{00000000-0005-0000-0000-000099360000}"/>
    <cellStyle name="Normal 9 2 2 3 3 3 2" xfId="14414" xr:uid="{00000000-0005-0000-0000-00009A360000}"/>
    <cellStyle name="Normal 9 2 2 3 3 4" xfId="8594" xr:uid="{00000000-0005-0000-0000-00009B360000}"/>
    <cellStyle name="Normal 9 2 2 3 4" xfId="2236" xr:uid="{00000000-0005-0000-0000-00009C360000}"/>
    <cellStyle name="Normal 9 2 2 3 4 2" xfId="7187" xr:uid="{00000000-0005-0000-0000-00009D360000}"/>
    <cellStyle name="Normal 9 2 2 3 4 2 2" xfId="14416" xr:uid="{00000000-0005-0000-0000-00009E360000}"/>
    <cellStyle name="Normal 9 2 2 3 4 3" xfId="9465" xr:uid="{00000000-0005-0000-0000-00009F360000}"/>
    <cellStyle name="Normal 9 2 2 3 5" xfId="7180" xr:uid="{00000000-0005-0000-0000-0000A0360000}"/>
    <cellStyle name="Normal 9 2 2 3 5 2" xfId="14409" xr:uid="{00000000-0005-0000-0000-0000A1360000}"/>
    <cellStyle name="Normal 9 2 2 3 6" xfId="7727" xr:uid="{00000000-0005-0000-0000-0000A2360000}"/>
    <cellStyle name="Normal 9 2 2 4" xfId="704" xr:uid="{00000000-0005-0000-0000-0000A3360000}"/>
    <cellStyle name="Normal 9 2 2 4 2" xfId="1577" xr:uid="{00000000-0005-0000-0000-0000A4360000}"/>
    <cellStyle name="Normal 9 2 2 4 2 2" xfId="3316" xr:uid="{00000000-0005-0000-0000-0000A5360000}"/>
    <cellStyle name="Normal 9 2 2 4 2 2 2" xfId="7190" xr:uid="{00000000-0005-0000-0000-0000A6360000}"/>
    <cellStyle name="Normal 9 2 2 4 2 2 2 2" xfId="14419" xr:uid="{00000000-0005-0000-0000-0000A7360000}"/>
    <cellStyle name="Normal 9 2 2 4 2 2 3" xfId="10545" xr:uid="{00000000-0005-0000-0000-0000A8360000}"/>
    <cellStyle name="Normal 9 2 2 4 2 3" xfId="7189" xr:uid="{00000000-0005-0000-0000-0000A9360000}"/>
    <cellStyle name="Normal 9 2 2 4 2 3 2" xfId="14418" xr:uid="{00000000-0005-0000-0000-0000AA360000}"/>
    <cellStyle name="Normal 9 2 2 4 2 4" xfId="8807" xr:uid="{00000000-0005-0000-0000-0000AB360000}"/>
    <cellStyle name="Normal 9 2 2 4 3" xfId="2449" xr:uid="{00000000-0005-0000-0000-0000AC360000}"/>
    <cellStyle name="Normal 9 2 2 4 3 2" xfId="7191" xr:uid="{00000000-0005-0000-0000-0000AD360000}"/>
    <cellStyle name="Normal 9 2 2 4 3 2 2" xfId="14420" xr:uid="{00000000-0005-0000-0000-0000AE360000}"/>
    <cellStyle name="Normal 9 2 2 4 3 3" xfId="9678" xr:uid="{00000000-0005-0000-0000-0000AF360000}"/>
    <cellStyle name="Normal 9 2 2 4 4" xfId="7188" xr:uid="{00000000-0005-0000-0000-0000B0360000}"/>
    <cellStyle name="Normal 9 2 2 4 4 2" xfId="14417" xr:uid="{00000000-0005-0000-0000-0000B1360000}"/>
    <cellStyle name="Normal 9 2 2 4 5" xfId="7940" xr:uid="{00000000-0005-0000-0000-0000B2360000}"/>
    <cellStyle name="Normal 9 2 2 5" xfId="1146" xr:uid="{00000000-0005-0000-0000-0000B3360000}"/>
    <cellStyle name="Normal 9 2 2 5 2" xfId="2885" xr:uid="{00000000-0005-0000-0000-0000B4360000}"/>
    <cellStyle name="Normal 9 2 2 5 2 2" xfId="7193" xr:uid="{00000000-0005-0000-0000-0000B5360000}"/>
    <cellStyle name="Normal 9 2 2 5 2 2 2" xfId="14422" xr:uid="{00000000-0005-0000-0000-0000B6360000}"/>
    <cellStyle name="Normal 9 2 2 5 2 3" xfId="10114" xr:uid="{00000000-0005-0000-0000-0000B7360000}"/>
    <cellStyle name="Normal 9 2 2 5 3" xfId="7192" xr:uid="{00000000-0005-0000-0000-0000B8360000}"/>
    <cellStyle name="Normal 9 2 2 5 3 2" xfId="14421" xr:uid="{00000000-0005-0000-0000-0000B9360000}"/>
    <cellStyle name="Normal 9 2 2 5 4" xfId="8376" xr:uid="{00000000-0005-0000-0000-0000BA360000}"/>
    <cellStyle name="Normal 9 2 2 6" xfId="2018" xr:uid="{00000000-0005-0000-0000-0000BB360000}"/>
    <cellStyle name="Normal 9 2 2 6 2" xfId="7194" xr:uid="{00000000-0005-0000-0000-0000BC360000}"/>
    <cellStyle name="Normal 9 2 2 6 2 2" xfId="14423" xr:uid="{00000000-0005-0000-0000-0000BD360000}"/>
    <cellStyle name="Normal 9 2 2 6 3" xfId="9247" xr:uid="{00000000-0005-0000-0000-0000BE360000}"/>
    <cellStyle name="Normal 9 2 2 7" xfId="7163" xr:uid="{00000000-0005-0000-0000-0000BF360000}"/>
    <cellStyle name="Normal 9 2 2 7 2" xfId="14392" xr:uid="{00000000-0005-0000-0000-0000C0360000}"/>
    <cellStyle name="Normal 9 2 2 8" xfId="7509" xr:uid="{00000000-0005-0000-0000-0000C1360000}"/>
    <cellStyle name="Normal 9 2 3" xfId="309" xr:uid="{00000000-0005-0000-0000-0000C2360000}"/>
    <cellStyle name="Normal 9 2 3 2" xfId="535" xr:uid="{00000000-0005-0000-0000-0000C3360000}"/>
    <cellStyle name="Normal 9 2 3 2 2" xfId="981" xr:uid="{00000000-0005-0000-0000-0000C4360000}"/>
    <cellStyle name="Normal 9 2 3 2 2 2" xfId="1848" xr:uid="{00000000-0005-0000-0000-0000C5360000}"/>
    <cellStyle name="Normal 9 2 3 2 2 2 2" xfId="3587" xr:uid="{00000000-0005-0000-0000-0000C6360000}"/>
    <cellStyle name="Normal 9 2 3 2 2 2 2 2" xfId="7199" xr:uid="{00000000-0005-0000-0000-0000C7360000}"/>
    <cellStyle name="Normal 9 2 3 2 2 2 2 2 2" xfId="14428" xr:uid="{00000000-0005-0000-0000-0000C8360000}"/>
    <cellStyle name="Normal 9 2 3 2 2 2 2 3" xfId="10816" xr:uid="{00000000-0005-0000-0000-0000C9360000}"/>
    <cellStyle name="Normal 9 2 3 2 2 2 3" xfId="7198" xr:uid="{00000000-0005-0000-0000-0000CA360000}"/>
    <cellStyle name="Normal 9 2 3 2 2 2 3 2" xfId="14427" xr:uid="{00000000-0005-0000-0000-0000CB360000}"/>
    <cellStyle name="Normal 9 2 3 2 2 2 4" xfId="9078" xr:uid="{00000000-0005-0000-0000-0000CC360000}"/>
    <cellStyle name="Normal 9 2 3 2 2 3" xfId="2720" xr:uid="{00000000-0005-0000-0000-0000CD360000}"/>
    <cellStyle name="Normal 9 2 3 2 2 3 2" xfId="7200" xr:uid="{00000000-0005-0000-0000-0000CE360000}"/>
    <cellStyle name="Normal 9 2 3 2 2 3 2 2" xfId="14429" xr:uid="{00000000-0005-0000-0000-0000CF360000}"/>
    <cellStyle name="Normal 9 2 3 2 2 3 3" xfId="9949" xr:uid="{00000000-0005-0000-0000-0000D0360000}"/>
    <cellStyle name="Normal 9 2 3 2 2 4" xfId="7197" xr:uid="{00000000-0005-0000-0000-0000D1360000}"/>
    <cellStyle name="Normal 9 2 3 2 2 4 2" xfId="14426" xr:uid="{00000000-0005-0000-0000-0000D2360000}"/>
    <cellStyle name="Normal 9 2 3 2 2 5" xfId="8211" xr:uid="{00000000-0005-0000-0000-0000D3360000}"/>
    <cellStyle name="Normal 9 2 3 2 3" xfId="1417" xr:uid="{00000000-0005-0000-0000-0000D4360000}"/>
    <cellStyle name="Normal 9 2 3 2 3 2" xfId="3156" xr:uid="{00000000-0005-0000-0000-0000D5360000}"/>
    <cellStyle name="Normal 9 2 3 2 3 2 2" xfId="7202" xr:uid="{00000000-0005-0000-0000-0000D6360000}"/>
    <cellStyle name="Normal 9 2 3 2 3 2 2 2" xfId="14431" xr:uid="{00000000-0005-0000-0000-0000D7360000}"/>
    <cellStyle name="Normal 9 2 3 2 3 2 3" xfId="10385" xr:uid="{00000000-0005-0000-0000-0000D8360000}"/>
    <cellStyle name="Normal 9 2 3 2 3 3" xfId="7201" xr:uid="{00000000-0005-0000-0000-0000D9360000}"/>
    <cellStyle name="Normal 9 2 3 2 3 3 2" xfId="14430" xr:uid="{00000000-0005-0000-0000-0000DA360000}"/>
    <cellStyle name="Normal 9 2 3 2 3 4" xfId="8647" xr:uid="{00000000-0005-0000-0000-0000DB360000}"/>
    <cellStyle name="Normal 9 2 3 2 4" xfId="2289" xr:uid="{00000000-0005-0000-0000-0000DC360000}"/>
    <cellStyle name="Normal 9 2 3 2 4 2" xfId="7203" xr:uid="{00000000-0005-0000-0000-0000DD360000}"/>
    <cellStyle name="Normal 9 2 3 2 4 2 2" xfId="14432" xr:uid="{00000000-0005-0000-0000-0000DE360000}"/>
    <cellStyle name="Normal 9 2 3 2 4 3" xfId="9518" xr:uid="{00000000-0005-0000-0000-0000DF360000}"/>
    <cellStyle name="Normal 9 2 3 2 5" xfId="7196" xr:uid="{00000000-0005-0000-0000-0000E0360000}"/>
    <cellStyle name="Normal 9 2 3 2 5 2" xfId="14425" xr:uid="{00000000-0005-0000-0000-0000E1360000}"/>
    <cellStyle name="Normal 9 2 3 2 6" xfId="7780" xr:uid="{00000000-0005-0000-0000-0000E2360000}"/>
    <cellStyle name="Normal 9 2 3 3" xfId="757" xr:uid="{00000000-0005-0000-0000-0000E3360000}"/>
    <cellStyle name="Normal 9 2 3 3 2" xfId="1630" xr:uid="{00000000-0005-0000-0000-0000E4360000}"/>
    <cellStyle name="Normal 9 2 3 3 2 2" xfId="3369" xr:uid="{00000000-0005-0000-0000-0000E5360000}"/>
    <cellStyle name="Normal 9 2 3 3 2 2 2" xfId="7206" xr:uid="{00000000-0005-0000-0000-0000E6360000}"/>
    <cellStyle name="Normal 9 2 3 3 2 2 2 2" xfId="14435" xr:uid="{00000000-0005-0000-0000-0000E7360000}"/>
    <cellStyle name="Normal 9 2 3 3 2 2 3" xfId="10598" xr:uid="{00000000-0005-0000-0000-0000E8360000}"/>
    <cellStyle name="Normal 9 2 3 3 2 3" xfId="7205" xr:uid="{00000000-0005-0000-0000-0000E9360000}"/>
    <cellStyle name="Normal 9 2 3 3 2 3 2" xfId="14434" xr:uid="{00000000-0005-0000-0000-0000EA360000}"/>
    <cellStyle name="Normal 9 2 3 3 2 4" xfId="8860" xr:uid="{00000000-0005-0000-0000-0000EB360000}"/>
    <cellStyle name="Normal 9 2 3 3 3" xfId="2502" xr:uid="{00000000-0005-0000-0000-0000EC360000}"/>
    <cellStyle name="Normal 9 2 3 3 3 2" xfId="7207" xr:uid="{00000000-0005-0000-0000-0000ED360000}"/>
    <cellStyle name="Normal 9 2 3 3 3 2 2" xfId="14436" xr:uid="{00000000-0005-0000-0000-0000EE360000}"/>
    <cellStyle name="Normal 9 2 3 3 3 3" xfId="9731" xr:uid="{00000000-0005-0000-0000-0000EF360000}"/>
    <cellStyle name="Normal 9 2 3 3 4" xfId="7204" xr:uid="{00000000-0005-0000-0000-0000F0360000}"/>
    <cellStyle name="Normal 9 2 3 3 4 2" xfId="14433" xr:uid="{00000000-0005-0000-0000-0000F1360000}"/>
    <cellStyle name="Normal 9 2 3 3 5" xfId="7993" xr:uid="{00000000-0005-0000-0000-0000F2360000}"/>
    <cellStyle name="Normal 9 2 3 4" xfId="1199" xr:uid="{00000000-0005-0000-0000-0000F3360000}"/>
    <cellStyle name="Normal 9 2 3 4 2" xfId="2938" xr:uid="{00000000-0005-0000-0000-0000F4360000}"/>
    <cellStyle name="Normal 9 2 3 4 2 2" xfId="7209" xr:uid="{00000000-0005-0000-0000-0000F5360000}"/>
    <cellStyle name="Normal 9 2 3 4 2 2 2" xfId="14438" xr:uid="{00000000-0005-0000-0000-0000F6360000}"/>
    <cellStyle name="Normal 9 2 3 4 2 3" xfId="10167" xr:uid="{00000000-0005-0000-0000-0000F7360000}"/>
    <cellStyle name="Normal 9 2 3 4 3" xfId="7208" xr:uid="{00000000-0005-0000-0000-0000F8360000}"/>
    <cellStyle name="Normal 9 2 3 4 3 2" xfId="14437" xr:uid="{00000000-0005-0000-0000-0000F9360000}"/>
    <cellStyle name="Normal 9 2 3 4 4" xfId="8429" xr:uid="{00000000-0005-0000-0000-0000FA360000}"/>
    <cellStyle name="Normal 9 2 3 5" xfId="2071" xr:uid="{00000000-0005-0000-0000-0000FB360000}"/>
    <cellStyle name="Normal 9 2 3 5 2" xfId="7210" xr:uid="{00000000-0005-0000-0000-0000FC360000}"/>
    <cellStyle name="Normal 9 2 3 5 2 2" xfId="14439" xr:uid="{00000000-0005-0000-0000-0000FD360000}"/>
    <cellStyle name="Normal 9 2 3 5 3" xfId="9300" xr:uid="{00000000-0005-0000-0000-0000FE360000}"/>
    <cellStyle name="Normal 9 2 3 6" xfId="7195" xr:uid="{00000000-0005-0000-0000-0000FF360000}"/>
    <cellStyle name="Normal 9 2 3 6 2" xfId="14424" xr:uid="{00000000-0005-0000-0000-000000370000}"/>
    <cellStyle name="Normal 9 2 3 7" xfId="7562" xr:uid="{00000000-0005-0000-0000-000001370000}"/>
    <cellStyle name="Normal 9 2 4" xfId="433" xr:uid="{00000000-0005-0000-0000-000002370000}"/>
    <cellStyle name="Normal 9 2 4 2" xfId="879" xr:uid="{00000000-0005-0000-0000-000003370000}"/>
    <cellStyle name="Normal 9 2 4 2 2" xfId="1746" xr:uid="{00000000-0005-0000-0000-000004370000}"/>
    <cellStyle name="Normal 9 2 4 2 2 2" xfId="3485" xr:uid="{00000000-0005-0000-0000-000005370000}"/>
    <cellStyle name="Normal 9 2 4 2 2 2 2" xfId="7214" xr:uid="{00000000-0005-0000-0000-000006370000}"/>
    <cellStyle name="Normal 9 2 4 2 2 2 2 2" xfId="14443" xr:uid="{00000000-0005-0000-0000-000007370000}"/>
    <cellStyle name="Normal 9 2 4 2 2 2 3" xfId="10714" xr:uid="{00000000-0005-0000-0000-000008370000}"/>
    <cellStyle name="Normal 9 2 4 2 2 3" xfId="7213" xr:uid="{00000000-0005-0000-0000-000009370000}"/>
    <cellStyle name="Normal 9 2 4 2 2 3 2" xfId="14442" xr:uid="{00000000-0005-0000-0000-00000A370000}"/>
    <cellStyle name="Normal 9 2 4 2 2 4" xfId="8976" xr:uid="{00000000-0005-0000-0000-00000B370000}"/>
    <cellStyle name="Normal 9 2 4 2 3" xfId="2618" xr:uid="{00000000-0005-0000-0000-00000C370000}"/>
    <cellStyle name="Normal 9 2 4 2 3 2" xfId="7215" xr:uid="{00000000-0005-0000-0000-00000D370000}"/>
    <cellStyle name="Normal 9 2 4 2 3 2 2" xfId="14444" xr:uid="{00000000-0005-0000-0000-00000E370000}"/>
    <cellStyle name="Normal 9 2 4 2 3 3" xfId="9847" xr:uid="{00000000-0005-0000-0000-00000F370000}"/>
    <cellStyle name="Normal 9 2 4 2 4" xfId="7212" xr:uid="{00000000-0005-0000-0000-000010370000}"/>
    <cellStyle name="Normal 9 2 4 2 4 2" xfId="14441" xr:uid="{00000000-0005-0000-0000-000011370000}"/>
    <cellStyle name="Normal 9 2 4 2 5" xfId="8109" xr:uid="{00000000-0005-0000-0000-000012370000}"/>
    <cellStyle name="Normal 9 2 4 3" xfId="1315" xr:uid="{00000000-0005-0000-0000-000013370000}"/>
    <cellStyle name="Normal 9 2 4 3 2" xfId="3054" xr:uid="{00000000-0005-0000-0000-000014370000}"/>
    <cellStyle name="Normal 9 2 4 3 2 2" xfId="7217" xr:uid="{00000000-0005-0000-0000-000015370000}"/>
    <cellStyle name="Normal 9 2 4 3 2 2 2" xfId="14446" xr:uid="{00000000-0005-0000-0000-000016370000}"/>
    <cellStyle name="Normal 9 2 4 3 2 3" xfId="10283" xr:uid="{00000000-0005-0000-0000-000017370000}"/>
    <cellStyle name="Normal 9 2 4 3 3" xfId="7216" xr:uid="{00000000-0005-0000-0000-000018370000}"/>
    <cellStyle name="Normal 9 2 4 3 3 2" xfId="14445" xr:uid="{00000000-0005-0000-0000-000019370000}"/>
    <cellStyle name="Normal 9 2 4 3 4" xfId="8545" xr:uid="{00000000-0005-0000-0000-00001A370000}"/>
    <cellStyle name="Normal 9 2 4 4" xfId="2187" xr:uid="{00000000-0005-0000-0000-00001B370000}"/>
    <cellStyle name="Normal 9 2 4 4 2" xfId="7218" xr:uid="{00000000-0005-0000-0000-00001C370000}"/>
    <cellStyle name="Normal 9 2 4 4 2 2" xfId="14447" xr:uid="{00000000-0005-0000-0000-00001D370000}"/>
    <cellStyle name="Normal 9 2 4 4 3" xfId="9416" xr:uid="{00000000-0005-0000-0000-00001E370000}"/>
    <cellStyle name="Normal 9 2 4 5" xfId="7211" xr:uid="{00000000-0005-0000-0000-00001F370000}"/>
    <cellStyle name="Normal 9 2 4 5 2" xfId="14440" xr:uid="{00000000-0005-0000-0000-000020370000}"/>
    <cellStyle name="Normal 9 2 4 6" xfId="7678" xr:uid="{00000000-0005-0000-0000-000021370000}"/>
    <cellStyle name="Normal 9 2 5" xfId="652" xr:uid="{00000000-0005-0000-0000-000022370000}"/>
    <cellStyle name="Normal 9 2 5 2" xfId="1528" xr:uid="{00000000-0005-0000-0000-000023370000}"/>
    <cellStyle name="Normal 9 2 5 2 2" xfId="3267" xr:uid="{00000000-0005-0000-0000-000024370000}"/>
    <cellStyle name="Normal 9 2 5 2 2 2" xfId="7221" xr:uid="{00000000-0005-0000-0000-000025370000}"/>
    <cellStyle name="Normal 9 2 5 2 2 2 2" xfId="14450" xr:uid="{00000000-0005-0000-0000-000026370000}"/>
    <cellStyle name="Normal 9 2 5 2 2 3" xfId="10496" xr:uid="{00000000-0005-0000-0000-000027370000}"/>
    <cellStyle name="Normal 9 2 5 2 3" xfId="7220" xr:uid="{00000000-0005-0000-0000-000028370000}"/>
    <cellStyle name="Normal 9 2 5 2 3 2" xfId="14449" xr:uid="{00000000-0005-0000-0000-000029370000}"/>
    <cellStyle name="Normal 9 2 5 2 4" xfId="8758" xr:uid="{00000000-0005-0000-0000-00002A370000}"/>
    <cellStyle name="Normal 9 2 5 3" xfId="2400" xr:uid="{00000000-0005-0000-0000-00002B370000}"/>
    <cellStyle name="Normal 9 2 5 3 2" xfId="7222" xr:uid="{00000000-0005-0000-0000-00002C370000}"/>
    <cellStyle name="Normal 9 2 5 3 2 2" xfId="14451" xr:uid="{00000000-0005-0000-0000-00002D370000}"/>
    <cellStyle name="Normal 9 2 5 3 3" xfId="9629" xr:uid="{00000000-0005-0000-0000-00002E370000}"/>
    <cellStyle name="Normal 9 2 5 4" xfId="7219" xr:uid="{00000000-0005-0000-0000-00002F370000}"/>
    <cellStyle name="Normal 9 2 5 4 2" xfId="14448" xr:uid="{00000000-0005-0000-0000-000030370000}"/>
    <cellStyle name="Normal 9 2 5 5" xfId="7891" xr:uid="{00000000-0005-0000-0000-000031370000}"/>
    <cellStyle name="Normal 9 2 6" xfId="1097" xr:uid="{00000000-0005-0000-0000-000032370000}"/>
    <cellStyle name="Normal 9 2 6 2" xfId="2836" xr:uid="{00000000-0005-0000-0000-000033370000}"/>
    <cellStyle name="Normal 9 2 6 2 2" xfId="7224" xr:uid="{00000000-0005-0000-0000-000034370000}"/>
    <cellStyle name="Normal 9 2 6 2 2 2" xfId="14453" xr:uid="{00000000-0005-0000-0000-000035370000}"/>
    <cellStyle name="Normal 9 2 6 2 3" xfId="10065" xr:uid="{00000000-0005-0000-0000-000036370000}"/>
    <cellStyle name="Normal 9 2 6 3" xfId="7223" xr:uid="{00000000-0005-0000-0000-000037370000}"/>
    <cellStyle name="Normal 9 2 6 3 2" xfId="14452" xr:uid="{00000000-0005-0000-0000-000038370000}"/>
    <cellStyle name="Normal 9 2 6 4" xfId="8327" xr:uid="{00000000-0005-0000-0000-000039370000}"/>
    <cellStyle name="Normal 9 2 7" xfId="1969" xr:uid="{00000000-0005-0000-0000-00003A370000}"/>
    <cellStyle name="Normal 9 2 7 2" xfId="7225" xr:uid="{00000000-0005-0000-0000-00003B370000}"/>
    <cellStyle name="Normal 9 2 7 2 2" xfId="14454" xr:uid="{00000000-0005-0000-0000-00003C370000}"/>
    <cellStyle name="Normal 9 2 7 3" xfId="9198" xr:uid="{00000000-0005-0000-0000-00003D370000}"/>
    <cellStyle name="Normal 9 2 8" xfId="7162" xr:uid="{00000000-0005-0000-0000-00003E370000}"/>
    <cellStyle name="Normal 9 2 8 2" xfId="14391" xr:uid="{00000000-0005-0000-0000-00003F370000}"/>
    <cellStyle name="Normal 9 2 9" xfId="7458" xr:uid="{00000000-0005-0000-0000-000040370000}"/>
    <cellStyle name="Normal 9 3" xfId="242" xr:uid="{00000000-0005-0000-0000-000041370000}"/>
    <cellStyle name="Normal 9 3 2" xfId="359" xr:uid="{00000000-0005-0000-0000-000042370000}"/>
    <cellStyle name="Normal 9 3 2 2" xfId="585" xr:uid="{00000000-0005-0000-0000-000043370000}"/>
    <cellStyle name="Normal 9 3 2 2 2" xfId="1031" xr:uid="{00000000-0005-0000-0000-000044370000}"/>
    <cellStyle name="Normal 9 3 2 2 2 2" xfId="1898" xr:uid="{00000000-0005-0000-0000-000045370000}"/>
    <cellStyle name="Normal 9 3 2 2 2 2 2" xfId="3637" xr:uid="{00000000-0005-0000-0000-000046370000}"/>
    <cellStyle name="Normal 9 3 2 2 2 2 2 2" xfId="7231" xr:uid="{00000000-0005-0000-0000-000047370000}"/>
    <cellStyle name="Normal 9 3 2 2 2 2 2 2 2" xfId="14460" xr:uid="{00000000-0005-0000-0000-000048370000}"/>
    <cellStyle name="Normal 9 3 2 2 2 2 2 3" xfId="10866" xr:uid="{00000000-0005-0000-0000-000049370000}"/>
    <cellStyle name="Normal 9 3 2 2 2 2 3" xfId="7230" xr:uid="{00000000-0005-0000-0000-00004A370000}"/>
    <cellStyle name="Normal 9 3 2 2 2 2 3 2" xfId="14459" xr:uid="{00000000-0005-0000-0000-00004B370000}"/>
    <cellStyle name="Normal 9 3 2 2 2 2 4" xfId="9128" xr:uid="{00000000-0005-0000-0000-00004C370000}"/>
    <cellStyle name="Normal 9 3 2 2 2 3" xfId="2770" xr:uid="{00000000-0005-0000-0000-00004D370000}"/>
    <cellStyle name="Normal 9 3 2 2 2 3 2" xfId="7232" xr:uid="{00000000-0005-0000-0000-00004E370000}"/>
    <cellStyle name="Normal 9 3 2 2 2 3 2 2" xfId="14461" xr:uid="{00000000-0005-0000-0000-00004F370000}"/>
    <cellStyle name="Normal 9 3 2 2 2 3 3" xfId="9999" xr:uid="{00000000-0005-0000-0000-000050370000}"/>
    <cellStyle name="Normal 9 3 2 2 2 4" xfId="7229" xr:uid="{00000000-0005-0000-0000-000051370000}"/>
    <cellStyle name="Normal 9 3 2 2 2 4 2" xfId="14458" xr:uid="{00000000-0005-0000-0000-000052370000}"/>
    <cellStyle name="Normal 9 3 2 2 2 5" xfId="8261" xr:uid="{00000000-0005-0000-0000-000053370000}"/>
    <cellStyle name="Normal 9 3 2 2 3" xfId="1467" xr:uid="{00000000-0005-0000-0000-000054370000}"/>
    <cellStyle name="Normal 9 3 2 2 3 2" xfId="3206" xr:uid="{00000000-0005-0000-0000-000055370000}"/>
    <cellStyle name="Normal 9 3 2 2 3 2 2" xfId="7234" xr:uid="{00000000-0005-0000-0000-000056370000}"/>
    <cellStyle name="Normal 9 3 2 2 3 2 2 2" xfId="14463" xr:uid="{00000000-0005-0000-0000-000057370000}"/>
    <cellStyle name="Normal 9 3 2 2 3 2 3" xfId="10435" xr:uid="{00000000-0005-0000-0000-000058370000}"/>
    <cellStyle name="Normal 9 3 2 2 3 3" xfId="7233" xr:uid="{00000000-0005-0000-0000-000059370000}"/>
    <cellStyle name="Normal 9 3 2 2 3 3 2" xfId="14462" xr:uid="{00000000-0005-0000-0000-00005A370000}"/>
    <cellStyle name="Normal 9 3 2 2 3 4" xfId="8697" xr:uid="{00000000-0005-0000-0000-00005B370000}"/>
    <cellStyle name="Normal 9 3 2 2 4" xfId="2339" xr:uid="{00000000-0005-0000-0000-00005C370000}"/>
    <cellStyle name="Normal 9 3 2 2 4 2" xfId="7235" xr:uid="{00000000-0005-0000-0000-00005D370000}"/>
    <cellStyle name="Normal 9 3 2 2 4 2 2" xfId="14464" xr:uid="{00000000-0005-0000-0000-00005E370000}"/>
    <cellStyle name="Normal 9 3 2 2 4 3" xfId="9568" xr:uid="{00000000-0005-0000-0000-00005F370000}"/>
    <cellStyle name="Normal 9 3 2 2 5" xfId="7228" xr:uid="{00000000-0005-0000-0000-000060370000}"/>
    <cellStyle name="Normal 9 3 2 2 5 2" xfId="14457" xr:uid="{00000000-0005-0000-0000-000061370000}"/>
    <cellStyle name="Normal 9 3 2 2 6" xfId="7830" xr:uid="{00000000-0005-0000-0000-000062370000}"/>
    <cellStyle name="Normal 9 3 2 3" xfId="807" xr:uid="{00000000-0005-0000-0000-000063370000}"/>
    <cellStyle name="Normal 9 3 2 3 2" xfId="1680" xr:uid="{00000000-0005-0000-0000-000064370000}"/>
    <cellStyle name="Normal 9 3 2 3 2 2" xfId="3419" xr:uid="{00000000-0005-0000-0000-000065370000}"/>
    <cellStyle name="Normal 9 3 2 3 2 2 2" xfId="7238" xr:uid="{00000000-0005-0000-0000-000066370000}"/>
    <cellStyle name="Normal 9 3 2 3 2 2 2 2" xfId="14467" xr:uid="{00000000-0005-0000-0000-000067370000}"/>
    <cellStyle name="Normal 9 3 2 3 2 2 3" xfId="10648" xr:uid="{00000000-0005-0000-0000-000068370000}"/>
    <cellStyle name="Normal 9 3 2 3 2 3" xfId="7237" xr:uid="{00000000-0005-0000-0000-000069370000}"/>
    <cellStyle name="Normal 9 3 2 3 2 3 2" xfId="14466" xr:uid="{00000000-0005-0000-0000-00006A370000}"/>
    <cellStyle name="Normal 9 3 2 3 2 4" xfId="8910" xr:uid="{00000000-0005-0000-0000-00006B370000}"/>
    <cellStyle name="Normal 9 3 2 3 3" xfId="2552" xr:uid="{00000000-0005-0000-0000-00006C370000}"/>
    <cellStyle name="Normal 9 3 2 3 3 2" xfId="7239" xr:uid="{00000000-0005-0000-0000-00006D370000}"/>
    <cellStyle name="Normal 9 3 2 3 3 2 2" xfId="14468" xr:uid="{00000000-0005-0000-0000-00006E370000}"/>
    <cellStyle name="Normal 9 3 2 3 3 3" xfId="9781" xr:uid="{00000000-0005-0000-0000-00006F370000}"/>
    <cellStyle name="Normal 9 3 2 3 4" xfId="7236" xr:uid="{00000000-0005-0000-0000-000070370000}"/>
    <cellStyle name="Normal 9 3 2 3 4 2" xfId="14465" xr:uid="{00000000-0005-0000-0000-000071370000}"/>
    <cellStyle name="Normal 9 3 2 3 5" xfId="8043" xr:uid="{00000000-0005-0000-0000-000072370000}"/>
    <cellStyle name="Normal 9 3 2 4" xfId="1249" xr:uid="{00000000-0005-0000-0000-000073370000}"/>
    <cellStyle name="Normal 9 3 2 4 2" xfId="2988" xr:uid="{00000000-0005-0000-0000-000074370000}"/>
    <cellStyle name="Normal 9 3 2 4 2 2" xfId="7241" xr:uid="{00000000-0005-0000-0000-000075370000}"/>
    <cellStyle name="Normal 9 3 2 4 2 2 2" xfId="14470" xr:uid="{00000000-0005-0000-0000-000076370000}"/>
    <cellStyle name="Normal 9 3 2 4 2 3" xfId="10217" xr:uid="{00000000-0005-0000-0000-000077370000}"/>
    <cellStyle name="Normal 9 3 2 4 3" xfId="7240" xr:uid="{00000000-0005-0000-0000-000078370000}"/>
    <cellStyle name="Normal 9 3 2 4 3 2" xfId="14469" xr:uid="{00000000-0005-0000-0000-000079370000}"/>
    <cellStyle name="Normal 9 3 2 4 4" xfId="8479" xr:uid="{00000000-0005-0000-0000-00007A370000}"/>
    <cellStyle name="Normal 9 3 2 5" xfId="2121" xr:uid="{00000000-0005-0000-0000-00007B370000}"/>
    <cellStyle name="Normal 9 3 2 5 2" xfId="7242" xr:uid="{00000000-0005-0000-0000-00007C370000}"/>
    <cellStyle name="Normal 9 3 2 5 2 2" xfId="14471" xr:uid="{00000000-0005-0000-0000-00007D370000}"/>
    <cellStyle name="Normal 9 3 2 5 3" xfId="9350" xr:uid="{00000000-0005-0000-0000-00007E370000}"/>
    <cellStyle name="Normal 9 3 2 6" xfId="7227" xr:uid="{00000000-0005-0000-0000-00007F370000}"/>
    <cellStyle name="Normal 9 3 2 6 2" xfId="14456" xr:uid="{00000000-0005-0000-0000-000080370000}"/>
    <cellStyle name="Normal 9 3 2 7" xfId="7612" xr:uid="{00000000-0005-0000-0000-000081370000}"/>
    <cellStyle name="Normal 9 3 3" xfId="483" xr:uid="{00000000-0005-0000-0000-000082370000}"/>
    <cellStyle name="Normal 9 3 3 2" xfId="929" xr:uid="{00000000-0005-0000-0000-000083370000}"/>
    <cellStyle name="Normal 9 3 3 2 2" xfId="1796" xr:uid="{00000000-0005-0000-0000-000084370000}"/>
    <cellStyle name="Normal 9 3 3 2 2 2" xfId="3535" xr:uid="{00000000-0005-0000-0000-000085370000}"/>
    <cellStyle name="Normal 9 3 3 2 2 2 2" xfId="7246" xr:uid="{00000000-0005-0000-0000-000086370000}"/>
    <cellStyle name="Normal 9 3 3 2 2 2 2 2" xfId="14475" xr:uid="{00000000-0005-0000-0000-000087370000}"/>
    <cellStyle name="Normal 9 3 3 2 2 2 3" xfId="10764" xr:uid="{00000000-0005-0000-0000-000088370000}"/>
    <cellStyle name="Normal 9 3 3 2 2 3" xfId="7245" xr:uid="{00000000-0005-0000-0000-000089370000}"/>
    <cellStyle name="Normal 9 3 3 2 2 3 2" xfId="14474" xr:uid="{00000000-0005-0000-0000-00008A370000}"/>
    <cellStyle name="Normal 9 3 3 2 2 4" xfId="9026" xr:uid="{00000000-0005-0000-0000-00008B370000}"/>
    <cellStyle name="Normal 9 3 3 2 3" xfId="2668" xr:uid="{00000000-0005-0000-0000-00008C370000}"/>
    <cellStyle name="Normal 9 3 3 2 3 2" xfId="7247" xr:uid="{00000000-0005-0000-0000-00008D370000}"/>
    <cellStyle name="Normal 9 3 3 2 3 2 2" xfId="14476" xr:uid="{00000000-0005-0000-0000-00008E370000}"/>
    <cellStyle name="Normal 9 3 3 2 3 3" xfId="9897" xr:uid="{00000000-0005-0000-0000-00008F370000}"/>
    <cellStyle name="Normal 9 3 3 2 4" xfId="7244" xr:uid="{00000000-0005-0000-0000-000090370000}"/>
    <cellStyle name="Normal 9 3 3 2 4 2" xfId="14473" xr:uid="{00000000-0005-0000-0000-000091370000}"/>
    <cellStyle name="Normal 9 3 3 2 5" xfId="8159" xr:uid="{00000000-0005-0000-0000-000092370000}"/>
    <cellStyle name="Normal 9 3 3 3" xfId="1365" xr:uid="{00000000-0005-0000-0000-000093370000}"/>
    <cellStyle name="Normal 9 3 3 3 2" xfId="3104" xr:uid="{00000000-0005-0000-0000-000094370000}"/>
    <cellStyle name="Normal 9 3 3 3 2 2" xfId="7249" xr:uid="{00000000-0005-0000-0000-000095370000}"/>
    <cellStyle name="Normal 9 3 3 3 2 2 2" xfId="14478" xr:uid="{00000000-0005-0000-0000-000096370000}"/>
    <cellStyle name="Normal 9 3 3 3 2 3" xfId="10333" xr:uid="{00000000-0005-0000-0000-000097370000}"/>
    <cellStyle name="Normal 9 3 3 3 3" xfId="7248" xr:uid="{00000000-0005-0000-0000-000098370000}"/>
    <cellStyle name="Normal 9 3 3 3 3 2" xfId="14477" xr:uid="{00000000-0005-0000-0000-000099370000}"/>
    <cellStyle name="Normal 9 3 3 3 4" xfId="8595" xr:uid="{00000000-0005-0000-0000-00009A370000}"/>
    <cellStyle name="Normal 9 3 3 4" xfId="2237" xr:uid="{00000000-0005-0000-0000-00009B370000}"/>
    <cellStyle name="Normal 9 3 3 4 2" xfId="7250" xr:uid="{00000000-0005-0000-0000-00009C370000}"/>
    <cellStyle name="Normal 9 3 3 4 2 2" xfId="14479" xr:uid="{00000000-0005-0000-0000-00009D370000}"/>
    <cellStyle name="Normal 9 3 3 4 3" xfId="9466" xr:uid="{00000000-0005-0000-0000-00009E370000}"/>
    <cellStyle name="Normal 9 3 3 5" xfId="7243" xr:uid="{00000000-0005-0000-0000-00009F370000}"/>
    <cellStyle name="Normal 9 3 3 5 2" xfId="14472" xr:uid="{00000000-0005-0000-0000-0000A0370000}"/>
    <cellStyle name="Normal 9 3 3 6" xfId="7728" xr:uid="{00000000-0005-0000-0000-0000A1370000}"/>
    <cellStyle name="Normal 9 3 4" xfId="705" xr:uid="{00000000-0005-0000-0000-0000A2370000}"/>
    <cellStyle name="Normal 9 3 4 2" xfId="1578" xr:uid="{00000000-0005-0000-0000-0000A3370000}"/>
    <cellStyle name="Normal 9 3 4 2 2" xfId="3317" xr:uid="{00000000-0005-0000-0000-0000A4370000}"/>
    <cellStyle name="Normal 9 3 4 2 2 2" xfId="7253" xr:uid="{00000000-0005-0000-0000-0000A5370000}"/>
    <cellStyle name="Normal 9 3 4 2 2 2 2" xfId="14482" xr:uid="{00000000-0005-0000-0000-0000A6370000}"/>
    <cellStyle name="Normal 9 3 4 2 2 3" xfId="10546" xr:uid="{00000000-0005-0000-0000-0000A7370000}"/>
    <cellStyle name="Normal 9 3 4 2 3" xfId="7252" xr:uid="{00000000-0005-0000-0000-0000A8370000}"/>
    <cellStyle name="Normal 9 3 4 2 3 2" xfId="14481" xr:uid="{00000000-0005-0000-0000-0000A9370000}"/>
    <cellStyle name="Normal 9 3 4 2 4" xfId="8808" xr:uid="{00000000-0005-0000-0000-0000AA370000}"/>
    <cellStyle name="Normal 9 3 4 3" xfId="2450" xr:uid="{00000000-0005-0000-0000-0000AB370000}"/>
    <cellStyle name="Normal 9 3 4 3 2" xfId="7254" xr:uid="{00000000-0005-0000-0000-0000AC370000}"/>
    <cellStyle name="Normal 9 3 4 3 2 2" xfId="14483" xr:uid="{00000000-0005-0000-0000-0000AD370000}"/>
    <cellStyle name="Normal 9 3 4 3 3" xfId="9679" xr:uid="{00000000-0005-0000-0000-0000AE370000}"/>
    <cellStyle name="Normal 9 3 4 4" xfId="7251" xr:uid="{00000000-0005-0000-0000-0000AF370000}"/>
    <cellStyle name="Normal 9 3 4 4 2" xfId="14480" xr:uid="{00000000-0005-0000-0000-0000B0370000}"/>
    <cellStyle name="Normal 9 3 4 5" xfId="7941" xr:uid="{00000000-0005-0000-0000-0000B1370000}"/>
    <cellStyle name="Normal 9 3 5" xfId="1147" xr:uid="{00000000-0005-0000-0000-0000B2370000}"/>
    <cellStyle name="Normal 9 3 5 2" xfId="2886" xr:uid="{00000000-0005-0000-0000-0000B3370000}"/>
    <cellStyle name="Normal 9 3 5 2 2" xfId="7256" xr:uid="{00000000-0005-0000-0000-0000B4370000}"/>
    <cellStyle name="Normal 9 3 5 2 2 2" xfId="14485" xr:uid="{00000000-0005-0000-0000-0000B5370000}"/>
    <cellStyle name="Normal 9 3 5 2 3" xfId="10115" xr:uid="{00000000-0005-0000-0000-0000B6370000}"/>
    <cellStyle name="Normal 9 3 5 3" xfId="7255" xr:uid="{00000000-0005-0000-0000-0000B7370000}"/>
    <cellStyle name="Normal 9 3 5 3 2" xfId="14484" xr:uid="{00000000-0005-0000-0000-0000B8370000}"/>
    <cellStyle name="Normal 9 3 5 4" xfId="8377" xr:uid="{00000000-0005-0000-0000-0000B9370000}"/>
    <cellStyle name="Normal 9 3 6" xfId="2019" xr:uid="{00000000-0005-0000-0000-0000BA370000}"/>
    <cellStyle name="Normal 9 3 6 2" xfId="7257" xr:uid="{00000000-0005-0000-0000-0000BB370000}"/>
    <cellStyle name="Normal 9 3 6 2 2" xfId="14486" xr:uid="{00000000-0005-0000-0000-0000BC370000}"/>
    <cellStyle name="Normal 9 3 6 3" xfId="9248" xr:uid="{00000000-0005-0000-0000-0000BD370000}"/>
    <cellStyle name="Normal 9 3 7" xfId="7226" xr:uid="{00000000-0005-0000-0000-0000BE370000}"/>
    <cellStyle name="Normal 9 3 7 2" xfId="14455" xr:uid="{00000000-0005-0000-0000-0000BF370000}"/>
    <cellStyle name="Normal 9 3 8" xfId="7510" xr:uid="{00000000-0005-0000-0000-0000C0370000}"/>
    <cellStyle name="Normal 9 4" xfId="276" xr:uid="{00000000-0005-0000-0000-0000C1370000}"/>
    <cellStyle name="Normal 9 4 2" xfId="502" xr:uid="{00000000-0005-0000-0000-0000C2370000}"/>
    <cellStyle name="Normal 9 4 2 2" xfId="948" xr:uid="{00000000-0005-0000-0000-0000C3370000}"/>
    <cellStyle name="Normal 9 4 2 2 2" xfId="1815" xr:uid="{00000000-0005-0000-0000-0000C4370000}"/>
    <cellStyle name="Normal 9 4 2 2 2 2" xfId="3554" xr:uid="{00000000-0005-0000-0000-0000C5370000}"/>
    <cellStyle name="Normal 9 4 2 2 2 2 2" xfId="7262" xr:uid="{00000000-0005-0000-0000-0000C6370000}"/>
    <cellStyle name="Normal 9 4 2 2 2 2 2 2" xfId="14491" xr:uid="{00000000-0005-0000-0000-0000C7370000}"/>
    <cellStyle name="Normal 9 4 2 2 2 2 3" xfId="10783" xr:uid="{00000000-0005-0000-0000-0000C8370000}"/>
    <cellStyle name="Normal 9 4 2 2 2 3" xfId="7261" xr:uid="{00000000-0005-0000-0000-0000C9370000}"/>
    <cellStyle name="Normal 9 4 2 2 2 3 2" xfId="14490" xr:uid="{00000000-0005-0000-0000-0000CA370000}"/>
    <cellStyle name="Normal 9 4 2 2 2 4" xfId="9045" xr:uid="{00000000-0005-0000-0000-0000CB370000}"/>
    <cellStyle name="Normal 9 4 2 2 3" xfId="2687" xr:uid="{00000000-0005-0000-0000-0000CC370000}"/>
    <cellStyle name="Normal 9 4 2 2 3 2" xfId="7263" xr:uid="{00000000-0005-0000-0000-0000CD370000}"/>
    <cellStyle name="Normal 9 4 2 2 3 2 2" xfId="14492" xr:uid="{00000000-0005-0000-0000-0000CE370000}"/>
    <cellStyle name="Normal 9 4 2 2 3 3" xfId="9916" xr:uid="{00000000-0005-0000-0000-0000CF370000}"/>
    <cellStyle name="Normal 9 4 2 2 4" xfId="7260" xr:uid="{00000000-0005-0000-0000-0000D0370000}"/>
    <cellStyle name="Normal 9 4 2 2 4 2" xfId="14489" xr:uid="{00000000-0005-0000-0000-0000D1370000}"/>
    <cellStyle name="Normal 9 4 2 2 5" xfId="8178" xr:uid="{00000000-0005-0000-0000-0000D2370000}"/>
    <cellStyle name="Normal 9 4 2 3" xfId="1384" xr:uid="{00000000-0005-0000-0000-0000D3370000}"/>
    <cellStyle name="Normal 9 4 2 3 2" xfId="3123" xr:uid="{00000000-0005-0000-0000-0000D4370000}"/>
    <cellStyle name="Normal 9 4 2 3 2 2" xfId="7265" xr:uid="{00000000-0005-0000-0000-0000D5370000}"/>
    <cellStyle name="Normal 9 4 2 3 2 2 2" xfId="14494" xr:uid="{00000000-0005-0000-0000-0000D6370000}"/>
    <cellStyle name="Normal 9 4 2 3 2 3" xfId="10352" xr:uid="{00000000-0005-0000-0000-0000D7370000}"/>
    <cellStyle name="Normal 9 4 2 3 3" xfId="7264" xr:uid="{00000000-0005-0000-0000-0000D8370000}"/>
    <cellStyle name="Normal 9 4 2 3 3 2" xfId="14493" xr:uid="{00000000-0005-0000-0000-0000D9370000}"/>
    <cellStyle name="Normal 9 4 2 3 4" xfId="8614" xr:uid="{00000000-0005-0000-0000-0000DA370000}"/>
    <cellStyle name="Normal 9 4 2 4" xfId="2256" xr:uid="{00000000-0005-0000-0000-0000DB370000}"/>
    <cellStyle name="Normal 9 4 2 4 2" xfId="7266" xr:uid="{00000000-0005-0000-0000-0000DC370000}"/>
    <cellStyle name="Normal 9 4 2 4 2 2" xfId="14495" xr:uid="{00000000-0005-0000-0000-0000DD370000}"/>
    <cellStyle name="Normal 9 4 2 4 3" xfId="9485" xr:uid="{00000000-0005-0000-0000-0000DE370000}"/>
    <cellStyle name="Normal 9 4 2 5" xfId="7259" xr:uid="{00000000-0005-0000-0000-0000DF370000}"/>
    <cellStyle name="Normal 9 4 2 5 2" xfId="14488" xr:uid="{00000000-0005-0000-0000-0000E0370000}"/>
    <cellStyle name="Normal 9 4 2 6" xfId="7747" xr:uid="{00000000-0005-0000-0000-0000E1370000}"/>
    <cellStyle name="Normal 9 4 3" xfId="724" xr:uid="{00000000-0005-0000-0000-0000E2370000}"/>
    <cellStyle name="Normal 9 4 3 2" xfId="1597" xr:uid="{00000000-0005-0000-0000-0000E3370000}"/>
    <cellStyle name="Normal 9 4 3 2 2" xfId="3336" xr:uid="{00000000-0005-0000-0000-0000E4370000}"/>
    <cellStyle name="Normal 9 4 3 2 2 2" xfId="7269" xr:uid="{00000000-0005-0000-0000-0000E5370000}"/>
    <cellStyle name="Normal 9 4 3 2 2 2 2" xfId="14498" xr:uid="{00000000-0005-0000-0000-0000E6370000}"/>
    <cellStyle name="Normal 9 4 3 2 2 3" xfId="10565" xr:uid="{00000000-0005-0000-0000-0000E7370000}"/>
    <cellStyle name="Normal 9 4 3 2 3" xfId="7268" xr:uid="{00000000-0005-0000-0000-0000E8370000}"/>
    <cellStyle name="Normal 9 4 3 2 3 2" xfId="14497" xr:uid="{00000000-0005-0000-0000-0000E9370000}"/>
    <cellStyle name="Normal 9 4 3 2 4" xfId="8827" xr:uid="{00000000-0005-0000-0000-0000EA370000}"/>
    <cellStyle name="Normal 9 4 3 3" xfId="2469" xr:uid="{00000000-0005-0000-0000-0000EB370000}"/>
    <cellStyle name="Normal 9 4 3 3 2" xfId="7270" xr:uid="{00000000-0005-0000-0000-0000EC370000}"/>
    <cellStyle name="Normal 9 4 3 3 2 2" xfId="14499" xr:uid="{00000000-0005-0000-0000-0000ED370000}"/>
    <cellStyle name="Normal 9 4 3 3 3" xfId="9698" xr:uid="{00000000-0005-0000-0000-0000EE370000}"/>
    <cellStyle name="Normal 9 4 3 4" xfId="7267" xr:uid="{00000000-0005-0000-0000-0000EF370000}"/>
    <cellStyle name="Normal 9 4 3 4 2" xfId="14496" xr:uid="{00000000-0005-0000-0000-0000F0370000}"/>
    <cellStyle name="Normal 9 4 3 5" xfId="7960" xr:uid="{00000000-0005-0000-0000-0000F1370000}"/>
    <cellStyle name="Normal 9 4 4" xfId="1166" xr:uid="{00000000-0005-0000-0000-0000F2370000}"/>
    <cellStyle name="Normal 9 4 4 2" xfId="2905" xr:uid="{00000000-0005-0000-0000-0000F3370000}"/>
    <cellStyle name="Normal 9 4 4 2 2" xfId="7272" xr:uid="{00000000-0005-0000-0000-0000F4370000}"/>
    <cellStyle name="Normal 9 4 4 2 2 2" xfId="14501" xr:uid="{00000000-0005-0000-0000-0000F5370000}"/>
    <cellStyle name="Normal 9 4 4 2 3" xfId="10134" xr:uid="{00000000-0005-0000-0000-0000F6370000}"/>
    <cellStyle name="Normal 9 4 4 3" xfId="7271" xr:uid="{00000000-0005-0000-0000-0000F7370000}"/>
    <cellStyle name="Normal 9 4 4 3 2" xfId="14500" xr:uid="{00000000-0005-0000-0000-0000F8370000}"/>
    <cellStyle name="Normal 9 4 4 4" xfId="8396" xr:uid="{00000000-0005-0000-0000-0000F9370000}"/>
    <cellStyle name="Normal 9 4 5" xfId="2038" xr:uid="{00000000-0005-0000-0000-0000FA370000}"/>
    <cellStyle name="Normal 9 4 5 2" xfId="7273" xr:uid="{00000000-0005-0000-0000-0000FB370000}"/>
    <cellStyle name="Normal 9 4 5 2 2" xfId="14502" xr:uid="{00000000-0005-0000-0000-0000FC370000}"/>
    <cellStyle name="Normal 9 4 5 3" xfId="9267" xr:uid="{00000000-0005-0000-0000-0000FD370000}"/>
    <cellStyle name="Normal 9 4 6" xfId="7258" xr:uid="{00000000-0005-0000-0000-0000FE370000}"/>
    <cellStyle name="Normal 9 4 6 2" xfId="14487" xr:uid="{00000000-0005-0000-0000-0000FF370000}"/>
    <cellStyle name="Normal 9 4 7" xfId="7529" xr:uid="{00000000-0005-0000-0000-000000380000}"/>
    <cellStyle name="Normal 9 5" xfId="400" xr:uid="{00000000-0005-0000-0000-000001380000}"/>
    <cellStyle name="Normal 9 5 2" xfId="846" xr:uid="{00000000-0005-0000-0000-000002380000}"/>
    <cellStyle name="Normal 9 5 2 2" xfId="1713" xr:uid="{00000000-0005-0000-0000-000003380000}"/>
    <cellStyle name="Normal 9 5 2 2 2" xfId="3452" xr:uid="{00000000-0005-0000-0000-000004380000}"/>
    <cellStyle name="Normal 9 5 2 2 2 2" xfId="7277" xr:uid="{00000000-0005-0000-0000-000005380000}"/>
    <cellStyle name="Normal 9 5 2 2 2 2 2" xfId="14506" xr:uid="{00000000-0005-0000-0000-000006380000}"/>
    <cellStyle name="Normal 9 5 2 2 2 3" xfId="10681" xr:uid="{00000000-0005-0000-0000-000007380000}"/>
    <cellStyle name="Normal 9 5 2 2 3" xfId="7276" xr:uid="{00000000-0005-0000-0000-000008380000}"/>
    <cellStyle name="Normal 9 5 2 2 3 2" xfId="14505" xr:uid="{00000000-0005-0000-0000-000009380000}"/>
    <cellStyle name="Normal 9 5 2 2 4" xfId="8943" xr:uid="{00000000-0005-0000-0000-00000A380000}"/>
    <cellStyle name="Normal 9 5 2 3" xfId="2585" xr:uid="{00000000-0005-0000-0000-00000B380000}"/>
    <cellStyle name="Normal 9 5 2 3 2" xfId="7278" xr:uid="{00000000-0005-0000-0000-00000C380000}"/>
    <cellStyle name="Normal 9 5 2 3 2 2" xfId="14507" xr:uid="{00000000-0005-0000-0000-00000D380000}"/>
    <cellStyle name="Normal 9 5 2 3 3" xfId="9814" xr:uid="{00000000-0005-0000-0000-00000E380000}"/>
    <cellStyle name="Normal 9 5 2 4" xfId="7275" xr:uid="{00000000-0005-0000-0000-00000F380000}"/>
    <cellStyle name="Normal 9 5 2 4 2" xfId="14504" xr:uid="{00000000-0005-0000-0000-000010380000}"/>
    <cellStyle name="Normal 9 5 2 5" xfId="8076" xr:uid="{00000000-0005-0000-0000-000011380000}"/>
    <cellStyle name="Normal 9 5 3" xfId="1282" xr:uid="{00000000-0005-0000-0000-000012380000}"/>
    <cellStyle name="Normal 9 5 3 2" xfId="3021" xr:uid="{00000000-0005-0000-0000-000013380000}"/>
    <cellStyle name="Normal 9 5 3 2 2" xfId="7280" xr:uid="{00000000-0005-0000-0000-000014380000}"/>
    <cellStyle name="Normal 9 5 3 2 2 2" xfId="14509" xr:uid="{00000000-0005-0000-0000-000015380000}"/>
    <cellStyle name="Normal 9 5 3 2 3" xfId="10250" xr:uid="{00000000-0005-0000-0000-000016380000}"/>
    <cellStyle name="Normal 9 5 3 3" xfId="7279" xr:uid="{00000000-0005-0000-0000-000017380000}"/>
    <cellStyle name="Normal 9 5 3 3 2" xfId="14508" xr:uid="{00000000-0005-0000-0000-000018380000}"/>
    <cellStyle name="Normal 9 5 3 4" xfId="8512" xr:uid="{00000000-0005-0000-0000-000019380000}"/>
    <cellStyle name="Normal 9 5 4" xfId="2154" xr:uid="{00000000-0005-0000-0000-00001A380000}"/>
    <cellStyle name="Normal 9 5 4 2" xfId="7281" xr:uid="{00000000-0005-0000-0000-00001B380000}"/>
    <cellStyle name="Normal 9 5 4 2 2" xfId="14510" xr:uid="{00000000-0005-0000-0000-00001C380000}"/>
    <cellStyle name="Normal 9 5 4 3" xfId="9383" xr:uid="{00000000-0005-0000-0000-00001D380000}"/>
    <cellStyle name="Normal 9 5 5" xfId="7274" xr:uid="{00000000-0005-0000-0000-00001E380000}"/>
    <cellStyle name="Normal 9 5 5 2" xfId="14503" xr:uid="{00000000-0005-0000-0000-00001F380000}"/>
    <cellStyle name="Normal 9 5 6" xfId="7645" xr:uid="{00000000-0005-0000-0000-000020380000}"/>
    <cellStyle name="Normal 9 6" xfId="618" xr:uid="{00000000-0005-0000-0000-000021380000}"/>
    <cellStyle name="Normal 9 6 2" xfId="1495" xr:uid="{00000000-0005-0000-0000-000022380000}"/>
    <cellStyle name="Normal 9 6 2 2" xfId="3234" xr:uid="{00000000-0005-0000-0000-000023380000}"/>
    <cellStyle name="Normal 9 6 2 2 2" xfId="7284" xr:uid="{00000000-0005-0000-0000-000024380000}"/>
    <cellStyle name="Normal 9 6 2 2 2 2" xfId="14513" xr:uid="{00000000-0005-0000-0000-000025380000}"/>
    <cellStyle name="Normal 9 6 2 2 3" xfId="10463" xr:uid="{00000000-0005-0000-0000-000026380000}"/>
    <cellStyle name="Normal 9 6 2 3" xfId="7283" xr:uid="{00000000-0005-0000-0000-000027380000}"/>
    <cellStyle name="Normal 9 6 2 3 2" xfId="14512" xr:uid="{00000000-0005-0000-0000-000028380000}"/>
    <cellStyle name="Normal 9 6 2 4" xfId="8725" xr:uid="{00000000-0005-0000-0000-000029380000}"/>
    <cellStyle name="Normal 9 6 3" xfId="2367" xr:uid="{00000000-0005-0000-0000-00002A380000}"/>
    <cellStyle name="Normal 9 6 3 2" xfId="7285" xr:uid="{00000000-0005-0000-0000-00002B380000}"/>
    <cellStyle name="Normal 9 6 3 2 2" xfId="14514" xr:uid="{00000000-0005-0000-0000-00002C380000}"/>
    <cellStyle name="Normal 9 6 3 3" xfId="9596" xr:uid="{00000000-0005-0000-0000-00002D380000}"/>
    <cellStyle name="Normal 9 6 4" xfId="7282" xr:uid="{00000000-0005-0000-0000-00002E380000}"/>
    <cellStyle name="Normal 9 6 4 2" xfId="14511" xr:uid="{00000000-0005-0000-0000-00002F380000}"/>
    <cellStyle name="Normal 9 6 5" xfId="7858" xr:uid="{00000000-0005-0000-0000-000030380000}"/>
    <cellStyle name="Normal 9 7" xfId="1064" xr:uid="{00000000-0005-0000-0000-000031380000}"/>
    <cellStyle name="Normal 9 7 2" xfId="2803" xr:uid="{00000000-0005-0000-0000-000032380000}"/>
    <cellStyle name="Normal 9 7 2 2" xfId="7287" xr:uid="{00000000-0005-0000-0000-000033380000}"/>
    <cellStyle name="Normal 9 7 2 2 2" xfId="14516" xr:uid="{00000000-0005-0000-0000-000034380000}"/>
    <cellStyle name="Normal 9 7 2 3" xfId="10032" xr:uid="{00000000-0005-0000-0000-000035380000}"/>
    <cellStyle name="Normal 9 7 3" xfId="7286" xr:uid="{00000000-0005-0000-0000-000036380000}"/>
    <cellStyle name="Normal 9 7 3 2" xfId="14515" xr:uid="{00000000-0005-0000-0000-000037380000}"/>
    <cellStyle name="Normal 9 7 4" xfId="8294" xr:uid="{00000000-0005-0000-0000-000038380000}"/>
    <cellStyle name="Normal 9 8" xfId="1936" xr:uid="{00000000-0005-0000-0000-000039380000}"/>
    <cellStyle name="Normal 9 8 2" xfId="7288" xr:uid="{00000000-0005-0000-0000-00003A380000}"/>
    <cellStyle name="Normal 9 8 2 2" xfId="14517" xr:uid="{00000000-0005-0000-0000-00003B380000}"/>
    <cellStyle name="Normal 9 8 3" xfId="9165" xr:uid="{00000000-0005-0000-0000-00003C380000}"/>
    <cellStyle name="Normal 9 9" xfId="7161" xr:uid="{00000000-0005-0000-0000-00003D380000}"/>
    <cellStyle name="Normal 9 9 2" xfId="14390" xr:uid="{00000000-0005-0000-0000-00003E380000}"/>
    <cellStyle name="Normal_Draft Demand Model-Baskent" xfId="20" xr:uid="{00000000-0005-0000-0000-00003F380000}"/>
    <cellStyle name="Note 2" xfId="243" xr:uid="{00000000-0005-0000-0000-000040380000}"/>
    <cellStyle name="Note 2 2" xfId="244" xr:uid="{00000000-0005-0000-0000-000041380000}"/>
    <cellStyle name="Note 2 2 2" xfId="7290" xr:uid="{00000000-0005-0000-0000-000042380000}"/>
    <cellStyle name="Note 2 2 2 2" xfId="14519" xr:uid="{00000000-0005-0000-0000-000043380000}"/>
    <cellStyle name="Note 2 3" xfId="7289" xr:uid="{00000000-0005-0000-0000-000044380000}"/>
    <cellStyle name="Note 2 3 2" xfId="14518" xr:uid="{00000000-0005-0000-0000-000045380000}"/>
    <cellStyle name="Note 3" xfId="7409" xr:uid="{00000000-0005-0000-0000-000046380000}"/>
    <cellStyle name="Note 3 2" xfId="14608" xr:uid="{00000000-0005-0000-0000-000047380000}"/>
    <cellStyle name="Output" xfId="7367" builtinId="21" customBuiltin="1"/>
    <cellStyle name="Output 2" xfId="245" xr:uid="{00000000-0005-0000-0000-000049380000}"/>
    <cellStyle name="Output 2 2" xfId="246" xr:uid="{00000000-0005-0000-0000-00004A380000}"/>
    <cellStyle name="Output 2 2 2" xfId="7292" xr:uid="{00000000-0005-0000-0000-00004B380000}"/>
    <cellStyle name="Output 2 2 2 2" xfId="14521" xr:uid="{00000000-0005-0000-0000-00004C380000}"/>
    <cellStyle name="Output 2 3" xfId="7291" xr:uid="{00000000-0005-0000-0000-00004D380000}"/>
    <cellStyle name="Output 2 3 2" xfId="14520" xr:uid="{00000000-0005-0000-0000-00004E380000}"/>
    <cellStyle name="Percent" xfId="21" builtinId="5"/>
    <cellStyle name="Percent 10" xfId="3663" xr:uid="{00000000-0005-0000-0000-000050380000}"/>
    <cellStyle name="Percent 10 2" xfId="7293" xr:uid="{00000000-0005-0000-0000-000051380000}"/>
    <cellStyle name="Percent 10 2 2" xfId="14522" xr:uid="{00000000-0005-0000-0000-000052380000}"/>
    <cellStyle name="Percent 10 3" xfId="10892" xr:uid="{00000000-0005-0000-0000-000053380000}"/>
    <cellStyle name="Percent 11" xfId="3667" xr:uid="{00000000-0005-0000-0000-000054380000}"/>
    <cellStyle name="Percent 11 2" xfId="10896" xr:uid="{00000000-0005-0000-0000-000055380000}"/>
    <cellStyle name="Percent 12" xfId="3671" xr:uid="{00000000-0005-0000-0000-000056380000}"/>
    <cellStyle name="Percent 12 2" xfId="10900" xr:uid="{00000000-0005-0000-0000-000057380000}"/>
    <cellStyle name="Percent 13" xfId="7349" xr:uid="{00000000-0005-0000-0000-000058380000}"/>
    <cellStyle name="Percent 13 2" xfId="14576" xr:uid="{00000000-0005-0000-0000-000059380000}"/>
    <cellStyle name="Percent 2" xfId="49" xr:uid="{00000000-0005-0000-0000-00005A380000}"/>
    <cellStyle name="Percent 2 2" xfId="7294" xr:uid="{00000000-0005-0000-0000-00005B380000}"/>
    <cellStyle name="Percent 2 2 2" xfId="14523" xr:uid="{00000000-0005-0000-0000-00005C380000}"/>
    <cellStyle name="Percent 3" xfId="247" xr:uid="{00000000-0005-0000-0000-00005D380000}"/>
    <cellStyle name="Percent 3 2" xfId="7295" xr:uid="{00000000-0005-0000-0000-00005E380000}"/>
    <cellStyle name="Percent 3 2 2" xfId="14524" xr:uid="{00000000-0005-0000-0000-00005F380000}"/>
    <cellStyle name="Percent 4" xfId="248" xr:uid="{00000000-0005-0000-0000-000060380000}"/>
    <cellStyle name="Percent 4 2" xfId="360" xr:uid="{00000000-0005-0000-0000-000061380000}"/>
    <cellStyle name="Percent 4 2 2" xfId="586" xr:uid="{00000000-0005-0000-0000-000062380000}"/>
    <cellStyle name="Percent 4 2 2 2" xfId="1032" xr:uid="{00000000-0005-0000-0000-000063380000}"/>
    <cellStyle name="Percent 4 2 2 2 2" xfId="1899" xr:uid="{00000000-0005-0000-0000-000064380000}"/>
    <cellStyle name="Percent 4 2 2 2 2 2" xfId="3638" xr:uid="{00000000-0005-0000-0000-000065380000}"/>
    <cellStyle name="Percent 4 2 2 2 2 2 2" xfId="7301" xr:uid="{00000000-0005-0000-0000-000066380000}"/>
    <cellStyle name="Percent 4 2 2 2 2 2 2 2" xfId="14530" xr:uid="{00000000-0005-0000-0000-000067380000}"/>
    <cellStyle name="Percent 4 2 2 2 2 2 3" xfId="10867" xr:uid="{00000000-0005-0000-0000-000068380000}"/>
    <cellStyle name="Percent 4 2 2 2 2 3" xfId="7300" xr:uid="{00000000-0005-0000-0000-000069380000}"/>
    <cellStyle name="Percent 4 2 2 2 2 3 2" xfId="14529" xr:uid="{00000000-0005-0000-0000-00006A380000}"/>
    <cellStyle name="Percent 4 2 2 2 2 4" xfId="9129" xr:uid="{00000000-0005-0000-0000-00006B380000}"/>
    <cellStyle name="Percent 4 2 2 2 3" xfId="2771" xr:uid="{00000000-0005-0000-0000-00006C380000}"/>
    <cellStyle name="Percent 4 2 2 2 3 2" xfId="7302" xr:uid="{00000000-0005-0000-0000-00006D380000}"/>
    <cellStyle name="Percent 4 2 2 2 3 2 2" xfId="14531" xr:uid="{00000000-0005-0000-0000-00006E380000}"/>
    <cellStyle name="Percent 4 2 2 2 3 3" xfId="10000" xr:uid="{00000000-0005-0000-0000-00006F380000}"/>
    <cellStyle name="Percent 4 2 2 2 4" xfId="7299" xr:uid="{00000000-0005-0000-0000-000070380000}"/>
    <cellStyle name="Percent 4 2 2 2 4 2" xfId="14528" xr:uid="{00000000-0005-0000-0000-000071380000}"/>
    <cellStyle name="Percent 4 2 2 2 5" xfId="8262" xr:uid="{00000000-0005-0000-0000-000072380000}"/>
    <cellStyle name="Percent 4 2 2 3" xfId="1468" xr:uid="{00000000-0005-0000-0000-000073380000}"/>
    <cellStyle name="Percent 4 2 2 3 2" xfId="3207" xr:uid="{00000000-0005-0000-0000-000074380000}"/>
    <cellStyle name="Percent 4 2 2 3 2 2" xfId="7304" xr:uid="{00000000-0005-0000-0000-000075380000}"/>
    <cellStyle name="Percent 4 2 2 3 2 2 2" xfId="14533" xr:uid="{00000000-0005-0000-0000-000076380000}"/>
    <cellStyle name="Percent 4 2 2 3 2 3" xfId="10436" xr:uid="{00000000-0005-0000-0000-000077380000}"/>
    <cellStyle name="Percent 4 2 2 3 3" xfId="7303" xr:uid="{00000000-0005-0000-0000-000078380000}"/>
    <cellStyle name="Percent 4 2 2 3 3 2" xfId="14532" xr:uid="{00000000-0005-0000-0000-000079380000}"/>
    <cellStyle name="Percent 4 2 2 3 4" xfId="8698" xr:uid="{00000000-0005-0000-0000-00007A380000}"/>
    <cellStyle name="Percent 4 2 2 4" xfId="2340" xr:uid="{00000000-0005-0000-0000-00007B380000}"/>
    <cellStyle name="Percent 4 2 2 4 2" xfId="7305" xr:uid="{00000000-0005-0000-0000-00007C380000}"/>
    <cellStyle name="Percent 4 2 2 4 2 2" xfId="14534" xr:uid="{00000000-0005-0000-0000-00007D380000}"/>
    <cellStyle name="Percent 4 2 2 4 3" xfId="9569" xr:uid="{00000000-0005-0000-0000-00007E380000}"/>
    <cellStyle name="Percent 4 2 2 5" xfId="7298" xr:uid="{00000000-0005-0000-0000-00007F380000}"/>
    <cellStyle name="Percent 4 2 2 5 2" xfId="14527" xr:uid="{00000000-0005-0000-0000-000080380000}"/>
    <cellStyle name="Percent 4 2 2 6" xfId="7831" xr:uid="{00000000-0005-0000-0000-000081380000}"/>
    <cellStyle name="Percent 4 2 3" xfId="808" xr:uid="{00000000-0005-0000-0000-000082380000}"/>
    <cellStyle name="Percent 4 2 3 2" xfId="1681" xr:uid="{00000000-0005-0000-0000-000083380000}"/>
    <cellStyle name="Percent 4 2 3 2 2" xfId="3420" xr:uid="{00000000-0005-0000-0000-000084380000}"/>
    <cellStyle name="Percent 4 2 3 2 2 2" xfId="7308" xr:uid="{00000000-0005-0000-0000-000085380000}"/>
    <cellStyle name="Percent 4 2 3 2 2 2 2" xfId="14537" xr:uid="{00000000-0005-0000-0000-000086380000}"/>
    <cellStyle name="Percent 4 2 3 2 2 3" xfId="10649" xr:uid="{00000000-0005-0000-0000-000087380000}"/>
    <cellStyle name="Percent 4 2 3 2 3" xfId="7307" xr:uid="{00000000-0005-0000-0000-000088380000}"/>
    <cellStyle name="Percent 4 2 3 2 3 2" xfId="14536" xr:uid="{00000000-0005-0000-0000-000089380000}"/>
    <cellStyle name="Percent 4 2 3 2 4" xfId="8911" xr:uid="{00000000-0005-0000-0000-00008A380000}"/>
    <cellStyle name="Percent 4 2 3 3" xfId="2553" xr:uid="{00000000-0005-0000-0000-00008B380000}"/>
    <cellStyle name="Percent 4 2 3 3 2" xfId="7309" xr:uid="{00000000-0005-0000-0000-00008C380000}"/>
    <cellStyle name="Percent 4 2 3 3 2 2" xfId="14538" xr:uid="{00000000-0005-0000-0000-00008D380000}"/>
    <cellStyle name="Percent 4 2 3 3 3" xfId="9782" xr:uid="{00000000-0005-0000-0000-00008E380000}"/>
    <cellStyle name="Percent 4 2 3 4" xfId="7306" xr:uid="{00000000-0005-0000-0000-00008F380000}"/>
    <cellStyle name="Percent 4 2 3 4 2" xfId="14535" xr:uid="{00000000-0005-0000-0000-000090380000}"/>
    <cellStyle name="Percent 4 2 3 5" xfId="8044" xr:uid="{00000000-0005-0000-0000-000091380000}"/>
    <cellStyle name="Percent 4 2 4" xfId="1250" xr:uid="{00000000-0005-0000-0000-000092380000}"/>
    <cellStyle name="Percent 4 2 4 2" xfId="2989" xr:uid="{00000000-0005-0000-0000-000093380000}"/>
    <cellStyle name="Percent 4 2 4 2 2" xfId="7311" xr:uid="{00000000-0005-0000-0000-000094380000}"/>
    <cellStyle name="Percent 4 2 4 2 2 2" xfId="14540" xr:uid="{00000000-0005-0000-0000-000095380000}"/>
    <cellStyle name="Percent 4 2 4 2 3" xfId="10218" xr:uid="{00000000-0005-0000-0000-000096380000}"/>
    <cellStyle name="Percent 4 2 4 3" xfId="7310" xr:uid="{00000000-0005-0000-0000-000097380000}"/>
    <cellStyle name="Percent 4 2 4 3 2" xfId="14539" xr:uid="{00000000-0005-0000-0000-000098380000}"/>
    <cellStyle name="Percent 4 2 4 4" xfId="8480" xr:uid="{00000000-0005-0000-0000-000099380000}"/>
    <cellStyle name="Percent 4 2 5" xfId="2122" xr:uid="{00000000-0005-0000-0000-00009A380000}"/>
    <cellStyle name="Percent 4 2 5 2" xfId="7312" xr:uid="{00000000-0005-0000-0000-00009B380000}"/>
    <cellStyle name="Percent 4 2 5 2 2" xfId="14541" xr:uid="{00000000-0005-0000-0000-00009C380000}"/>
    <cellStyle name="Percent 4 2 5 3" xfId="9351" xr:uid="{00000000-0005-0000-0000-00009D380000}"/>
    <cellStyle name="Percent 4 2 6" xfId="7297" xr:uid="{00000000-0005-0000-0000-00009E380000}"/>
    <cellStyle name="Percent 4 2 6 2" xfId="14526" xr:uid="{00000000-0005-0000-0000-00009F380000}"/>
    <cellStyle name="Percent 4 2 7" xfId="7613" xr:uid="{00000000-0005-0000-0000-0000A0380000}"/>
    <cellStyle name="Percent 4 3" xfId="484" xr:uid="{00000000-0005-0000-0000-0000A1380000}"/>
    <cellStyle name="Percent 4 3 2" xfId="930" xr:uid="{00000000-0005-0000-0000-0000A2380000}"/>
    <cellStyle name="Percent 4 3 2 2" xfId="1797" xr:uid="{00000000-0005-0000-0000-0000A3380000}"/>
    <cellStyle name="Percent 4 3 2 2 2" xfId="3536" xr:uid="{00000000-0005-0000-0000-0000A4380000}"/>
    <cellStyle name="Percent 4 3 2 2 2 2" xfId="7316" xr:uid="{00000000-0005-0000-0000-0000A5380000}"/>
    <cellStyle name="Percent 4 3 2 2 2 2 2" xfId="14545" xr:uid="{00000000-0005-0000-0000-0000A6380000}"/>
    <cellStyle name="Percent 4 3 2 2 2 3" xfId="10765" xr:uid="{00000000-0005-0000-0000-0000A7380000}"/>
    <cellStyle name="Percent 4 3 2 2 3" xfId="7315" xr:uid="{00000000-0005-0000-0000-0000A8380000}"/>
    <cellStyle name="Percent 4 3 2 2 3 2" xfId="14544" xr:uid="{00000000-0005-0000-0000-0000A9380000}"/>
    <cellStyle name="Percent 4 3 2 2 4" xfId="9027" xr:uid="{00000000-0005-0000-0000-0000AA380000}"/>
    <cellStyle name="Percent 4 3 2 3" xfId="2669" xr:uid="{00000000-0005-0000-0000-0000AB380000}"/>
    <cellStyle name="Percent 4 3 2 3 2" xfId="7317" xr:uid="{00000000-0005-0000-0000-0000AC380000}"/>
    <cellStyle name="Percent 4 3 2 3 2 2" xfId="14546" xr:uid="{00000000-0005-0000-0000-0000AD380000}"/>
    <cellStyle name="Percent 4 3 2 3 3" xfId="9898" xr:uid="{00000000-0005-0000-0000-0000AE380000}"/>
    <cellStyle name="Percent 4 3 2 4" xfId="7314" xr:uid="{00000000-0005-0000-0000-0000AF380000}"/>
    <cellStyle name="Percent 4 3 2 4 2" xfId="14543" xr:uid="{00000000-0005-0000-0000-0000B0380000}"/>
    <cellStyle name="Percent 4 3 2 5" xfId="8160" xr:uid="{00000000-0005-0000-0000-0000B1380000}"/>
    <cellStyle name="Percent 4 3 3" xfId="1366" xr:uid="{00000000-0005-0000-0000-0000B2380000}"/>
    <cellStyle name="Percent 4 3 3 2" xfId="3105" xr:uid="{00000000-0005-0000-0000-0000B3380000}"/>
    <cellStyle name="Percent 4 3 3 2 2" xfId="7319" xr:uid="{00000000-0005-0000-0000-0000B4380000}"/>
    <cellStyle name="Percent 4 3 3 2 2 2" xfId="14548" xr:uid="{00000000-0005-0000-0000-0000B5380000}"/>
    <cellStyle name="Percent 4 3 3 2 3" xfId="10334" xr:uid="{00000000-0005-0000-0000-0000B6380000}"/>
    <cellStyle name="Percent 4 3 3 3" xfId="7318" xr:uid="{00000000-0005-0000-0000-0000B7380000}"/>
    <cellStyle name="Percent 4 3 3 3 2" xfId="14547" xr:uid="{00000000-0005-0000-0000-0000B8380000}"/>
    <cellStyle name="Percent 4 3 3 4" xfId="8596" xr:uid="{00000000-0005-0000-0000-0000B9380000}"/>
    <cellStyle name="Percent 4 3 4" xfId="2238" xr:uid="{00000000-0005-0000-0000-0000BA380000}"/>
    <cellStyle name="Percent 4 3 4 2" xfId="7320" xr:uid="{00000000-0005-0000-0000-0000BB380000}"/>
    <cellStyle name="Percent 4 3 4 2 2" xfId="14549" xr:uid="{00000000-0005-0000-0000-0000BC380000}"/>
    <cellStyle name="Percent 4 3 4 3" xfId="9467" xr:uid="{00000000-0005-0000-0000-0000BD380000}"/>
    <cellStyle name="Percent 4 3 5" xfId="7313" xr:uid="{00000000-0005-0000-0000-0000BE380000}"/>
    <cellStyle name="Percent 4 3 5 2" xfId="14542" xr:uid="{00000000-0005-0000-0000-0000BF380000}"/>
    <cellStyle name="Percent 4 3 6" xfId="7729" xr:uid="{00000000-0005-0000-0000-0000C0380000}"/>
    <cellStyle name="Percent 4 4" xfId="706" xr:uid="{00000000-0005-0000-0000-0000C1380000}"/>
    <cellStyle name="Percent 4 4 2" xfId="1579" xr:uid="{00000000-0005-0000-0000-0000C2380000}"/>
    <cellStyle name="Percent 4 4 2 2" xfId="3318" xr:uid="{00000000-0005-0000-0000-0000C3380000}"/>
    <cellStyle name="Percent 4 4 2 2 2" xfId="7323" xr:uid="{00000000-0005-0000-0000-0000C4380000}"/>
    <cellStyle name="Percent 4 4 2 2 2 2" xfId="14552" xr:uid="{00000000-0005-0000-0000-0000C5380000}"/>
    <cellStyle name="Percent 4 4 2 2 3" xfId="10547" xr:uid="{00000000-0005-0000-0000-0000C6380000}"/>
    <cellStyle name="Percent 4 4 2 3" xfId="7322" xr:uid="{00000000-0005-0000-0000-0000C7380000}"/>
    <cellStyle name="Percent 4 4 2 3 2" xfId="14551" xr:uid="{00000000-0005-0000-0000-0000C8380000}"/>
    <cellStyle name="Percent 4 4 2 4" xfId="8809" xr:uid="{00000000-0005-0000-0000-0000C9380000}"/>
    <cellStyle name="Percent 4 4 3" xfId="2451" xr:uid="{00000000-0005-0000-0000-0000CA380000}"/>
    <cellStyle name="Percent 4 4 3 2" xfId="7324" xr:uid="{00000000-0005-0000-0000-0000CB380000}"/>
    <cellStyle name="Percent 4 4 3 2 2" xfId="14553" xr:uid="{00000000-0005-0000-0000-0000CC380000}"/>
    <cellStyle name="Percent 4 4 3 3" xfId="9680" xr:uid="{00000000-0005-0000-0000-0000CD380000}"/>
    <cellStyle name="Percent 4 4 4" xfId="7321" xr:uid="{00000000-0005-0000-0000-0000CE380000}"/>
    <cellStyle name="Percent 4 4 4 2" xfId="14550" xr:uid="{00000000-0005-0000-0000-0000CF380000}"/>
    <cellStyle name="Percent 4 4 5" xfId="7942" xr:uid="{00000000-0005-0000-0000-0000D0380000}"/>
    <cellStyle name="Percent 4 5" xfId="1148" xr:uid="{00000000-0005-0000-0000-0000D1380000}"/>
    <cellStyle name="Percent 4 5 2" xfId="2887" xr:uid="{00000000-0005-0000-0000-0000D2380000}"/>
    <cellStyle name="Percent 4 5 2 2" xfId="7326" xr:uid="{00000000-0005-0000-0000-0000D3380000}"/>
    <cellStyle name="Percent 4 5 2 2 2" xfId="14555" xr:uid="{00000000-0005-0000-0000-0000D4380000}"/>
    <cellStyle name="Percent 4 5 2 3" xfId="10116" xr:uid="{00000000-0005-0000-0000-0000D5380000}"/>
    <cellStyle name="Percent 4 5 3" xfId="7325" xr:uid="{00000000-0005-0000-0000-0000D6380000}"/>
    <cellStyle name="Percent 4 5 3 2" xfId="14554" xr:uid="{00000000-0005-0000-0000-0000D7380000}"/>
    <cellStyle name="Percent 4 5 4" xfId="8378" xr:uid="{00000000-0005-0000-0000-0000D8380000}"/>
    <cellStyle name="Percent 4 6" xfId="2020" xr:uid="{00000000-0005-0000-0000-0000D9380000}"/>
    <cellStyle name="Percent 4 6 2" xfId="7327" xr:uid="{00000000-0005-0000-0000-0000DA380000}"/>
    <cellStyle name="Percent 4 6 2 2" xfId="14556" xr:uid="{00000000-0005-0000-0000-0000DB380000}"/>
    <cellStyle name="Percent 4 6 3" xfId="9249" xr:uid="{00000000-0005-0000-0000-0000DC380000}"/>
    <cellStyle name="Percent 4 7" xfId="7296" xr:uid="{00000000-0005-0000-0000-0000DD380000}"/>
    <cellStyle name="Percent 4 7 2" xfId="14525" xr:uid="{00000000-0005-0000-0000-0000DE380000}"/>
    <cellStyle name="Percent 4 8" xfId="7511" xr:uid="{00000000-0005-0000-0000-0000DF380000}"/>
    <cellStyle name="Percent 5" xfId="249" xr:uid="{00000000-0005-0000-0000-0000E0380000}"/>
    <cellStyle name="Percent 5 2" xfId="250" xr:uid="{00000000-0005-0000-0000-0000E1380000}"/>
    <cellStyle name="Percent 5 2 2" xfId="7329" xr:uid="{00000000-0005-0000-0000-0000E2380000}"/>
    <cellStyle name="Percent 5 2 2 2" xfId="14558" xr:uid="{00000000-0005-0000-0000-0000E3380000}"/>
    <cellStyle name="Percent 5 3" xfId="7328" xr:uid="{00000000-0005-0000-0000-0000E4380000}"/>
    <cellStyle name="Percent 5 3 2" xfId="14557" xr:uid="{00000000-0005-0000-0000-0000E5380000}"/>
    <cellStyle name="Percent 6" xfId="251" xr:uid="{00000000-0005-0000-0000-0000E6380000}"/>
    <cellStyle name="Percent 6 2" xfId="252" xr:uid="{00000000-0005-0000-0000-0000E7380000}"/>
    <cellStyle name="Percent 6 2 2" xfId="7331" xr:uid="{00000000-0005-0000-0000-0000E8380000}"/>
    <cellStyle name="Percent 6 2 2 2" xfId="14560" xr:uid="{00000000-0005-0000-0000-0000E9380000}"/>
    <cellStyle name="Percent 6 3" xfId="7330" xr:uid="{00000000-0005-0000-0000-0000EA380000}"/>
    <cellStyle name="Percent 6 3 2" xfId="14559" xr:uid="{00000000-0005-0000-0000-0000EB380000}"/>
    <cellStyle name="Percent 7" xfId="22" xr:uid="{00000000-0005-0000-0000-0000EC380000}"/>
    <cellStyle name="Percent 7 2" xfId="94" xr:uid="{00000000-0005-0000-0000-0000ED380000}"/>
    <cellStyle name="Percent 7 2 2" xfId="7333" xr:uid="{00000000-0005-0000-0000-0000EE380000}"/>
    <cellStyle name="Percent 7 2 2 2" xfId="14562" xr:uid="{00000000-0005-0000-0000-0000EF380000}"/>
    <cellStyle name="Percent 7 3" xfId="77" xr:uid="{00000000-0005-0000-0000-0000F0380000}"/>
    <cellStyle name="Percent 7 3 2" xfId="7334" xr:uid="{00000000-0005-0000-0000-0000F1380000}"/>
    <cellStyle name="Percent 7 3 2 2" xfId="14563" xr:uid="{00000000-0005-0000-0000-0000F2380000}"/>
    <cellStyle name="Percent 7 4" xfId="7332" xr:uid="{00000000-0005-0000-0000-0000F3380000}"/>
    <cellStyle name="Percent 7 4 2" xfId="14561" xr:uid="{00000000-0005-0000-0000-0000F4380000}"/>
    <cellStyle name="Percent 8" xfId="610" xr:uid="{00000000-0005-0000-0000-0000F5380000}"/>
    <cellStyle name="Percent 8 2" xfId="7335" xr:uid="{00000000-0005-0000-0000-0000F6380000}"/>
    <cellStyle name="Percent 8 2 2" xfId="14564" xr:uid="{00000000-0005-0000-0000-0000F7380000}"/>
    <cellStyle name="Percent 9" xfId="1920" xr:uid="{00000000-0005-0000-0000-0000F8380000}"/>
    <cellStyle name="Percent 9 2" xfId="3659" xr:uid="{00000000-0005-0000-0000-0000F9380000}"/>
    <cellStyle name="Percent 9 2 2" xfId="7337" xr:uid="{00000000-0005-0000-0000-0000FA380000}"/>
    <cellStyle name="Percent 9 2 2 2" xfId="14566" xr:uid="{00000000-0005-0000-0000-0000FB380000}"/>
    <cellStyle name="Percent 9 2 3" xfId="10888" xr:uid="{00000000-0005-0000-0000-0000FC380000}"/>
    <cellStyle name="Percent 9 3" xfId="7336" xr:uid="{00000000-0005-0000-0000-0000FD380000}"/>
    <cellStyle name="Percent 9 3 2" xfId="14565" xr:uid="{00000000-0005-0000-0000-0000FE380000}"/>
    <cellStyle name="Percent 9 4" xfId="9150" xr:uid="{00000000-0005-0000-0000-0000FF380000}"/>
    <cellStyle name="Title 2" xfId="253" xr:uid="{00000000-0005-0000-0000-000000390000}"/>
    <cellStyle name="Title 2 2" xfId="254" xr:uid="{00000000-0005-0000-0000-000001390000}"/>
    <cellStyle name="Title 2 2 2" xfId="7339" xr:uid="{00000000-0005-0000-0000-000002390000}"/>
    <cellStyle name="Title 2 3" xfId="7338" xr:uid="{00000000-0005-0000-0000-000003390000}"/>
    <cellStyle name="Title 2 4" xfId="7411" xr:uid="{00000000-0005-0000-0000-000004390000}"/>
    <cellStyle name="Title 3" xfId="7410" xr:uid="{00000000-0005-0000-0000-000005390000}"/>
    <cellStyle name="Total" xfId="7373" builtinId="25" customBuiltin="1"/>
    <cellStyle name="Total 2" xfId="255" xr:uid="{00000000-0005-0000-0000-000007390000}"/>
    <cellStyle name="Total 2 2" xfId="256" xr:uid="{00000000-0005-0000-0000-000008390000}"/>
    <cellStyle name="Total 2 2 2" xfId="7341" xr:uid="{00000000-0005-0000-0000-000009390000}"/>
    <cellStyle name="Total 2 2 2 2" xfId="14568" xr:uid="{00000000-0005-0000-0000-00000A390000}"/>
    <cellStyle name="Total 2 3" xfId="7340" xr:uid="{00000000-0005-0000-0000-00000B390000}"/>
    <cellStyle name="Total 2 3 2" xfId="14567" xr:uid="{00000000-0005-0000-0000-00000C390000}"/>
    <cellStyle name="Warning Text" xfId="7371" builtinId="11" customBuiltin="1"/>
    <cellStyle name="Warning Text 2" xfId="257" xr:uid="{00000000-0005-0000-0000-00000E390000}"/>
    <cellStyle name="Warning Text 2 2" xfId="258" xr:uid="{00000000-0005-0000-0000-00000F390000}"/>
    <cellStyle name="Warning Text 2 2 2" xfId="7343" xr:uid="{00000000-0005-0000-0000-000010390000}"/>
    <cellStyle name="Warning Text 2 2 2 2" xfId="14570" xr:uid="{00000000-0005-0000-0000-000011390000}"/>
    <cellStyle name="Warning Text 2 3" xfId="7342" xr:uid="{00000000-0005-0000-0000-000012390000}"/>
    <cellStyle name="Warning Text 2 3 2" xfId="14569" xr:uid="{00000000-0005-0000-0000-00001339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00FF00"/>
      <color rgb="FFFF3399"/>
      <color rgb="FF99FFCC"/>
      <color rgb="FF000080"/>
      <color rgb="FF000099"/>
      <color rgb="FF0000FF"/>
      <color rgb="FFCCECFF"/>
      <color rgb="FFFFFF99"/>
      <color rgb="FFD1F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externalLink" Target="externalLinks/externalLink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0.xml"/><Relationship Id="rId95" Type="http://schemas.openxmlformats.org/officeDocument/2006/relationships/externalLink" Target="externalLinks/externalLink1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externalLink" Target="externalLinks/externalLink11.xml"/><Relationship Id="rId96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94" Type="http://schemas.openxmlformats.org/officeDocument/2006/relationships/externalLink" Target="externalLinks/externalLink1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3.xml"/><Relationship Id="rId98" Type="http://schemas.openxmlformats.org/officeDocument/2006/relationships/connections" Target="connections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4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4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19050</xdr:rowOff>
    </xdr:from>
    <xdr:to>
      <xdr:col>2</xdr:col>
      <xdr:colOff>685800</xdr:colOff>
      <xdr:row>3</xdr:row>
      <xdr:rowOff>76200</xdr:rowOff>
    </xdr:to>
    <xdr:pic>
      <xdr:nvPicPr>
        <xdr:cNvPr id="48812" name="Picture 1" descr="logo_mercador_G">
          <a:extLst>
            <a:ext uri="{FF2B5EF4-FFF2-40B4-BE49-F238E27FC236}">
              <a16:creationId xmlns:a16="http://schemas.microsoft.com/office/drawing/2014/main" id="{00000000-0008-0000-0000-0000AC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90500"/>
          <a:ext cx="2819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6</xdr:row>
      <xdr:rowOff>19050</xdr:rowOff>
    </xdr:from>
    <xdr:to>
      <xdr:col>3</xdr:col>
      <xdr:colOff>714375</xdr:colOff>
      <xdr:row>11</xdr:row>
      <xdr:rowOff>104775</xdr:rowOff>
    </xdr:to>
    <xdr:pic>
      <xdr:nvPicPr>
        <xdr:cNvPr id="48813" name="Picture 2">
          <a:extLst>
            <a:ext uri="{FF2B5EF4-FFF2-40B4-BE49-F238E27FC236}">
              <a16:creationId xmlns:a16="http://schemas.microsoft.com/office/drawing/2014/main" id="{00000000-0008-0000-0000-0000AD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1238250"/>
          <a:ext cx="2533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1</xdr:row>
      <xdr:rowOff>38100</xdr:rowOff>
    </xdr:from>
    <xdr:to>
      <xdr:col>4</xdr:col>
      <xdr:colOff>161925</xdr:colOff>
      <xdr:row>5</xdr:row>
      <xdr:rowOff>38100</xdr:rowOff>
    </xdr:to>
    <xdr:pic>
      <xdr:nvPicPr>
        <xdr:cNvPr id="48814" name="Picture 3">
          <a:extLst>
            <a:ext uri="{FF2B5EF4-FFF2-40B4-BE49-F238E27FC236}">
              <a16:creationId xmlns:a16="http://schemas.microsoft.com/office/drawing/2014/main" id="{00000000-0008-0000-0000-0000AE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52800" y="209550"/>
          <a:ext cx="752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</xdr:row>
      <xdr:rowOff>19050</xdr:rowOff>
    </xdr:from>
    <xdr:to>
      <xdr:col>2</xdr:col>
      <xdr:colOff>685800</xdr:colOff>
      <xdr:row>3</xdr:row>
      <xdr:rowOff>76200</xdr:rowOff>
    </xdr:to>
    <xdr:pic>
      <xdr:nvPicPr>
        <xdr:cNvPr id="48815" name="Picture 4" descr="logo_mercador_G">
          <a:extLst>
            <a:ext uri="{FF2B5EF4-FFF2-40B4-BE49-F238E27FC236}">
              <a16:creationId xmlns:a16="http://schemas.microsoft.com/office/drawing/2014/main" id="{00000000-0008-0000-0000-0000AF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90500"/>
          <a:ext cx="2819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6</xdr:row>
      <xdr:rowOff>19050</xdr:rowOff>
    </xdr:from>
    <xdr:to>
      <xdr:col>3</xdr:col>
      <xdr:colOff>714375</xdr:colOff>
      <xdr:row>11</xdr:row>
      <xdr:rowOff>104775</xdr:rowOff>
    </xdr:to>
    <xdr:pic>
      <xdr:nvPicPr>
        <xdr:cNvPr id="48816" name="Picture 5">
          <a:extLst>
            <a:ext uri="{FF2B5EF4-FFF2-40B4-BE49-F238E27FC236}">
              <a16:creationId xmlns:a16="http://schemas.microsoft.com/office/drawing/2014/main" id="{00000000-0008-0000-0000-0000B0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1238250"/>
          <a:ext cx="2533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1</xdr:row>
      <xdr:rowOff>38100</xdr:rowOff>
    </xdr:from>
    <xdr:to>
      <xdr:col>4</xdr:col>
      <xdr:colOff>161925</xdr:colOff>
      <xdr:row>5</xdr:row>
      <xdr:rowOff>38100</xdr:rowOff>
    </xdr:to>
    <xdr:pic>
      <xdr:nvPicPr>
        <xdr:cNvPr id="48817" name="Picture 6">
          <a:extLst>
            <a:ext uri="{FF2B5EF4-FFF2-40B4-BE49-F238E27FC236}">
              <a16:creationId xmlns:a16="http://schemas.microsoft.com/office/drawing/2014/main" id="{00000000-0008-0000-0000-0000B1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52800" y="209550"/>
          <a:ext cx="752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678180</xdr:colOff>
          <xdr:row>14</xdr:row>
          <xdr:rowOff>68580</xdr:rowOff>
        </xdr:from>
        <xdr:to>
          <xdr:col>1</xdr:col>
          <xdr:colOff>1150620</xdr:colOff>
          <xdr:row>16</xdr:row>
          <xdr:rowOff>22860</xdr:rowOff>
        </xdr:to>
        <xdr:sp macro="" textlink="">
          <xdr:nvSpPr>
            <xdr:cNvPr id="2055" name="CommandButton1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754380</xdr:colOff>
          <xdr:row>14</xdr:row>
          <xdr:rowOff>30480</xdr:rowOff>
        </xdr:from>
        <xdr:to>
          <xdr:col>8</xdr:col>
          <xdr:colOff>853440</xdr:colOff>
          <xdr:row>15</xdr:row>
          <xdr:rowOff>144780</xdr:rowOff>
        </xdr:to>
        <xdr:sp macro="" textlink="">
          <xdr:nvSpPr>
            <xdr:cNvPr id="2056" name="CommandButton2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160020</xdr:colOff>
          <xdr:row>14</xdr:row>
          <xdr:rowOff>38100</xdr:rowOff>
        </xdr:from>
        <xdr:to>
          <xdr:col>4</xdr:col>
          <xdr:colOff>632460</xdr:colOff>
          <xdr:row>15</xdr:row>
          <xdr:rowOff>152400</xdr:rowOff>
        </xdr:to>
        <xdr:sp macro="" textlink="">
          <xdr:nvSpPr>
            <xdr:cNvPr id="2059" name="CommandButton5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274320</xdr:colOff>
          <xdr:row>14</xdr:row>
          <xdr:rowOff>38100</xdr:rowOff>
        </xdr:from>
        <xdr:to>
          <xdr:col>6</xdr:col>
          <xdr:colOff>1165860</xdr:colOff>
          <xdr:row>15</xdr:row>
          <xdr:rowOff>152400</xdr:rowOff>
        </xdr:to>
        <xdr:sp macro="" textlink="">
          <xdr:nvSpPr>
            <xdr:cNvPr id="2060" name="CommandButton6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76200</xdr:rowOff>
        </xdr:from>
        <xdr:to>
          <xdr:col>7</xdr:col>
          <xdr:colOff>342900</xdr:colOff>
          <xdr:row>18</xdr:row>
          <xdr:rowOff>30480</xdr:rowOff>
        </xdr:to>
        <xdr:sp macro="" textlink="">
          <xdr:nvSpPr>
            <xdr:cNvPr id="2061" name="CommandButton7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754380</xdr:colOff>
          <xdr:row>16</xdr:row>
          <xdr:rowOff>0</xdr:rowOff>
        </xdr:from>
        <xdr:to>
          <xdr:col>8</xdr:col>
          <xdr:colOff>853440</xdr:colOff>
          <xdr:row>17</xdr:row>
          <xdr:rowOff>114300</xdr:rowOff>
        </xdr:to>
        <xdr:sp macro="" textlink="">
          <xdr:nvSpPr>
            <xdr:cNvPr id="2068" name="CommandButton3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29025" name="CommandButton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00000000-0008-0000-3D00-000001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1073" name="CommandButton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3E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2097" name="CommandButton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00000000-0008-0000-3F00-000001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132098" name="CommandButton2" hidden="1">
              <a:extLst>
                <a:ext uri="{63B3BB69-23CF-44E3-9099-C40C66FF867C}">
                  <a14:compatExt spid="_x0000_s132098"/>
                </a:ext>
                <a:ext uri="{FF2B5EF4-FFF2-40B4-BE49-F238E27FC236}">
                  <a16:creationId xmlns:a16="http://schemas.microsoft.com/office/drawing/2014/main" id="{00000000-0008-0000-3F00-000002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3121" name="CommandButton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00000000-0008-0000-4000-000001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133122" name="CommandButton2" hidden="1">
              <a:extLst>
                <a:ext uri="{63B3BB69-23CF-44E3-9099-C40C66FF867C}">
                  <a14:compatExt spid="_x0000_s133122"/>
                </a:ext>
                <a:ext uri="{FF2B5EF4-FFF2-40B4-BE49-F238E27FC236}">
                  <a16:creationId xmlns:a16="http://schemas.microsoft.com/office/drawing/2014/main" id="{00000000-0008-0000-4000-000002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6193" name="CommandButton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41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136194" name="CommandButton2" hidden="1">
              <a:extLst>
                <a:ext uri="{63B3BB69-23CF-44E3-9099-C40C66FF867C}">
                  <a14:compatExt spid="_x0000_s136194"/>
                </a:ext>
                <a:ext uri="{FF2B5EF4-FFF2-40B4-BE49-F238E27FC236}">
                  <a16:creationId xmlns:a16="http://schemas.microsoft.com/office/drawing/2014/main" id="{00000000-0008-0000-4100-000002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12</xdr:row>
          <xdr:rowOff>0</xdr:rowOff>
        </xdr:from>
        <xdr:to>
          <xdr:col>2</xdr:col>
          <xdr:colOff>784860</xdr:colOff>
          <xdr:row>38</xdr:row>
          <xdr:rowOff>114300</xdr:rowOff>
        </xdr:to>
        <xdr:sp macro="" textlink="">
          <xdr:nvSpPr>
            <xdr:cNvPr id="329729" name="CommandButton1" hidden="1">
              <a:extLst>
                <a:ext uri="{63B3BB69-23CF-44E3-9099-C40C66FF867C}">
                  <a14:compatExt spid="_x0000_s329729"/>
                </a:ext>
                <a:ext uri="{FF2B5EF4-FFF2-40B4-BE49-F238E27FC236}">
                  <a16:creationId xmlns:a16="http://schemas.microsoft.com/office/drawing/2014/main" id="{00000000-0008-0000-4200-0000010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411480</xdr:colOff>
          <xdr:row>0</xdr:row>
          <xdr:rowOff>30480</xdr:rowOff>
        </xdr:from>
        <xdr:to>
          <xdr:col>5</xdr:col>
          <xdr:colOff>1165860</xdr:colOff>
          <xdr:row>1</xdr:row>
          <xdr:rowOff>99060</xdr:rowOff>
        </xdr:to>
        <xdr:sp macro="" textlink="">
          <xdr:nvSpPr>
            <xdr:cNvPr id="181249" name="CommandButton1" hidden="1">
              <a:extLst>
                <a:ext uri="{63B3BB69-23CF-44E3-9099-C40C66FF867C}">
                  <a14:compatExt spid="_x0000_s181249"/>
                </a:ext>
                <a:ext uri="{FF2B5EF4-FFF2-40B4-BE49-F238E27FC236}">
                  <a16:creationId xmlns:a16="http://schemas.microsoft.com/office/drawing/2014/main" id="{00000000-0008-0000-4300-000001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</xdr:row>
          <xdr:rowOff>30480</xdr:rowOff>
        </xdr:from>
        <xdr:to>
          <xdr:col>2</xdr:col>
          <xdr:colOff>784860</xdr:colOff>
          <xdr:row>3</xdr:row>
          <xdr:rowOff>99060</xdr:rowOff>
        </xdr:to>
        <xdr:sp macro="" textlink="">
          <xdr:nvSpPr>
            <xdr:cNvPr id="280577" name="CommandButton1" hidden="1">
              <a:extLst>
                <a:ext uri="{63B3BB69-23CF-44E3-9099-C40C66FF867C}">
                  <a14:compatExt spid="_x0000_s280577"/>
                </a:ext>
                <a:ext uri="{FF2B5EF4-FFF2-40B4-BE49-F238E27FC236}">
                  <a16:creationId xmlns:a16="http://schemas.microsoft.com/office/drawing/2014/main" id="{00000000-0008-0000-4900-000001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35521" name="CommandButton1" hidden="1">
              <a:extLst>
                <a:ext uri="{63B3BB69-23CF-44E3-9099-C40C66FF867C}">
                  <a14:compatExt spid="_x0000_s235521"/>
                </a:ext>
                <a:ext uri="{FF2B5EF4-FFF2-40B4-BE49-F238E27FC236}">
                  <a16:creationId xmlns:a16="http://schemas.microsoft.com/office/drawing/2014/main" id="{00000000-0008-0000-4A00-0000019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35522" name="CommandButton2" hidden="1">
              <a:extLst>
                <a:ext uri="{63B3BB69-23CF-44E3-9099-C40C66FF867C}">
                  <a14:compatExt spid="_x0000_s235522"/>
                </a:ext>
                <a:ext uri="{FF2B5EF4-FFF2-40B4-BE49-F238E27FC236}">
                  <a16:creationId xmlns:a16="http://schemas.microsoft.com/office/drawing/2014/main" id="{00000000-0008-0000-4A00-0000029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33473" name="CommandButton1" hidden="1">
              <a:extLst>
                <a:ext uri="{63B3BB69-23CF-44E3-9099-C40C66FF867C}">
                  <a14:compatExt spid="_x0000_s233473"/>
                </a:ext>
                <a:ext uri="{FF2B5EF4-FFF2-40B4-BE49-F238E27FC236}">
                  <a16:creationId xmlns:a16="http://schemas.microsoft.com/office/drawing/2014/main" id="{00000000-0008-0000-4B00-0000019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33474" name="CommandButton2" hidden="1">
              <a:extLst>
                <a:ext uri="{63B3BB69-23CF-44E3-9099-C40C66FF867C}">
                  <a14:compatExt spid="_x0000_s233474"/>
                </a:ext>
                <a:ext uri="{FF2B5EF4-FFF2-40B4-BE49-F238E27FC236}">
                  <a16:creationId xmlns:a16="http://schemas.microsoft.com/office/drawing/2014/main" id="{00000000-0008-0000-4B00-0000029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30480</xdr:rowOff>
        </xdr:from>
        <xdr:to>
          <xdr:col>5</xdr:col>
          <xdr:colOff>754380</xdr:colOff>
          <xdr:row>2</xdr:row>
          <xdr:rowOff>53340</xdr:rowOff>
        </xdr:to>
        <xdr:sp macro="" textlink="">
          <xdr:nvSpPr>
            <xdr:cNvPr id="4097" name="CommandButton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34497" name="CommandButton1" hidden="1">
              <a:extLst>
                <a:ext uri="{63B3BB69-23CF-44E3-9099-C40C66FF867C}">
                  <a14:compatExt spid="_x0000_s234497"/>
                </a:ext>
                <a:ext uri="{FF2B5EF4-FFF2-40B4-BE49-F238E27FC236}">
                  <a16:creationId xmlns:a16="http://schemas.microsoft.com/office/drawing/2014/main" id="{00000000-0008-0000-4C00-0000019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34498" name="CommandButton2" hidden="1">
              <a:extLst>
                <a:ext uri="{63B3BB69-23CF-44E3-9099-C40C66FF867C}">
                  <a14:compatExt spid="_x0000_s234498"/>
                </a:ext>
                <a:ext uri="{FF2B5EF4-FFF2-40B4-BE49-F238E27FC236}">
                  <a16:creationId xmlns:a16="http://schemas.microsoft.com/office/drawing/2014/main" id="{00000000-0008-0000-4C00-0000029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81601" name="CommandButton1" hidden="1">
              <a:extLst>
                <a:ext uri="{63B3BB69-23CF-44E3-9099-C40C66FF867C}">
                  <a14:compatExt spid="_x0000_s281601"/>
                </a:ext>
                <a:ext uri="{FF2B5EF4-FFF2-40B4-BE49-F238E27FC236}">
                  <a16:creationId xmlns:a16="http://schemas.microsoft.com/office/drawing/2014/main" id="{00000000-0008-0000-4D00-000001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81602" name="CommandButton2" hidden="1">
              <a:extLst>
                <a:ext uri="{63B3BB69-23CF-44E3-9099-C40C66FF867C}">
                  <a14:compatExt spid="_x0000_s281602"/>
                </a:ext>
                <a:ext uri="{FF2B5EF4-FFF2-40B4-BE49-F238E27FC236}">
                  <a16:creationId xmlns:a16="http://schemas.microsoft.com/office/drawing/2014/main" id="{00000000-0008-0000-4D00-000002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411480</xdr:colOff>
          <xdr:row>23</xdr:row>
          <xdr:rowOff>0</xdr:rowOff>
        </xdr:from>
        <xdr:to>
          <xdr:col>5</xdr:col>
          <xdr:colOff>1165860</xdr:colOff>
          <xdr:row>24</xdr:row>
          <xdr:rowOff>114300</xdr:rowOff>
        </xdr:to>
        <xdr:sp macro="" textlink="">
          <xdr:nvSpPr>
            <xdr:cNvPr id="330753" name="CommandButton1" hidden="1">
              <a:extLst>
                <a:ext uri="{63B3BB69-23CF-44E3-9099-C40C66FF867C}">
                  <a14:compatExt spid="_x0000_s330753"/>
                </a:ext>
                <a:ext uri="{FF2B5EF4-FFF2-40B4-BE49-F238E27FC236}">
                  <a16:creationId xmlns:a16="http://schemas.microsoft.com/office/drawing/2014/main" id="{00000000-0008-0000-4F00-0000010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5</xdr:col>
          <xdr:colOff>754380</xdr:colOff>
          <xdr:row>1</xdr:row>
          <xdr:rowOff>99060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0</xdr:row>
          <xdr:rowOff>30480</xdr:rowOff>
        </xdr:from>
        <xdr:to>
          <xdr:col>5</xdr:col>
          <xdr:colOff>762000</xdr:colOff>
          <xdr:row>1</xdr:row>
          <xdr:rowOff>114300</xdr:rowOff>
        </xdr:to>
        <xdr:sp macro="" textlink="">
          <xdr:nvSpPr>
            <xdr:cNvPr id="16385" name="CommandButton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0</xdr:row>
          <xdr:rowOff>38100</xdr:rowOff>
        </xdr:from>
        <xdr:to>
          <xdr:col>6</xdr:col>
          <xdr:colOff>144780</xdr:colOff>
          <xdr:row>1</xdr:row>
          <xdr:rowOff>106680</xdr:rowOff>
        </xdr:to>
        <xdr:sp macro="" textlink="">
          <xdr:nvSpPr>
            <xdr:cNvPr id="16386" name="CommandButton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411480</xdr:colOff>
          <xdr:row>0</xdr:row>
          <xdr:rowOff>30480</xdr:rowOff>
        </xdr:from>
        <xdr:to>
          <xdr:col>5</xdr:col>
          <xdr:colOff>1165860</xdr:colOff>
          <xdr:row>1</xdr:row>
          <xdr:rowOff>91440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1188720</xdr:colOff>
          <xdr:row>0</xdr:row>
          <xdr:rowOff>30480</xdr:rowOff>
        </xdr:from>
        <xdr:to>
          <xdr:col>0</xdr:col>
          <xdr:colOff>1943100</xdr:colOff>
          <xdr:row>19</xdr:row>
          <xdr:rowOff>106680</xdr:rowOff>
        </xdr:to>
        <xdr:sp macro="" textlink="">
          <xdr:nvSpPr>
            <xdr:cNvPr id="3073" name="CommandButton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3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</xdr:row>
          <xdr:rowOff>30480</xdr:rowOff>
        </xdr:from>
        <xdr:to>
          <xdr:col>2</xdr:col>
          <xdr:colOff>784860</xdr:colOff>
          <xdr:row>3</xdr:row>
          <xdr:rowOff>99060</xdr:rowOff>
        </xdr:to>
        <xdr:sp macro="" textlink="">
          <xdr:nvSpPr>
            <xdr:cNvPr id="225281" name="CommandButton1" hidden="1">
              <a:extLst>
                <a:ext uri="{63B3BB69-23CF-44E3-9099-C40C66FF867C}">
                  <a14:compatExt spid="_x0000_s225281"/>
                </a:ext>
                <a:ext uri="{FF2B5EF4-FFF2-40B4-BE49-F238E27FC236}">
                  <a16:creationId xmlns:a16="http://schemas.microsoft.com/office/drawing/2014/main" id="{00000000-0008-0000-3A00-000001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2</xdr:row>
          <xdr:rowOff>30480</xdr:rowOff>
        </xdr:from>
        <xdr:to>
          <xdr:col>3</xdr:col>
          <xdr:colOff>784860</xdr:colOff>
          <xdr:row>3</xdr:row>
          <xdr:rowOff>99060</xdr:rowOff>
        </xdr:to>
        <xdr:sp macro="" textlink="">
          <xdr:nvSpPr>
            <xdr:cNvPr id="331777" name="CommandButton1" hidden="1">
              <a:extLst>
                <a:ext uri="{63B3BB69-23CF-44E3-9099-C40C66FF867C}">
                  <a14:compatExt spid="_x0000_s331777"/>
                </a:ext>
                <a:ext uri="{FF2B5EF4-FFF2-40B4-BE49-F238E27FC236}">
                  <a16:creationId xmlns:a16="http://schemas.microsoft.com/office/drawing/2014/main" id="{00000000-0008-0000-3B00-0000011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28001" name="CommandButton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00000000-0008-0000-3C00-000001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chathuri\AppData\Local\Microsoft\Windows\INetCache\Content.Outlook\B32MRX2E\BST%20July%20to%20Dec%202019%20-%20EP%20as%20at%202019-07-29-Checked%20by%20CE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Dilini%20Purnima\Documents\Office\BST\11_Jan%20June%202021\tr%20customer%20tariff\PUCSL%20tariff\BST%20Jan%20June%202021%20Submission%20-%20after%20clarifiaction%20not%20submitted.xlsm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4.RA-EM-Tr/BST%20Every%2012%20Months/2025/BST%202025%20H1/2025%20Second%20Tariff%20Revision/May%2015,%202025/2025%2005%2015%20BST%202025%20H1_%2015%2005%202025%20R2.xlsm" TargetMode="External"/><Relationship Id="rId1" Type="http://schemas.openxmlformats.org/officeDocument/2006/relationships/externalLinkPath" Target="/4.RA-EM-Tr/BST%20Every%2012%20Months/2025/BST%202025%20H1/2025%20Second%20Tariff%20Revision/May%2015,%202025/2025%2005%2015%20BST%202025%20H1_%2015%2005%202025%20R2.xlsm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4.RA-EM-Tr/BST%20Every%2012%20Months/2025/BST%202025%20H1/2025%20H1%20&amp;%20H2/2024%2011%2014%20BST%202025%20H1_Sc2%2019%2011%202024%20R1.xlsm" TargetMode="External"/><Relationship Id="rId1" Type="http://schemas.openxmlformats.org/officeDocument/2006/relationships/externalLinkPath" Target="/4.RA-EM-Tr/BST%20Every%2012%20Months/2025/BST%202025%20H1/2025%20H1%20&amp;%20H2/2024%2011%2014%20BST%202025%20H1_Sc2%2019%2011%202024%20R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Buddi\BST\BST\BST%20Submission%20Letters\BST%20by%20EE2\BST%20Revised%20New\received\EP\BST%20July-Dec%202020%20EP-Final%202020-08-25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User\Desktop\BST%20April%20to%20Sep%202017%20%20format%20en%20pur%20with%20aggreko%202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\BST\1.%20BST%20Forecast\18.July-Dec%202024\Version%205\IPP%20&amp;%20NCRE\2024-04-15%20BST%202024%20H2%20V5%20-%20Thermal%20add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Office\BST\13_Jan%20June%202022\BST%20Jan%20June%202022%20as%20at%2004_01_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EE%20REP\AppData\Local\Microsoft\Windows\INetCache\Content.Outlook\W59Y4KEH\New%20folder\ACE%20Matara,%20ACE%20Emb,%20West%20Coast,%20Altaaqa%20Polonnaruwa%20and%20Altaaqa%20Mahiyangan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NSK\AppData\Local\Microsoft\Windows\Temporary%20Internet%20Files\Content.Outlook\TOO2F1FN\average%20cost%20calculation%20add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PURNIMA\trnamission%20consumer\LRT%20tariff\LRT%20project%20final%20(new%20method)\BST%20Jan%20to%20June%202019%20tx%20customer%20tariff%20%20voltage%20wise%20cap%20and%20en%20Final%202%20tariff%20formula%20corrected%202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Office\BST\14_Jul-Dec%202022\BST%20Jan%20June%202022_Sent%20to%20EM_rev4_fuel%20price%20revised-hq%20tab%20updated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4.RA-EM-Tr/BST%20Every%2012%20Months/2024/05%2010%202023%20BST_Jan-June%202024%20-%20IPP%20added.xlsm" TargetMode="External"/><Relationship Id="rId1" Type="http://schemas.openxmlformats.org/officeDocument/2006/relationships/externalLinkPath" Target="/4.RA-EM-Tr/BST%20Every%2012%20Months/2024/05%2010%202023%20BST_Jan-June%202024%20-%20IPP%20added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nergy%20Purchase%20Branch\Budget\Budget%202024%20Scenario%20P\Working%20sheets\_BST_2024%20Scenario%20P-EE(EP).xlsm" TargetMode="External"/><Relationship Id="rId1" Type="http://schemas.openxmlformats.org/officeDocument/2006/relationships/externalLinkPath" Target="file:///D:\Energy%20Purchase%20Branch\Budget\Budget%202024%20Scenario%20P\Working%20sheets\_BST_2024%20Scenario%20P-EE(EP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Dilini%20Purnima\Documents\Office\BST\11_Jan%20June%202021\tr%20customer%20tariff\PUCSL%20tariff\BST%20Jan%20June%202021%20_amended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ilini%20Purnima\Documents\Office\BST\11_Jan%20June%202021\tr%20customer%20tariff\PUCSL%20tariff\BST%20Jan%20June%202021%20Submission%20-%20after%20clarifiaction%20not%20submit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Sojitz"/>
      <sheetName val="DAPL"/>
      <sheetName val="DCPL"/>
      <sheetName val="DPUT"/>
      <sheetName val="DLDL"/>
      <sheetName val="DAGG"/>
      <sheetName val="DEMB"/>
      <sheetName val="CCKW"/>
      <sheetName val="DNOR"/>
      <sheetName val="Altaaqa-Mahi"/>
      <sheetName val="EMG"/>
      <sheetName val="AM - Thulhiriya"/>
      <sheetName val="AM-Kolonnawa"/>
      <sheetName val="AM-Mathugama"/>
      <sheetName val="Altaaqa-Pol"/>
      <sheetName val="Inputs"/>
      <sheetName val="RENW"/>
      <sheetName val="Average Cost"/>
      <sheetName val="auxiliary"/>
    </sheetNames>
    <sheetDataSet>
      <sheetData sheetId="0"/>
      <sheetData sheetId="1">
        <row r="3">
          <cell r="F3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tr.customer tariff-PUCSL method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/>
      <sheetData sheetId="3" refreshError="1"/>
      <sheetData sheetId="4">
        <row r="5">
          <cell r="C5">
            <v>2611.8781706940536</v>
          </cell>
        </row>
      </sheetData>
      <sheetData sheetId="5" refreshError="1"/>
      <sheetData sheetId="6">
        <row r="4">
          <cell r="C4">
            <v>934.46942762330207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4">
          <cell r="D4" t="str">
            <v>Coal</v>
          </cell>
        </row>
        <row r="5">
          <cell r="D5" t="str">
            <v>Crude</v>
          </cell>
        </row>
        <row r="6">
          <cell r="D6" t="str">
            <v>Auto Diesel</v>
          </cell>
        </row>
        <row r="7">
          <cell r="D7" t="str">
            <v>Heavy Fuel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LAXAPANA"/>
      <sheetName val="MAHAWELI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DAPL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ACE-Matara"/>
      <sheetName val="ACE-Embilipitíya"/>
      <sheetName val="SGPS 100MW"/>
      <sheetName val="SGPS 03"/>
      <sheetName val="Sobadhanavi"/>
      <sheetName val="Sojitz"/>
      <sheetName val="CCKW"/>
      <sheetName val="RENW"/>
      <sheetName val="Solar Rooftop &amp; self generation"/>
      <sheetName val="Inputs"/>
      <sheetName val="Summary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>
        <row r="101">
          <cell r="K101">
            <v>1430.9384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LAXAPANA"/>
      <sheetName val="MAHAWELI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DAPL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ACE-Matara"/>
      <sheetName val="ACE-Embilipitíya"/>
      <sheetName val="SGPS 100MW"/>
      <sheetName val="SGPS 03"/>
      <sheetName val="Sobadhanavi"/>
      <sheetName val="Sojitz"/>
      <sheetName val="CCKW"/>
      <sheetName val="RENW"/>
      <sheetName val="Solar Rooftop &amp; self generation"/>
      <sheetName val="Inputs"/>
      <sheetName val="Summary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/>
      <sheetData sheetId="1"/>
      <sheetData sheetId="2"/>
      <sheetData sheetId="3">
        <row r="72">
          <cell r="I72">
            <v>25351.046392829663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DEMB"/>
      <sheetName val="CCKW"/>
      <sheetName val="ALTQ-M"/>
      <sheetName val="ALTQ-P"/>
      <sheetName val="Sojitz"/>
      <sheetName val="DAPL"/>
      <sheetName val="DCPL"/>
      <sheetName val="DPUT"/>
      <sheetName val="DLDL"/>
      <sheetName val="DAGG"/>
      <sheetName val="EMG"/>
      <sheetName val="VPWR-GL"/>
      <sheetName val="VPWR-PL"/>
      <sheetName val="VPWR-HMB"/>
      <sheetName val="VPWR-HRN"/>
      <sheetName val="AM - Thulhiriya"/>
      <sheetName val="AM-Kolonnawa"/>
      <sheetName val="AM-Mathugama"/>
      <sheetName val="DNOR"/>
      <sheetName val="RENW"/>
      <sheetName val="Solar Rooftop &amp; self generation"/>
      <sheetName val="Inputs"/>
      <sheetName val="Average Cost"/>
      <sheetName val="auxiliary"/>
    </sheetNames>
    <sheetDataSet>
      <sheetData sheetId="0"/>
      <sheetData sheetId="1">
        <row r="3">
          <cell r="F3">
            <v>44013</v>
          </cell>
          <cell r="G3">
            <v>44044</v>
          </cell>
          <cell r="H3">
            <v>44075</v>
          </cell>
          <cell r="I3">
            <v>44105</v>
          </cell>
          <cell r="J3">
            <v>44136</v>
          </cell>
          <cell r="K3">
            <v>44166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7">
          <cell r="A77" t="str">
            <v>* Energy Sent out is based on Energy Dispatch Forcast July 2020 to December 2020  issued by System Control Branch</v>
          </cell>
        </row>
        <row r="80">
          <cell r="A80" t="str">
            <v>Settlements = Estimated value of Tax Reimbursibles and Delay Interests</v>
          </cell>
        </row>
        <row r="81">
          <cell r="A81" t="str">
            <v>Exchange Rate as at 2020-07-22 was considered.</v>
          </cell>
        </row>
      </sheetData>
      <sheetData sheetId="24">
        <row r="73">
          <cell r="A73" t="str">
            <v>* Energy Sent out is based on Energy Dispatch Forcast July 2020 to December 2020  issued by System Control Branch</v>
          </cell>
        </row>
        <row r="75">
          <cell r="A75" t="str">
            <v>Forecast of the no. of startups are to be obtained from System Control Branch.</v>
          </cell>
        </row>
        <row r="76">
          <cell r="A76" t="str">
            <v>Settlements = Estimated value of Tax Reimbursibles and Delay Interests</v>
          </cell>
        </row>
      </sheetData>
      <sheetData sheetId="25">
        <row r="84">
          <cell r="A84" t="str">
            <v xml:space="preserve">       * AAMAm is based the Target Availability from the Contract Year</v>
          </cell>
        </row>
      </sheetData>
      <sheetData sheetId="26">
        <row r="41">
          <cell r="A41" t="str">
            <v>Note</v>
          </cell>
        </row>
        <row r="42">
          <cell r="A42" t="str">
            <v># APC (GPC was taken), Fuel Price and Indexes(US PI, CCPI ) are based on the Most recently available figures</v>
          </cell>
        </row>
        <row r="43">
          <cell r="A43" t="str">
            <v>Settlements = Estimated value of Tax Reimbursibles and Delay Interests</v>
          </cell>
        </row>
        <row r="44">
          <cell r="A44" t="str">
            <v>* Energy Sent out is based on Energy Dispatch Forcast July 2020 to December 2020  issued by System Control Branch</v>
          </cell>
        </row>
        <row r="45">
          <cell r="A45" t="str">
            <v>Exchange Rate as at 2020-07-22 was considered.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0">
          <cell r="A40" t="str">
            <v>Note</v>
          </cell>
        </row>
        <row r="41">
          <cell r="A41" t="str">
            <v># APC (GPC was taken), Fuel Price and Indexes(US PI, CCPI ) are based on the Most recently available figures</v>
          </cell>
        </row>
        <row r="42">
          <cell r="A42" t="str">
            <v>Settlements = Estimated value of Tax Reimbursibles and Delay Interests</v>
          </cell>
        </row>
        <row r="43">
          <cell r="A43" t="str">
            <v>* Energy Sent out is based on Energy Dispatch Forcast July 2020 to December 2020  issued by System Control Branch</v>
          </cell>
        </row>
        <row r="44">
          <cell r="A44" t="str">
            <v>Exchange Rate as at 2020-07-22 was considered.</v>
          </cell>
        </row>
      </sheetData>
      <sheetData sheetId="37">
        <row r="40">
          <cell r="A40" t="str">
            <v>Note</v>
          </cell>
        </row>
        <row r="41">
          <cell r="A41" t="str">
            <v># APC (GPC was taken), Fuel Price and Indexes(US PI, CCPI ) are based on the Most recently available figures</v>
          </cell>
        </row>
        <row r="42">
          <cell r="A42" t="str">
            <v>Settlements = Estimated value of Tax Reimbursibles and Delay Interests</v>
          </cell>
        </row>
        <row r="43">
          <cell r="A43" t="str">
            <v>* Energy Sent out is based on Energy Dispatch Forcast July 2020 to December 2020  issued by System Control Branch</v>
          </cell>
        </row>
        <row r="44">
          <cell r="A44" t="str">
            <v>Exchange Rate as at 2020-07-22 was considered.</v>
          </cell>
        </row>
      </sheetData>
      <sheetData sheetId="38"/>
      <sheetData sheetId="39"/>
      <sheetData sheetId="40"/>
      <sheetData sheetId="41"/>
      <sheetData sheetId="42">
        <row r="3">
          <cell r="C3">
            <v>44013</v>
          </cell>
          <cell r="D3">
            <v>44044</v>
          </cell>
          <cell r="E3">
            <v>44075</v>
          </cell>
          <cell r="F3">
            <v>44105</v>
          </cell>
          <cell r="G3">
            <v>44136</v>
          </cell>
          <cell r="H3">
            <v>44166</v>
          </cell>
        </row>
      </sheetData>
      <sheetData sheetId="43"/>
      <sheetData sheetId="44"/>
      <sheetData sheetId="45">
        <row r="21">
          <cell r="C21">
            <v>188.04</v>
          </cell>
        </row>
      </sheetData>
      <sheetData sheetId="46"/>
      <sheetData sheetId="4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DMAT"/>
      <sheetName val="CAES"/>
      <sheetName val="Comments by EEEP"/>
      <sheetName val="DAPL"/>
      <sheetName val="DCPL"/>
      <sheetName val="DPUT"/>
      <sheetName val="DLDL"/>
      <sheetName val="DAGG"/>
      <sheetName val="DEMB"/>
      <sheetName val="CCKW"/>
      <sheetName val="DNOR"/>
      <sheetName val="Emerg. power"/>
      <sheetName val="Inputs"/>
      <sheetName val="RENW"/>
      <sheetName val="Average Cost"/>
      <sheetName val="auxiliary"/>
      <sheetName val="Sheet1"/>
    </sheetNames>
    <sheetDataSet>
      <sheetData sheetId="0"/>
      <sheetData sheetId="1">
        <row r="3">
          <cell r="F3">
            <v>42826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48">
          <cell r="D48">
            <v>95</v>
          </cell>
          <cell r="E48">
            <v>95</v>
          </cell>
          <cell r="F48">
            <v>95</v>
          </cell>
          <cell r="G48">
            <v>95</v>
          </cell>
          <cell r="H48">
            <v>95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 02"/>
      <sheetName val="CCKP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DAPL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ACE-Matara"/>
      <sheetName val="ACE-Embilipitíya"/>
      <sheetName val="SGPS 93MW"/>
      <sheetName val="SGPS 03"/>
      <sheetName val="Sobadhanavi"/>
      <sheetName val="Sojitz"/>
      <sheetName val="CCKW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/>
      <sheetData sheetId="1">
        <row r="3">
          <cell r="F3">
            <v>45474</v>
          </cell>
          <cell r="G3">
            <v>45505</v>
          </cell>
          <cell r="H3">
            <v>45536</v>
          </cell>
          <cell r="I3">
            <v>45566</v>
          </cell>
          <cell r="J3">
            <v>45597</v>
          </cell>
          <cell r="K3">
            <v>45627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tr.customer tariff-PUCSL method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/>
      <sheetData sheetId="1"/>
      <sheetData sheetId="2"/>
      <sheetData sheetId="3">
        <row r="5">
          <cell r="H5">
            <v>2621.5090222564399</v>
          </cell>
        </row>
      </sheetData>
      <sheetData sheetId="4"/>
      <sheetData sheetId="5">
        <row r="3">
          <cell r="C3">
            <v>44562</v>
          </cell>
          <cell r="D3">
            <v>44593</v>
          </cell>
          <cell r="E3">
            <v>44621</v>
          </cell>
          <cell r="F3">
            <v>44652</v>
          </cell>
          <cell r="G3">
            <v>44682</v>
          </cell>
          <cell r="H3">
            <v>44713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Sojitz"/>
      <sheetName val="DAPL"/>
      <sheetName val="DCPL"/>
      <sheetName val="DPUT"/>
      <sheetName val="DLDL"/>
      <sheetName val="DAGG"/>
      <sheetName val="DEMB"/>
      <sheetName val="CCKW"/>
      <sheetName val="DNOR"/>
      <sheetName val="Altaaqa-Mahi"/>
      <sheetName val="EMG"/>
      <sheetName val="AM - Thulhiriya"/>
      <sheetName val="AM-Kolonnawa"/>
      <sheetName val="AM-Mathugama"/>
      <sheetName val="Altaaqa-Pol"/>
      <sheetName val="Inputs"/>
      <sheetName val="RENW"/>
      <sheetName val="Average Cost"/>
      <sheetName val="auxiliary"/>
    </sheetNames>
    <sheetDataSet>
      <sheetData sheetId="0"/>
      <sheetData sheetId="1">
        <row r="3">
          <cell r="F3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DMAT"/>
      <sheetName val="CAES"/>
      <sheetName val="DAPL"/>
      <sheetName val="DCPL"/>
      <sheetName val="DPUT"/>
      <sheetName val="DLDL"/>
      <sheetName val="DAGG"/>
      <sheetName val="DEMB"/>
      <sheetName val="CCKW"/>
      <sheetName val="DNOR"/>
      <sheetName val="Inputs"/>
      <sheetName val="RENW"/>
      <sheetName val="auxiliary"/>
      <sheetName val="Average Cost"/>
      <sheetName val="Sheet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 220"/>
      <sheetName val="Gen. Capacity 132"/>
      <sheetName val="Gen. Capacity 33"/>
      <sheetName val="TR &amp; BSS, TLF"/>
      <sheetName val="Gen. Energy Cost"/>
      <sheetName val="Gen. Energy Cost 220"/>
      <sheetName val="Gen. Energy Cost 132"/>
      <sheetName val="Gen. Energy Cost 33"/>
      <sheetName val="energy cost calc"/>
      <sheetName val="tx consumer data"/>
      <sheetName val="Transmission Tariff_2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Sojitz"/>
      <sheetName val="DAPL"/>
      <sheetName val="DCPL"/>
      <sheetName val="DPUT"/>
      <sheetName val="DLDL"/>
      <sheetName val="DAGG"/>
      <sheetName val="DEMB"/>
      <sheetName val="CCKW"/>
      <sheetName val="DNOR"/>
      <sheetName val="EMG"/>
      <sheetName val="AM - Thulhiriya"/>
      <sheetName val="AM-Kolonnawa"/>
      <sheetName val="AM-Mathugama"/>
      <sheetName val="Inputs"/>
      <sheetName val="RENW"/>
      <sheetName val="Average Cost"/>
      <sheetName val="auxiliary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1599.83196835233</v>
          </cell>
          <cell r="D17">
            <v>1816.2283691289499</v>
          </cell>
          <cell r="E17">
            <v>1898.6825800311301</v>
          </cell>
          <cell r="F17">
            <v>1762.1945224713299</v>
          </cell>
          <cell r="G17">
            <v>1736.52058837803</v>
          </cell>
          <cell r="H17">
            <v>1766.90615313271</v>
          </cell>
        </row>
        <row r="23">
          <cell r="C23">
            <v>2278.1212428348399</v>
          </cell>
          <cell r="D23">
            <v>2387.2653012057999</v>
          </cell>
          <cell r="E23">
            <v>2478.7495372139101</v>
          </cell>
          <cell r="F23">
            <v>2319.1934660245502</v>
          </cell>
          <cell r="G23">
            <v>2267.1779044706</v>
          </cell>
          <cell r="H23">
            <v>2266.6060409473598</v>
          </cell>
        </row>
        <row r="27">
          <cell r="C27">
            <v>2323.7134093252698</v>
          </cell>
          <cell r="D27">
            <v>2437.3984453723001</v>
          </cell>
          <cell r="E27">
            <v>2531.7729656372999</v>
          </cell>
          <cell r="F27">
            <v>2372.6083144566201</v>
          </cell>
          <cell r="G27">
            <v>2295.1119602578201</v>
          </cell>
          <cell r="H27">
            <v>2274.9483306731099</v>
          </cell>
        </row>
        <row r="139">
          <cell r="C139">
            <v>735.89994061729999</v>
          </cell>
          <cell r="D139">
            <v>687.64341286753199</v>
          </cell>
          <cell r="E139">
            <v>789.18650285225999</v>
          </cell>
          <cell r="F139">
            <v>734.79712329444396</v>
          </cell>
          <cell r="G139">
            <v>781.18956770391105</v>
          </cell>
          <cell r="H139">
            <v>772.73219055566301</v>
          </cell>
        </row>
        <row r="140"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5">
          <cell r="C145">
            <v>294.10085654952002</v>
          </cell>
          <cell r="D145">
            <v>274.815237184735</v>
          </cell>
          <cell r="E145">
            <v>315.396718569477</v>
          </cell>
          <cell r="F145">
            <v>293.66011793633601</v>
          </cell>
          <cell r="G145">
            <v>312.20076033237302</v>
          </cell>
          <cell r="H145">
            <v>308.820787422774</v>
          </cell>
        </row>
        <row r="146">
          <cell r="C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51">
          <cell r="C151">
            <v>265.597689835469</v>
          </cell>
          <cell r="D151">
            <v>248.181161334232</v>
          </cell>
          <cell r="E151">
            <v>284.82963571252299</v>
          </cell>
          <cell r="F151">
            <v>265.199665977748</v>
          </cell>
          <cell r="G151">
            <v>281.94341792130598</v>
          </cell>
          <cell r="H151">
            <v>278.89101947871598</v>
          </cell>
        </row>
        <row r="152"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</sheetData>
      <sheetData sheetId="7">
        <row r="10">
          <cell r="E10">
            <v>12.2194462035571</v>
          </cell>
          <cell r="Q10">
            <v>14.4563472393439</v>
          </cell>
          <cell r="W10">
            <v>14.1330496045882</v>
          </cell>
          <cell r="AC10">
            <v>12.2712774547464</v>
          </cell>
          <cell r="AI10">
            <v>11.6494474471553</v>
          </cell>
        </row>
        <row r="11">
          <cell r="E11">
            <v>15.885280064624199</v>
          </cell>
          <cell r="Q11">
            <v>18.7932514111471</v>
          </cell>
          <cell r="W11">
            <v>18.372964485964602</v>
          </cell>
          <cell r="AC11">
            <v>15.9526606911703</v>
          </cell>
          <cell r="AI11">
            <v>15.1442816813019</v>
          </cell>
        </row>
        <row r="12">
          <cell r="E12">
            <v>7.3316677221342603</v>
          </cell>
          <cell r="Q12">
            <v>8.6738083436063391</v>
          </cell>
          <cell r="W12">
            <v>8.4798297627528996</v>
          </cell>
          <cell r="AC12">
            <v>7.3627664728478104</v>
          </cell>
          <cell r="AI12">
            <v>6.9896684682931802</v>
          </cell>
        </row>
      </sheetData>
      <sheetData sheetId="8">
        <row r="10">
          <cell r="B10">
            <v>346.77433784283397</v>
          </cell>
          <cell r="H10">
            <v>355.581676216787</v>
          </cell>
          <cell r="N10">
            <v>411.55221766328299</v>
          </cell>
          <cell r="T10">
            <v>369.64598063158201</v>
          </cell>
          <cell r="Z10">
            <v>376.40251545005901</v>
          </cell>
          <cell r="AF10">
            <v>370.63431382294698</v>
          </cell>
        </row>
        <row r="11">
          <cell r="B11">
            <v>119.814608368211</v>
          </cell>
          <cell r="H11">
            <v>122.857647263781</v>
          </cell>
          <cell r="N11">
            <v>142.196126994678</v>
          </cell>
          <cell r="T11">
            <v>127.71702969649699</v>
          </cell>
          <cell r="Z11">
            <v>130.05149186644201</v>
          </cell>
          <cell r="AF11">
            <v>128.05851042715699</v>
          </cell>
        </row>
        <row r="12">
          <cell r="B12">
            <v>333.04042950582999</v>
          </cell>
          <cell r="H12">
            <v>341.49895551185199</v>
          </cell>
          <cell r="N12">
            <v>395.25279807982002</v>
          </cell>
          <cell r="T12">
            <v>355.006246772623</v>
          </cell>
          <cell r="Z12">
            <v>361.49519076978902</v>
          </cell>
          <cell r="AF12">
            <v>355.95543728249299</v>
          </cell>
        </row>
      </sheetData>
      <sheetData sheetId="9">
        <row r="10">
          <cell r="B10">
            <v>661.49876922741498</v>
          </cell>
          <cell r="H10">
            <v>625.450960778065</v>
          </cell>
          <cell r="N10">
            <v>719.196209778303</v>
          </cell>
          <cell r="T10">
            <v>652.10494830072003</v>
          </cell>
          <cell r="Z10">
            <v>163.16693057260699</v>
          </cell>
          <cell r="AF10">
            <v>636.68499759382303</v>
          </cell>
        </row>
        <row r="11">
          <cell r="B11">
            <v>167.73529737018001</v>
          </cell>
          <cell r="H11">
            <v>158.59470610822399</v>
          </cell>
          <cell r="N11">
            <v>182.365554898255</v>
          </cell>
          <cell r="T11">
            <v>165.35331962527599</v>
          </cell>
          <cell r="Z11">
            <v>41.374005355354903</v>
          </cell>
          <cell r="AF11">
            <v>161.44330476572301</v>
          </cell>
        </row>
        <row r="12">
          <cell r="B12">
            <v>322.89178372262501</v>
          </cell>
          <cell r="H12">
            <v>305.296072723652</v>
          </cell>
          <cell r="N12">
            <v>351.05514601801599</v>
          </cell>
          <cell r="T12">
            <v>318.30645758734897</v>
          </cell>
          <cell r="Z12">
            <v>79.645289920444597</v>
          </cell>
          <cell r="AF12">
            <v>310.77964783306999</v>
          </cell>
        </row>
      </sheetData>
      <sheetData sheetId="10">
        <row r="10">
          <cell r="B10">
            <v>735.89994061729999</v>
          </cell>
          <cell r="H10">
            <v>687.64341286753199</v>
          </cell>
          <cell r="N10">
            <v>789.18650285225999</v>
          </cell>
          <cell r="T10">
            <v>734.79712329444396</v>
          </cell>
          <cell r="Z10">
            <v>781.18956770391105</v>
          </cell>
          <cell r="AF10">
            <v>772.73219055566301</v>
          </cell>
        </row>
        <row r="11">
          <cell r="B11">
            <v>294.10085654952002</v>
          </cell>
          <cell r="H11">
            <v>274.815237184735</v>
          </cell>
          <cell r="N11">
            <v>315.396718569477</v>
          </cell>
          <cell r="T11">
            <v>293.66011793633601</v>
          </cell>
          <cell r="Z11">
            <v>312.20076033237302</v>
          </cell>
          <cell r="AF11">
            <v>308.820787422774</v>
          </cell>
        </row>
        <row r="12">
          <cell r="B12">
            <v>265.597689835469</v>
          </cell>
          <cell r="H12">
            <v>248.181161334232</v>
          </cell>
          <cell r="N12">
            <v>284.82963571252299</v>
          </cell>
          <cell r="T12">
            <v>265.199665977748</v>
          </cell>
          <cell r="Z12">
            <v>281.94341792130598</v>
          </cell>
          <cell r="AF12">
            <v>278.89101947871598</v>
          </cell>
        </row>
      </sheetData>
      <sheetData sheetId="11">
        <row r="12">
          <cell r="C12">
            <v>12.803171901992799</v>
          </cell>
          <cell r="E12">
            <v>12.838471152893501</v>
          </cell>
        </row>
        <row r="13">
          <cell r="C13">
            <v>16.830587174965899</v>
          </cell>
          <cell r="E13">
            <v>16.846442372710001</v>
          </cell>
        </row>
        <row r="14">
          <cell r="C14">
            <v>7.7322532768237302</v>
          </cell>
          <cell r="E14">
            <v>7.7525940167199199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CCKP"/>
      <sheetName val="GT07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Sheet1"/>
      <sheetName val="Sheet3"/>
      <sheetName val="Sheet2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SGPS 01"/>
      <sheetName val="SGPS 02"/>
      <sheetName val="SGPS 03"/>
      <sheetName val="Sobadhanavi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  <sheetName val="Sheet1"/>
    </sheetNames>
    <sheetDataSet>
      <sheetData sheetId="0"/>
      <sheetData sheetId="1">
        <row r="3">
          <cell r="F3">
            <v>45292</v>
          </cell>
          <cell r="G3">
            <v>45323</v>
          </cell>
          <cell r="H3">
            <v>45352</v>
          </cell>
          <cell r="I3">
            <v>45383</v>
          </cell>
          <cell r="J3">
            <v>45413</v>
          </cell>
          <cell r="K3">
            <v>45444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SGPS 01"/>
      <sheetName val="SGPS 02"/>
      <sheetName val="Sobadhanavi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  <sheetName val="Sheet1"/>
    </sheetNames>
    <sheetDataSet>
      <sheetData sheetId="0"/>
      <sheetData sheetId="1">
        <row r="57">
          <cell r="J57">
            <v>0.33511000000000002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C4">
            <v>45292</v>
          </cell>
        </row>
      </sheetData>
      <sheetData sheetId="53"/>
      <sheetData sheetId="54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tr.customer tariff-PUCSL method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Sheet1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tr.customer tariff-PUCSL method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/>
      <sheetData sheetId="3" refreshError="1"/>
      <sheetData sheetId="4">
        <row r="5">
          <cell r="C5">
            <v>2611.8781706940536</v>
          </cell>
        </row>
      </sheetData>
      <sheetData sheetId="5" refreshError="1"/>
      <sheetData sheetId="6">
        <row r="4">
          <cell r="C4">
            <v>934.46942762330207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4">
          <cell r="D4" t="str">
            <v>Coal</v>
          </cell>
        </row>
        <row r="5">
          <cell r="D5" t="str">
            <v>Crude</v>
          </cell>
        </row>
        <row r="6">
          <cell r="D6" t="str">
            <v>Auto Diesel</v>
          </cell>
        </row>
        <row r="7">
          <cell r="D7" t="str">
            <v>Heavy Fuel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0.emf"/><Relationship Id="rId4" Type="http://schemas.openxmlformats.org/officeDocument/2006/relationships/control" Target="../activeX/activeX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1.emf"/><Relationship Id="rId4" Type="http://schemas.openxmlformats.org/officeDocument/2006/relationships/control" Target="../activeX/activeX8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1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0.xml"/><Relationship Id="rId5" Type="http://schemas.openxmlformats.org/officeDocument/2006/relationships/image" Target="../media/image12.emf"/><Relationship Id="rId4" Type="http://schemas.openxmlformats.org/officeDocument/2006/relationships/control" Target="../activeX/activeX9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14.emf"/><Relationship Id="rId4" Type="http://schemas.openxmlformats.org/officeDocument/2006/relationships/control" Target="../activeX/activeX1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14.emf"/><Relationship Id="rId4" Type="http://schemas.openxmlformats.org/officeDocument/2006/relationships/control" Target="../activeX/activeX1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4.emf"/><Relationship Id="rId4" Type="http://schemas.openxmlformats.org/officeDocument/2006/relationships/control" Target="../activeX/activeX11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11.emf"/><Relationship Id="rId4" Type="http://schemas.openxmlformats.org/officeDocument/2006/relationships/control" Target="../activeX/activeX14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14.emf"/><Relationship Id="rId4" Type="http://schemas.openxmlformats.org/officeDocument/2006/relationships/control" Target="../activeX/activeX15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14.emf"/><Relationship Id="rId4" Type="http://schemas.openxmlformats.org/officeDocument/2006/relationships/control" Target="../activeX/activeX16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14.emf"/><Relationship Id="rId4" Type="http://schemas.openxmlformats.org/officeDocument/2006/relationships/control" Target="../activeX/activeX17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15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8.bin"/><Relationship Id="rId6" Type="http://schemas.openxmlformats.org/officeDocument/2006/relationships/control" Target="../activeX/activeX19.xml"/><Relationship Id="rId5" Type="http://schemas.openxmlformats.org/officeDocument/2006/relationships/image" Target="../media/image14.emf"/><Relationship Id="rId4" Type="http://schemas.openxmlformats.org/officeDocument/2006/relationships/control" Target="../activeX/activeX18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15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9.bin"/><Relationship Id="rId6" Type="http://schemas.openxmlformats.org/officeDocument/2006/relationships/control" Target="../activeX/activeX21.xml"/><Relationship Id="rId5" Type="http://schemas.openxmlformats.org/officeDocument/2006/relationships/image" Target="../media/image11.emf"/><Relationship Id="rId4" Type="http://schemas.openxmlformats.org/officeDocument/2006/relationships/control" Target="../activeX/activeX20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16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0.bin"/><Relationship Id="rId6" Type="http://schemas.openxmlformats.org/officeDocument/2006/relationships/control" Target="../activeX/activeX23.xml"/><Relationship Id="rId5" Type="http://schemas.openxmlformats.org/officeDocument/2006/relationships/image" Target="../media/image14.emf"/><Relationship Id="rId4" Type="http://schemas.openxmlformats.org/officeDocument/2006/relationships/control" Target="../activeX/activeX22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11.emf"/><Relationship Id="rId4" Type="http://schemas.openxmlformats.org/officeDocument/2006/relationships/control" Target="../activeX/activeX24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11.emf"/><Relationship Id="rId4" Type="http://schemas.openxmlformats.org/officeDocument/2006/relationships/control" Target="../activeX/activeX2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14.emf"/><Relationship Id="rId4" Type="http://schemas.openxmlformats.org/officeDocument/2006/relationships/control" Target="../activeX/activeX26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14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8.bin"/><Relationship Id="rId6" Type="http://schemas.openxmlformats.org/officeDocument/2006/relationships/control" Target="../activeX/activeX28.xml"/><Relationship Id="rId5" Type="http://schemas.openxmlformats.org/officeDocument/2006/relationships/image" Target="../media/image17.emf"/><Relationship Id="rId4" Type="http://schemas.openxmlformats.org/officeDocument/2006/relationships/control" Target="../activeX/activeX27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11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9.bin"/><Relationship Id="rId6" Type="http://schemas.openxmlformats.org/officeDocument/2006/relationships/control" Target="../activeX/activeX30.xml"/><Relationship Id="rId5" Type="http://schemas.openxmlformats.org/officeDocument/2006/relationships/image" Target="../media/image18.emf"/><Relationship Id="rId4" Type="http://schemas.openxmlformats.org/officeDocument/2006/relationships/control" Target="../activeX/activeX29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14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0.bin"/><Relationship Id="rId6" Type="http://schemas.openxmlformats.org/officeDocument/2006/relationships/control" Target="../activeX/activeX32.xml"/><Relationship Id="rId5" Type="http://schemas.openxmlformats.org/officeDocument/2006/relationships/image" Target="../media/image17.emf"/><Relationship Id="rId4" Type="http://schemas.openxmlformats.org/officeDocument/2006/relationships/control" Target="../activeX/activeX31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14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1.bin"/><Relationship Id="rId6" Type="http://schemas.openxmlformats.org/officeDocument/2006/relationships/control" Target="../activeX/activeX34.xml"/><Relationship Id="rId5" Type="http://schemas.openxmlformats.org/officeDocument/2006/relationships/image" Target="../media/image17.emf"/><Relationship Id="rId4" Type="http://schemas.openxmlformats.org/officeDocument/2006/relationships/control" Target="../activeX/activeX33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19.emf"/><Relationship Id="rId4" Type="http://schemas.openxmlformats.org/officeDocument/2006/relationships/control" Target="../activeX/activeX3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L38"/>
  <sheetViews>
    <sheetView showGridLines="0" topLeftCell="A4" workbookViewId="0">
      <selection activeCell="B41" sqref="B41"/>
    </sheetView>
  </sheetViews>
  <sheetFormatPr defaultColWidth="11" defaultRowHeight="12.6" x14ac:dyDescent="0.2"/>
  <cols>
    <col min="1" max="1" width="11" style="33" customWidth="1"/>
    <col min="2" max="2" width="18.7265625" style="33" customWidth="1"/>
    <col min="3" max="4" width="11" style="33" customWidth="1"/>
    <col min="5" max="5" width="15" style="33" customWidth="1"/>
    <col min="6" max="6" width="6" style="33" customWidth="1"/>
    <col min="7" max="7" width="16" style="33" customWidth="1"/>
    <col min="8" max="8" width="15.453125" style="33" customWidth="1"/>
    <col min="9" max="9" width="11" style="33" customWidth="1"/>
    <col min="10" max="10" width="14.7265625" style="33" customWidth="1"/>
    <col min="11" max="11" width="11" style="33" customWidth="1"/>
    <col min="12" max="12" width="6" style="33" customWidth="1"/>
    <col min="13" max="16384" width="11" style="33"/>
  </cols>
  <sheetData>
    <row r="1" spans="2:12" ht="13.2" thickBot="1" x14ac:dyDescent="0.25"/>
    <row r="2" spans="2:12" ht="30.75" customHeight="1" thickTop="1" x14ac:dyDescent="0.2">
      <c r="G2" s="2916" t="s">
        <v>613</v>
      </c>
      <c r="H2" s="2917"/>
      <c r="I2" s="2917"/>
      <c r="J2" s="2917"/>
      <c r="K2" s="2918"/>
    </row>
    <row r="3" spans="2:12" ht="13.2" thickBot="1" x14ac:dyDescent="0.25">
      <c r="G3" s="2919"/>
      <c r="H3" s="2920"/>
      <c r="I3" s="2920"/>
      <c r="J3" s="2920"/>
      <c r="K3" s="2921"/>
    </row>
    <row r="4" spans="2:12" ht="12.75" customHeight="1" thickTop="1" x14ac:dyDescent="0.2">
      <c r="G4"/>
      <c r="H4"/>
      <c r="I4"/>
      <c r="J4"/>
    </row>
    <row r="5" spans="2:12" ht="12.75" customHeight="1" thickBot="1" x14ac:dyDescent="0.25">
      <c r="G5" s="37" t="s">
        <v>67</v>
      </c>
    </row>
    <row r="6" spans="2:12" ht="12.75" customHeight="1" x14ac:dyDescent="0.2">
      <c r="G6" s="762" t="s">
        <v>68</v>
      </c>
      <c r="H6" s="763" t="s">
        <v>73</v>
      </c>
      <c r="I6" s="763"/>
      <c r="J6" s="763"/>
      <c r="K6" s="763"/>
      <c r="L6" s="764"/>
    </row>
    <row r="7" spans="2:12" ht="12.75" customHeight="1" x14ac:dyDescent="0.2">
      <c r="G7" s="765" t="s">
        <v>69</v>
      </c>
      <c r="H7" s="33" t="s">
        <v>70</v>
      </c>
      <c r="L7" s="766"/>
    </row>
    <row r="8" spans="2:12" ht="12.75" customHeight="1" x14ac:dyDescent="0.2">
      <c r="G8" s="767" t="s">
        <v>71</v>
      </c>
      <c r="H8" s="33" t="s">
        <v>72</v>
      </c>
      <c r="L8" s="766"/>
    </row>
    <row r="9" spans="2:12" ht="12.75" customHeight="1" x14ac:dyDescent="0.2">
      <c r="G9" s="2250" t="s">
        <v>720</v>
      </c>
      <c r="H9" s="2251" t="s">
        <v>719</v>
      </c>
      <c r="I9"/>
      <c r="J9"/>
      <c r="L9" s="766"/>
    </row>
    <row r="10" spans="2:12" ht="12.75" customHeight="1" thickBot="1" x14ac:dyDescent="0.25">
      <c r="G10" s="2252" t="s">
        <v>720</v>
      </c>
      <c r="H10" s="770" t="s">
        <v>1173</v>
      </c>
      <c r="I10" s="106"/>
      <c r="J10" s="106"/>
      <c r="K10" s="768"/>
      <c r="L10" s="769"/>
    </row>
    <row r="11" spans="2:12" ht="15" customHeight="1" x14ac:dyDescent="0.3">
      <c r="B11" s="2913"/>
      <c r="C11" s="2913"/>
      <c r="D11" s="2913"/>
      <c r="E11" s="2913"/>
      <c r="F11" s="2914"/>
      <c r="G11"/>
      <c r="H11"/>
      <c r="I11"/>
      <c r="J11"/>
    </row>
    <row r="12" spans="2:12" ht="12.75" customHeight="1" x14ac:dyDescent="0.2"/>
    <row r="13" spans="2:12" x14ac:dyDescent="0.2">
      <c r="B13" s="34"/>
      <c r="C13" s="34"/>
      <c r="D13" s="34"/>
      <c r="E13" s="34"/>
      <c r="F13" s="34"/>
      <c r="G13" s="34"/>
      <c r="H13" s="34"/>
      <c r="I13" s="34"/>
      <c r="J13" s="34"/>
    </row>
    <row r="14" spans="2:12" ht="51" customHeight="1" x14ac:dyDescent="0.2">
      <c r="B14" s="35" t="s">
        <v>74</v>
      </c>
      <c r="C14" s="35"/>
      <c r="D14" s="2915" t="s">
        <v>75</v>
      </c>
      <c r="E14" s="2915"/>
      <c r="F14" s="35"/>
      <c r="G14" s="35" t="s">
        <v>76</v>
      </c>
      <c r="H14" s="35"/>
      <c r="I14" s="35" t="s">
        <v>66</v>
      </c>
    </row>
    <row r="20" spans="2:5" x14ac:dyDescent="0.2">
      <c r="B20" s="36"/>
    </row>
    <row r="21" spans="2:5" ht="13.2" thickBot="1" x14ac:dyDescent="0.25"/>
    <row r="22" spans="2:5" x14ac:dyDescent="0.2">
      <c r="B22" s="246" t="s">
        <v>163</v>
      </c>
      <c r="C22" s="247" t="s">
        <v>3</v>
      </c>
    </row>
    <row r="23" spans="2:5" x14ac:dyDescent="0.2">
      <c r="B23" s="221" t="s">
        <v>164</v>
      </c>
      <c r="C23" s="222" t="s">
        <v>4</v>
      </c>
    </row>
    <row r="24" spans="2:5" x14ac:dyDescent="0.2">
      <c r="B24" s="221" t="s">
        <v>165</v>
      </c>
      <c r="C24" s="222" t="s">
        <v>5</v>
      </c>
    </row>
    <row r="25" spans="2:5" x14ac:dyDescent="0.2">
      <c r="B25" s="221" t="s">
        <v>172</v>
      </c>
      <c r="C25" s="222" t="s">
        <v>6</v>
      </c>
    </row>
    <row r="26" spans="2:5" x14ac:dyDescent="0.2">
      <c r="B26" s="221" t="s">
        <v>166</v>
      </c>
      <c r="C26" s="222" t="s">
        <v>7</v>
      </c>
    </row>
    <row r="27" spans="2:5" x14ac:dyDescent="0.2">
      <c r="B27" s="221" t="s">
        <v>167</v>
      </c>
      <c r="C27" s="222" t="s">
        <v>8</v>
      </c>
    </row>
    <row r="28" spans="2:5" x14ac:dyDescent="0.2">
      <c r="B28" s="221" t="s">
        <v>168</v>
      </c>
      <c r="C28" s="954" t="s">
        <v>9</v>
      </c>
      <c r="D28" s="2326" t="s">
        <v>1220</v>
      </c>
      <c r="E28" s="2255"/>
    </row>
    <row r="29" spans="2:5" x14ac:dyDescent="0.2">
      <c r="B29" s="221" t="s">
        <v>169</v>
      </c>
      <c r="C29" s="222" t="s">
        <v>10</v>
      </c>
      <c r="D29" s="415"/>
      <c r="E29" s="2256"/>
    </row>
    <row r="30" spans="2:5" x14ac:dyDescent="0.2">
      <c r="B30" s="221" t="s">
        <v>170</v>
      </c>
      <c r="C30" s="222" t="s">
        <v>11</v>
      </c>
      <c r="D30" s="2326" t="s">
        <v>1219</v>
      </c>
      <c r="E30" s="2255"/>
    </row>
    <row r="31" spans="2:5" x14ac:dyDescent="0.2">
      <c r="B31" s="224" t="s">
        <v>461</v>
      </c>
      <c r="C31" s="222" t="s">
        <v>422</v>
      </c>
    </row>
    <row r="32" spans="2:5" x14ac:dyDescent="0.2">
      <c r="B32" s="221" t="s">
        <v>171</v>
      </c>
      <c r="C32" s="222" t="s">
        <v>13</v>
      </c>
    </row>
    <row r="33" spans="2:3" x14ac:dyDescent="0.2">
      <c r="B33" s="221" t="s">
        <v>173</v>
      </c>
      <c r="C33" s="222" t="s">
        <v>15</v>
      </c>
    </row>
    <row r="34" spans="2:3" x14ac:dyDescent="0.2">
      <c r="B34" s="948" t="s">
        <v>462</v>
      </c>
      <c r="C34" s="953" t="s">
        <v>463</v>
      </c>
    </row>
    <row r="35" spans="2:3" x14ac:dyDescent="0.2">
      <c r="B35" s="949" t="s">
        <v>716</v>
      </c>
      <c r="C35" s="954" t="s">
        <v>538</v>
      </c>
    </row>
    <row r="36" spans="2:3" x14ac:dyDescent="0.2">
      <c r="B36" s="949" t="s">
        <v>641</v>
      </c>
      <c r="C36" s="954" t="s">
        <v>643</v>
      </c>
    </row>
    <row r="37" spans="2:3" x14ac:dyDescent="0.2">
      <c r="B37" s="950" t="s">
        <v>1175</v>
      </c>
      <c r="C37" s="955" t="s">
        <v>1176</v>
      </c>
    </row>
    <row r="38" spans="2:3" ht="13.2" thickBot="1" x14ac:dyDescent="0.25">
      <c r="B38" s="227" t="s">
        <v>430</v>
      </c>
      <c r="C38" s="226" t="s">
        <v>464</v>
      </c>
    </row>
  </sheetData>
  <mergeCells count="3">
    <mergeCell ref="B11:F11"/>
    <mergeCell ref="D14:E14"/>
    <mergeCell ref="G2:K3"/>
  </mergeCells>
  <phoneticPr fontId="54" type="noConversion"/>
  <pageMargins left="0.75" right="0.75" top="1" bottom="1" header="0" footer="0"/>
  <pageSetup scale="73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55" r:id="rId4" name="CommandButton1">
          <controlPr defaultSize="0" autoLine="0" r:id="rId5">
            <anchor moveWithCells="1">
              <from>
                <xdr:col>0</xdr:col>
                <xdr:colOff>678180</xdr:colOff>
                <xdr:row>14</xdr:row>
                <xdr:rowOff>68580</xdr:rowOff>
              </from>
              <to>
                <xdr:col>1</xdr:col>
                <xdr:colOff>1150620</xdr:colOff>
                <xdr:row>16</xdr:row>
                <xdr:rowOff>22860</xdr:rowOff>
              </to>
            </anchor>
          </controlPr>
        </control>
      </mc:Choice>
      <mc:Fallback>
        <control shapeId="2055" r:id="rId4" name="CommandButton1"/>
      </mc:Fallback>
    </mc:AlternateContent>
    <mc:AlternateContent xmlns:mc="http://schemas.openxmlformats.org/markup-compatibility/2006">
      <mc:Choice Requires="x14">
        <control shapeId="2056" r:id="rId6" name="CommandButton2">
          <controlPr defaultSize="0" autoLine="0" r:id="rId7">
            <anchor moveWithCells="1">
              <from>
                <xdr:col>7</xdr:col>
                <xdr:colOff>754380</xdr:colOff>
                <xdr:row>14</xdr:row>
                <xdr:rowOff>30480</xdr:rowOff>
              </from>
              <to>
                <xdr:col>8</xdr:col>
                <xdr:colOff>853440</xdr:colOff>
                <xdr:row>15</xdr:row>
                <xdr:rowOff>144780</xdr:rowOff>
              </to>
            </anchor>
          </controlPr>
        </control>
      </mc:Choice>
      <mc:Fallback>
        <control shapeId="2056" r:id="rId6" name="CommandButton2"/>
      </mc:Fallback>
    </mc:AlternateContent>
    <mc:AlternateContent xmlns:mc="http://schemas.openxmlformats.org/markup-compatibility/2006">
      <mc:Choice Requires="x14">
        <control shapeId="2059" r:id="rId8" name="CommandButton5">
          <controlPr defaultSize="0" autoLine="0" r:id="rId9">
            <anchor moveWithCells="1">
              <from>
                <xdr:col>3</xdr:col>
                <xdr:colOff>160020</xdr:colOff>
                <xdr:row>14</xdr:row>
                <xdr:rowOff>38100</xdr:rowOff>
              </from>
              <to>
                <xdr:col>4</xdr:col>
                <xdr:colOff>632460</xdr:colOff>
                <xdr:row>15</xdr:row>
                <xdr:rowOff>152400</xdr:rowOff>
              </to>
            </anchor>
          </controlPr>
        </control>
      </mc:Choice>
      <mc:Fallback>
        <control shapeId="2059" r:id="rId8" name="CommandButton5"/>
      </mc:Fallback>
    </mc:AlternateContent>
    <mc:AlternateContent xmlns:mc="http://schemas.openxmlformats.org/markup-compatibility/2006">
      <mc:Choice Requires="x14">
        <control shapeId="2060" r:id="rId10" name="CommandButton6">
          <controlPr defaultSize="0" autoLine="0" r:id="rId11">
            <anchor moveWithCells="1">
              <from>
                <xdr:col>5</xdr:col>
                <xdr:colOff>274320</xdr:colOff>
                <xdr:row>14</xdr:row>
                <xdr:rowOff>38100</xdr:rowOff>
              </from>
              <to>
                <xdr:col>6</xdr:col>
                <xdr:colOff>1165860</xdr:colOff>
                <xdr:row>15</xdr:row>
                <xdr:rowOff>152400</xdr:rowOff>
              </to>
            </anchor>
          </controlPr>
        </control>
      </mc:Choice>
      <mc:Fallback>
        <control shapeId="2060" r:id="rId10" name="CommandButton6"/>
      </mc:Fallback>
    </mc:AlternateContent>
    <mc:AlternateContent xmlns:mc="http://schemas.openxmlformats.org/markup-compatibility/2006">
      <mc:Choice Requires="x14">
        <control shapeId="2061" r:id="rId12" name="CommandButton7">
          <controlPr defaultSize="0" autoLine="0" r:id="rId13">
            <anchor moveWithCells="1">
              <from>
                <xdr:col>5</xdr:col>
                <xdr:colOff>0</xdr:colOff>
                <xdr:row>16</xdr:row>
                <xdr:rowOff>76200</xdr:rowOff>
              </from>
              <to>
                <xdr:col>7</xdr:col>
                <xdr:colOff>342900</xdr:colOff>
                <xdr:row>18</xdr:row>
                <xdr:rowOff>30480</xdr:rowOff>
              </to>
            </anchor>
          </controlPr>
        </control>
      </mc:Choice>
      <mc:Fallback>
        <control shapeId="2061" r:id="rId12" name="CommandButton7"/>
      </mc:Fallback>
    </mc:AlternateContent>
    <mc:AlternateContent xmlns:mc="http://schemas.openxmlformats.org/markup-compatibility/2006">
      <mc:Choice Requires="x14">
        <control shapeId="2068" r:id="rId14" name="CommandButton3">
          <controlPr defaultSize="0" autoLine="0" r:id="rId15">
            <anchor moveWithCells="1">
              <from>
                <xdr:col>7</xdr:col>
                <xdr:colOff>754380</xdr:colOff>
                <xdr:row>16</xdr:row>
                <xdr:rowOff>0</xdr:rowOff>
              </from>
              <to>
                <xdr:col>8</xdr:col>
                <xdr:colOff>853440</xdr:colOff>
                <xdr:row>17</xdr:row>
                <xdr:rowOff>114300</xdr:rowOff>
              </to>
            </anchor>
          </controlPr>
        </control>
      </mc:Choice>
      <mc:Fallback>
        <control shapeId="2068" r:id="rId14" name="CommandButton3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tabColor rgb="FF00B050"/>
    <pageSetUpPr fitToPage="1"/>
  </sheetPr>
  <dimension ref="A1:U160"/>
  <sheetViews>
    <sheetView showGridLines="0" zoomScaleNormal="100" zoomScaleSheetLayoutView="90" workbookViewId="0">
      <selection activeCell="I22" sqref="I22"/>
    </sheetView>
  </sheetViews>
  <sheetFormatPr defaultRowHeight="12.6" x14ac:dyDescent="0.2"/>
  <cols>
    <col min="1" max="1" width="33.90625" customWidth="1"/>
    <col min="2" max="2" width="11.453125" style="2" customWidth="1"/>
    <col min="3" max="5" width="15.90625" hidden="1" customWidth="1"/>
    <col min="6" max="8" width="15.90625" bestFit="1" customWidth="1"/>
    <col min="9" max="9" width="17.36328125" bestFit="1" customWidth="1"/>
    <col min="10" max="10" width="18.36328125" bestFit="1" customWidth="1"/>
    <col min="11" max="11" width="19.6328125" customWidth="1"/>
    <col min="12" max="12" width="14.6328125" bestFit="1" customWidth="1"/>
  </cols>
  <sheetData>
    <row r="1" spans="1:21" ht="17.399999999999999" x14ac:dyDescent="0.3">
      <c r="A1" s="53" t="s">
        <v>340</v>
      </c>
      <c r="B1" s="131" t="s">
        <v>341</v>
      </c>
    </row>
    <row r="2" spans="1:21" ht="18" thickBot="1" x14ac:dyDescent="0.35">
      <c r="A2" s="53"/>
      <c r="B2" s="131"/>
      <c r="C2" s="298"/>
      <c r="D2" s="298"/>
      <c r="E2" s="298"/>
      <c r="F2" s="298"/>
      <c r="G2" s="298"/>
      <c r="H2" s="298"/>
      <c r="K2" s="561"/>
    </row>
    <row r="3" spans="1:21" ht="13.2" thickBot="1" x14ac:dyDescent="0.25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</row>
    <row r="4" spans="1:21" ht="13.2" x14ac:dyDescent="0.25">
      <c r="A4" s="147" t="s">
        <v>342</v>
      </c>
      <c r="B4" s="148">
        <v>821</v>
      </c>
      <c r="C4" s="381"/>
      <c r="D4" s="382"/>
      <c r="E4" s="382"/>
      <c r="F4" s="382"/>
      <c r="G4" s="383"/>
      <c r="H4" s="2552"/>
    </row>
    <row r="5" spans="1:21" ht="13.8" thickBot="1" x14ac:dyDescent="0.3">
      <c r="A5" s="2046" t="s">
        <v>310</v>
      </c>
      <c r="B5" s="1133"/>
      <c r="C5" s="1125"/>
      <c r="D5" s="1125"/>
      <c r="E5" s="1125"/>
      <c r="F5" s="1125"/>
      <c r="G5" s="90"/>
      <c r="H5" s="48"/>
    </row>
    <row r="6" spans="1:21" x14ac:dyDescent="0.2">
      <c r="A6" s="2037" t="s">
        <v>311</v>
      </c>
      <c r="B6" s="90" t="s">
        <v>312</v>
      </c>
      <c r="C6" s="1126">
        <f>SUM(C7:C15)</f>
        <v>58055367</v>
      </c>
      <c r="D6" s="1126">
        <f>SUM(D7:D15)</f>
        <v>73530723.039999992</v>
      </c>
      <c r="E6" s="1126">
        <f t="shared" ref="E6:H6" si="0">SUM(E7:E15)</f>
        <v>59722034</v>
      </c>
      <c r="F6" s="1126">
        <f t="shared" si="0"/>
        <v>66239577.333333328</v>
      </c>
      <c r="G6" s="1126">
        <f t="shared" si="0"/>
        <v>66210757.333333328</v>
      </c>
      <c r="H6" s="1126">
        <f t="shared" si="0"/>
        <v>66181674.333333328</v>
      </c>
      <c r="I6" s="150">
        <f>SUM(C6:H6)</f>
        <v>389940133.03999996</v>
      </c>
      <c r="J6" s="2696">
        <f>+I6+I33+I59+I86+I112</f>
        <v>1725324366.2550001</v>
      </c>
      <c r="K6" s="2623">
        <f>+H7+H34+H60+H87+H113</f>
        <v>56478061.458333328</v>
      </c>
      <c r="P6" s="150"/>
      <c r="Q6" s="150"/>
      <c r="R6" s="150"/>
      <c r="S6" s="150"/>
      <c r="T6" s="150"/>
      <c r="U6" s="150"/>
    </row>
    <row r="7" spans="1:21" x14ac:dyDescent="0.2">
      <c r="A7" s="1051" t="s">
        <v>753</v>
      </c>
      <c r="B7" s="90"/>
      <c r="C7" s="1129">
        <v>13203257</v>
      </c>
      <c r="D7" s="1129">
        <v>13203257</v>
      </c>
      <c r="E7" s="1129">
        <v>13203257</v>
      </c>
      <c r="F7" s="1129">
        <f>13203257+5892543.33333333</f>
        <v>19095800.333333328</v>
      </c>
      <c r="G7" s="1129">
        <f t="shared" ref="G7:H7" si="1">13203257+5892543.33333333</f>
        <v>19095800.333333328</v>
      </c>
      <c r="H7" s="1129">
        <f t="shared" si="1"/>
        <v>19095800.333333328</v>
      </c>
      <c r="I7" s="150">
        <f>SUM(C7:H7)</f>
        <v>96897171.999999985</v>
      </c>
      <c r="J7" s="2696">
        <f>+I7+I34+I60+I87+I113</f>
        <v>299915863.375</v>
      </c>
      <c r="K7" s="2624">
        <f>12692.537791*1000</f>
        <v>12692537.791000001</v>
      </c>
      <c r="L7" s="150"/>
      <c r="P7" s="150"/>
      <c r="Q7" s="150"/>
      <c r="R7" s="150"/>
      <c r="S7" s="150"/>
      <c r="T7" s="150"/>
      <c r="U7" s="150"/>
    </row>
    <row r="8" spans="1:21" x14ac:dyDescent="0.2">
      <c r="A8" s="2048" t="s">
        <v>758</v>
      </c>
      <c r="B8" s="90"/>
      <c r="C8" s="1129">
        <v>15709993</v>
      </c>
      <c r="D8" s="1129">
        <v>15709993</v>
      </c>
      <c r="E8" s="1129">
        <v>15709993</v>
      </c>
      <c r="F8" s="1129">
        <v>15709993</v>
      </c>
      <c r="G8" s="1129">
        <v>15709993</v>
      </c>
      <c r="H8" s="1129">
        <v>15709993</v>
      </c>
      <c r="I8" s="150">
        <f t="shared" ref="I8:I28" si="2">SUM(C8:H8)</f>
        <v>94259958</v>
      </c>
      <c r="J8" s="2696">
        <f t="shared" ref="J8:J27" si="3">+I8+I35+I61+I88+I114</f>
        <v>114164538</v>
      </c>
      <c r="K8" s="2625">
        <f>SUM(K6:K7)</f>
        <v>69170599.249333322</v>
      </c>
      <c r="L8" s="150"/>
      <c r="P8" s="150"/>
      <c r="Q8" s="150"/>
      <c r="R8" s="150"/>
      <c r="S8" s="150"/>
      <c r="T8" s="150"/>
      <c r="U8" s="150"/>
    </row>
    <row r="9" spans="1:21" ht="13.2" thickBot="1" x14ac:dyDescent="0.25">
      <c r="A9" s="2048" t="s">
        <v>754</v>
      </c>
      <c r="B9" s="90"/>
      <c r="C9" s="1129">
        <v>1015408</v>
      </c>
      <c r="D9" s="1129">
        <v>1015408</v>
      </c>
      <c r="E9" s="1129">
        <v>1015408</v>
      </c>
      <c r="F9" s="1129">
        <v>1015408</v>
      </c>
      <c r="G9" s="1129">
        <v>1015408</v>
      </c>
      <c r="H9" s="1129">
        <v>1015408</v>
      </c>
      <c r="I9" s="150">
        <f t="shared" si="2"/>
        <v>6092448</v>
      </c>
      <c r="J9" s="2696">
        <f t="shared" si="3"/>
        <v>17830308</v>
      </c>
      <c r="K9" s="2626">
        <f>+K8*12</f>
        <v>830047190.99199986</v>
      </c>
      <c r="L9" s="150"/>
      <c r="P9" s="150"/>
      <c r="Q9" s="150"/>
      <c r="R9" s="150"/>
      <c r="S9" s="150"/>
      <c r="T9" s="150"/>
      <c r="U9" s="150"/>
    </row>
    <row r="10" spans="1:21" x14ac:dyDescent="0.2">
      <c r="A10" s="2048" t="s">
        <v>755</v>
      </c>
      <c r="B10" s="90"/>
      <c r="C10" s="1129">
        <v>2299295</v>
      </c>
      <c r="D10" s="1129">
        <v>2299295</v>
      </c>
      <c r="E10" s="1129">
        <v>2299295</v>
      </c>
      <c r="F10" s="1129">
        <v>2299295</v>
      </c>
      <c r="G10" s="1129">
        <v>2299295</v>
      </c>
      <c r="H10" s="1129">
        <v>2299295</v>
      </c>
      <c r="I10" s="150">
        <f t="shared" si="2"/>
        <v>13795770</v>
      </c>
      <c r="J10" s="2696">
        <f t="shared" si="3"/>
        <v>28998522</v>
      </c>
      <c r="K10" s="150"/>
      <c r="L10" s="150"/>
      <c r="P10" s="150"/>
      <c r="Q10" s="150"/>
      <c r="R10" s="150"/>
      <c r="S10" s="150"/>
      <c r="T10" s="150"/>
      <c r="U10" s="150"/>
    </row>
    <row r="11" spans="1:21" x14ac:dyDescent="0.2">
      <c r="A11" s="2048" t="s">
        <v>752</v>
      </c>
      <c r="B11" s="90"/>
      <c r="C11" s="1129">
        <f>52132015*0.2</f>
        <v>10426403</v>
      </c>
      <c r="D11" s="1129">
        <f t="shared" ref="D11:H11" si="4">52132015*0.2</f>
        <v>10426403</v>
      </c>
      <c r="E11" s="1129">
        <f t="shared" si="4"/>
        <v>10426403</v>
      </c>
      <c r="F11" s="1129">
        <f t="shared" si="4"/>
        <v>10426403</v>
      </c>
      <c r="G11" s="1129">
        <f t="shared" si="4"/>
        <v>10426403</v>
      </c>
      <c r="H11" s="1129">
        <f t="shared" si="4"/>
        <v>10426403</v>
      </c>
      <c r="I11" s="150">
        <f t="shared" si="2"/>
        <v>62558418</v>
      </c>
      <c r="J11" s="2696">
        <f t="shared" si="3"/>
        <v>212745538.80000001</v>
      </c>
      <c r="K11" s="150"/>
      <c r="L11" s="150"/>
      <c r="P11" s="150"/>
      <c r="Q11" s="150"/>
      <c r="R11" s="150"/>
      <c r="S11" s="150"/>
      <c r="T11" s="150"/>
      <c r="U11" s="150"/>
    </row>
    <row r="12" spans="1:21" x14ac:dyDescent="0.2">
      <c r="A12" s="2048" t="s">
        <v>757</v>
      </c>
      <c r="B12" s="90"/>
      <c r="C12" s="1169">
        <v>1819564</v>
      </c>
      <c r="D12" s="1169">
        <f>1819564+14558689.04</f>
        <v>16378253.039999999</v>
      </c>
      <c r="E12" s="1169">
        <v>1819564</v>
      </c>
      <c r="F12" s="1169">
        <v>1819564</v>
      </c>
      <c r="G12" s="1169">
        <v>1819564</v>
      </c>
      <c r="H12" s="1169">
        <v>1819564</v>
      </c>
      <c r="I12" s="150">
        <f t="shared" si="2"/>
        <v>25476073.039999999</v>
      </c>
      <c r="J12" s="2696">
        <f t="shared" si="3"/>
        <v>604093212.08000004</v>
      </c>
      <c r="K12" s="150"/>
      <c r="L12" s="150"/>
      <c r="P12" s="150"/>
      <c r="Q12" s="150"/>
      <c r="R12" s="150"/>
      <c r="S12" s="150"/>
      <c r="T12" s="150"/>
      <c r="U12" s="150"/>
    </row>
    <row r="13" spans="1:21" x14ac:dyDescent="0.2">
      <c r="A13" s="2048" t="s">
        <v>756</v>
      </c>
      <c r="B13" s="90"/>
      <c r="C13" s="1169">
        <v>0</v>
      </c>
      <c r="D13" s="1169">
        <v>916667</v>
      </c>
      <c r="E13" s="1169">
        <v>1666667</v>
      </c>
      <c r="F13" s="1169">
        <v>2291667</v>
      </c>
      <c r="G13" s="1169">
        <v>2262847</v>
      </c>
      <c r="H13" s="1169">
        <v>2233764</v>
      </c>
      <c r="I13" s="150">
        <f t="shared" si="2"/>
        <v>9371612</v>
      </c>
      <c r="J13" s="2696">
        <f t="shared" si="3"/>
        <v>241576386</v>
      </c>
      <c r="K13" s="150">
        <v>1616667</v>
      </c>
      <c r="L13" s="150"/>
      <c r="P13" s="150"/>
      <c r="Q13" s="150"/>
      <c r="R13" s="150"/>
      <c r="S13" s="150"/>
      <c r="T13" s="150"/>
      <c r="U13" s="150"/>
    </row>
    <row r="14" spans="1:21" x14ac:dyDescent="0.2">
      <c r="A14" s="2048" t="s">
        <v>814</v>
      </c>
      <c r="B14" s="90"/>
      <c r="C14" s="1129">
        <v>13581447</v>
      </c>
      <c r="D14" s="1129">
        <v>13581447</v>
      </c>
      <c r="E14" s="1129">
        <v>13581447</v>
      </c>
      <c r="F14" s="1129">
        <v>13581447</v>
      </c>
      <c r="G14" s="1129">
        <v>13581447</v>
      </c>
      <c r="H14" s="1129">
        <v>13581447</v>
      </c>
      <c r="I14" s="150">
        <f t="shared" si="2"/>
        <v>81488682</v>
      </c>
      <c r="J14" s="2696">
        <f t="shared" si="3"/>
        <v>205999998</v>
      </c>
      <c r="K14" s="150">
        <v>4616667</v>
      </c>
      <c r="L14" s="150"/>
      <c r="P14" s="150"/>
      <c r="Q14" s="150"/>
      <c r="R14" s="150"/>
      <c r="S14" s="150"/>
      <c r="T14" s="150"/>
      <c r="U14" s="150"/>
    </row>
    <row r="15" spans="1:21" s="185" customFormat="1" x14ac:dyDescent="0.2">
      <c r="A15" s="2048" t="s">
        <v>815</v>
      </c>
      <c r="B15" s="90"/>
      <c r="C15" s="1129">
        <v>0</v>
      </c>
      <c r="D15" s="1129">
        <v>0</v>
      </c>
      <c r="E15" s="1129">
        <v>0</v>
      </c>
      <c r="F15" s="1129">
        <v>0</v>
      </c>
      <c r="G15" s="1129">
        <v>0</v>
      </c>
      <c r="H15" s="1129">
        <v>0</v>
      </c>
      <c r="I15" s="150">
        <f t="shared" si="2"/>
        <v>0</v>
      </c>
      <c r="J15" s="2696">
        <f t="shared" si="3"/>
        <v>0</v>
      </c>
      <c r="K15" s="150">
        <v>4616667</v>
      </c>
      <c r="L15" s="150"/>
      <c r="M15"/>
      <c r="N15"/>
      <c r="O15"/>
      <c r="P15" s="150"/>
      <c r="Q15" s="150"/>
      <c r="R15" s="150"/>
      <c r="S15" s="150"/>
      <c r="T15" s="150"/>
      <c r="U15" s="150"/>
    </row>
    <row r="16" spans="1:21" x14ac:dyDescent="0.2">
      <c r="A16" s="2037" t="s">
        <v>313</v>
      </c>
      <c r="B16" s="90" t="s">
        <v>312</v>
      </c>
      <c r="C16" s="1169">
        <v>2506800</v>
      </c>
      <c r="D16" s="1169">
        <v>2506800</v>
      </c>
      <c r="E16" s="1169">
        <v>2506800</v>
      </c>
      <c r="F16" s="1169">
        <f>5785697.56+708832.452307754</f>
        <v>6494530.0123077538</v>
      </c>
      <c r="G16" s="1169">
        <f t="shared" ref="G16:H16" si="5">5785697.56+708832.452307754</f>
        <v>6494530.0123077538</v>
      </c>
      <c r="H16" s="1169">
        <f t="shared" si="5"/>
        <v>6494530.0123077538</v>
      </c>
      <c r="I16" s="150">
        <f t="shared" si="2"/>
        <v>27003990.036923259</v>
      </c>
      <c r="J16" s="2696">
        <f t="shared" si="3"/>
        <v>62119708.973767549</v>
      </c>
      <c r="K16" s="1253">
        <v>4616667</v>
      </c>
      <c r="L16" s="150"/>
      <c r="P16" s="150"/>
      <c r="Q16" s="150"/>
      <c r="R16" s="150"/>
      <c r="S16" s="150"/>
      <c r="T16" s="150"/>
      <c r="U16" s="150"/>
    </row>
    <row r="17" spans="1:21" x14ac:dyDescent="0.2">
      <c r="A17" s="2037" t="s">
        <v>314</v>
      </c>
      <c r="B17" s="90" t="s">
        <v>312</v>
      </c>
      <c r="C17" s="1127">
        <v>16523112.75</v>
      </c>
      <c r="D17" s="1127">
        <v>16523112.75</v>
      </c>
      <c r="E17" s="1127">
        <v>16523112.75</v>
      </c>
      <c r="F17" s="1127">
        <f>16523112.75+1992840.91463763</f>
        <v>18515953.664637629</v>
      </c>
      <c r="G17" s="1127">
        <f t="shared" ref="G17:H17" si="6">16523112.75+1992840.91463763</f>
        <v>18515953.664637629</v>
      </c>
      <c r="H17" s="1127">
        <f t="shared" si="6"/>
        <v>18515953.664637629</v>
      </c>
      <c r="I17" s="150">
        <f t="shared" si="2"/>
        <v>105117199.24391288</v>
      </c>
      <c r="J17" s="2696">
        <f t="shared" si="3"/>
        <v>241810566.31456682</v>
      </c>
      <c r="K17" s="1253">
        <v>4616667</v>
      </c>
      <c r="L17" s="150"/>
      <c r="P17" s="150"/>
      <c r="Q17" s="150"/>
      <c r="R17" s="150"/>
      <c r="S17" s="150"/>
      <c r="T17" s="150"/>
      <c r="U17" s="150"/>
    </row>
    <row r="18" spans="1:21" x14ac:dyDescent="0.2">
      <c r="A18" s="2037" t="s">
        <v>315</v>
      </c>
      <c r="B18" s="90"/>
      <c r="C18" s="1138"/>
      <c r="D18" s="1138"/>
      <c r="E18" s="1138"/>
      <c r="F18" s="1138"/>
      <c r="G18" s="1138"/>
      <c r="H18" s="2553"/>
      <c r="I18" s="150">
        <f t="shared" si="2"/>
        <v>0</v>
      </c>
      <c r="J18" s="2696">
        <f t="shared" si="3"/>
        <v>0</v>
      </c>
      <c r="K18" s="1253">
        <v>11083333</v>
      </c>
      <c r="L18" s="150"/>
      <c r="P18" s="150"/>
      <c r="Q18" s="150"/>
      <c r="R18" s="150"/>
      <c r="S18" s="150"/>
      <c r="T18" s="150"/>
      <c r="U18" s="150"/>
    </row>
    <row r="19" spans="1:21" x14ac:dyDescent="0.2">
      <c r="A19" s="2037" t="s">
        <v>316</v>
      </c>
      <c r="B19" s="90"/>
      <c r="C19" s="1137"/>
      <c r="D19" s="1137"/>
      <c r="E19" s="1137"/>
      <c r="F19" s="1137"/>
      <c r="G19" s="1137"/>
      <c r="H19" s="2071"/>
      <c r="I19" s="150">
        <f t="shared" si="2"/>
        <v>0</v>
      </c>
      <c r="J19" s="2696">
        <f t="shared" si="3"/>
        <v>0</v>
      </c>
      <c r="K19" s="1253"/>
      <c r="L19" s="150"/>
      <c r="P19" s="150"/>
      <c r="Q19" s="150"/>
      <c r="R19" s="150"/>
      <c r="S19" s="150"/>
      <c r="T19" s="150"/>
      <c r="U19" s="150"/>
    </row>
    <row r="20" spans="1:21" x14ac:dyDescent="0.2">
      <c r="A20" s="2037"/>
      <c r="B20" s="90"/>
      <c r="C20" s="1125"/>
      <c r="D20" s="1125"/>
      <c r="E20" s="1125"/>
      <c r="F20" s="1125"/>
      <c r="G20" s="90"/>
      <c r="H20" s="2053"/>
      <c r="I20" s="150">
        <f t="shared" si="2"/>
        <v>0</v>
      </c>
      <c r="J20" s="2696">
        <f t="shared" si="3"/>
        <v>0</v>
      </c>
      <c r="K20" s="2637"/>
      <c r="L20" s="150"/>
      <c r="P20" s="150"/>
      <c r="Q20" s="150"/>
      <c r="R20" s="150"/>
      <c r="S20" s="150"/>
      <c r="T20" s="150"/>
      <c r="U20" s="150"/>
    </row>
    <row r="21" spans="1:21" ht="13.2" x14ac:dyDescent="0.25">
      <c r="A21" s="2046" t="s">
        <v>317</v>
      </c>
      <c r="B21" s="1133"/>
      <c r="C21" s="1125"/>
      <c r="D21" s="1125"/>
      <c r="E21" s="1125"/>
      <c r="F21" s="1125"/>
      <c r="G21" s="90"/>
      <c r="H21" s="48"/>
      <c r="I21" s="150">
        <f t="shared" si="2"/>
        <v>0</v>
      </c>
      <c r="J21" s="2696">
        <f t="shared" si="3"/>
        <v>0</v>
      </c>
      <c r="K21" s="1253"/>
      <c r="L21" s="150"/>
      <c r="P21" s="150"/>
      <c r="Q21" s="150"/>
      <c r="R21" s="150"/>
      <c r="S21" s="150"/>
      <c r="T21" s="150"/>
      <c r="U21" s="150"/>
    </row>
    <row r="22" spans="1:21" x14ac:dyDescent="0.2">
      <c r="A22" s="2037" t="s">
        <v>318</v>
      </c>
      <c r="B22" s="90" t="s">
        <v>312</v>
      </c>
      <c r="C22" s="1228">
        <v>0</v>
      </c>
      <c r="D22" s="1228">
        <v>1666666.6666666665</v>
      </c>
      <c r="E22" s="1228">
        <v>3055555.5555555555</v>
      </c>
      <c r="F22" s="1228">
        <v>4166666.666666666</v>
      </c>
      <c r="G22" s="1228">
        <v>4166666.666666666</v>
      </c>
      <c r="H22" s="1228">
        <v>4166666.666666666</v>
      </c>
      <c r="I22" s="150">
        <f t="shared" si="2"/>
        <v>17222222.22222222</v>
      </c>
      <c r="J22" s="2696">
        <f t="shared" si="3"/>
        <v>33700806.451253302</v>
      </c>
      <c r="L22" s="150"/>
      <c r="P22" s="150"/>
      <c r="Q22" s="150"/>
      <c r="R22" s="150"/>
      <c r="S22" s="150"/>
      <c r="T22" s="150"/>
      <c r="U22" s="150"/>
    </row>
    <row r="23" spans="1:21" x14ac:dyDescent="0.2">
      <c r="A23" s="2037"/>
      <c r="B23" s="90"/>
      <c r="C23" s="47"/>
      <c r="D23" s="1125"/>
      <c r="E23" s="1125"/>
      <c r="F23" s="1125"/>
      <c r="G23" s="90"/>
      <c r="H23" s="48"/>
      <c r="I23" s="150">
        <f t="shared" si="2"/>
        <v>0</v>
      </c>
      <c r="J23" s="2696">
        <f t="shared" si="3"/>
        <v>23921339.220864445</v>
      </c>
      <c r="L23" s="150"/>
      <c r="P23" s="150"/>
      <c r="Q23" s="150"/>
      <c r="R23" s="150"/>
      <c r="S23" s="150"/>
      <c r="T23" s="150"/>
      <c r="U23" s="150"/>
    </row>
    <row r="24" spans="1:21" x14ac:dyDescent="0.2">
      <c r="A24" s="2037"/>
      <c r="B24" s="90"/>
      <c r="C24" s="1125"/>
      <c r="D24" s="1125"/>
      <c r="E24" s="1125"/>
      <c r="F24" s="1125"/>
      <c r="G24" s="90"/>
      <c r="H24" s="2060"/>
      <c r="I24" s="150">
        <f t="shared" si="2"/>
        <v>0</v>
      </c>
      <c r="J24" s="2696">
        <f t="shared" si="3"/>
        <v>0</v>
      </c>
      <c r="K24" s="150">
        <f>+C25+C16</f>
        <v>79592079.75</v>
      </c>
      <c r="L24" s="348">
        <f>+D25-6125620</f>
        <v>88101682.456666663</v>
      </c>
      <c r="P24" s="150"/>
      <c r="Q24" s="150"/>
      <c r="R24" s="150"/>
      <c r="S24" s="150"/>
      <c r="T24" s="150"/>
      <c r="U24" s="150"/>
    </row>
    <row r="25" spans="1:21" ht="13.2" x14ac:dyDescent="0.25">
      <c r="A25" s="2037" t="s">
        <v>343</v>
      </c>
      <c r="B25" s="151" t="s">
        <v>320</v>
      </c>
      <c r="C25" s="1125">
        <f>C6+C16+C17+C22</f>
        <v>77085279.75</v>
      </c>
      <c r="D25" s="1125">
        <f t="shared" ref="D25:H25" si="7">D6+D16+D17+D22</f>
        <v>94227302.456666663</v>
      </c>
      <c r="E25" s="1125">
        <f t="shared" si="7"/>
        <v>81807502.305555552</v>
      </c>
      <c r="F25" s="1125">
        <f t="shared" si="7"/>
        <v>95416727.676945373</v>
      </c>
      <c r="G25" s="1125">
        <f t="shared" si="7"/>
        <v>95387907.676945373</v>
      </c>
      <c r="H25" s="2123">
        <f t="shared" si="7"/>
        <v>95358824.676945373</v>
      </c>
      <c r="I25" s="150">
        <f t="shared" si="2"/>
        <v>539283544.54305828</v>
      </c>
      <c r="J25" s="2696">
        <f t="shared" si="3"/>
        <v>1162238394.20889</v>
      </c>
      <c r="L25" s="150"/>
      <c r="P25" s="150"/>
      <c r="Q25" s="150"/>
      <c r="R25" s="150"/>
      <c r="S25" s="150"/>
      <c r="T25" s="150"/>
      <c r="U25" s="150"/>
    </row>
    <row r="26" spans="1:21" ht="13.2" x14ac:dyDescent="0.25">
      <c r="A26" s="2037" t="s">
        <v>150</v>
      </c>
      <c r="B26" s="151" t="s">
        <v>39</v>
      </c>
      <c r="C26" s="1139">
        <v>153.80000000000001</v>
      </c>
      <c r="D26" s="1139">
        <v>153.80000000000001</v>
      </c>
      <c r="E26" s="1139">
        <v>153.80000000000001</v>
      </c>
      <c r="F26" s="1139">
        <v>153.80000000000001</v>
      </c>
      <c r="G26" s="1139">
        <v>153.80000000000001</v>
      </c>
      <c r="H26" s="2070">
        <v>153.80000000000001</v>
      </c>
      <c r="I26" s="150">
        <f t="shared" si="2"/>
        <v>922.8</v>
      </c>
      <c r="J26" s="2696">
        <f t="shared" si="3"/>
        <v>2122.8000000000002</v>
      </c>
      <c r="L26" s="150"/>
      <c r="P26" s="150"/>
      <c r="Q26" s="150"/>
      <c r="R26" s="150"/>
      <c r="S26" s="150"/>
      <c r="T26" s="150"/>
      <c r="U26" s="150"/>
    </row>
    <row r="27" spans="1:21" ht="13.2" x14ac:dyDescent="0.25">
      <c r="A27" s="55"/>
      <c r="B27" s="151"/>
      <c r="C27" s="143"/>
      <c r="D27" s="143"/>
      <c r="E27" s="143"/>
      <c r="F27" s="143"/>
      <c r="G27" s="143"/>
      <c r="H27" s="2062"/>
      <c r="I27" s="150">
        <f t="shared" si="2"/>
        <v>0</v>
      </c>
      <c r="J27" s="2696">
        <f t="shared" si="3"/>
        <v>620908057.97783065</v>
      </c>
      <c r="L27" s="150"/>
      <c r="P27" s="150"/>
      <c r="Q27" s="150"/>
      <c r="R27" s="150"/>
      <c r="S27" s="150"/>
      <c r="T27" s="150"/>
      <c r="U27" s="150"/>
    </row>
    <row r="28" spans="1:21" ht="13.2" x14ac:dyDescent="0.25">
      <c r="A28" s="152" t="s">
        <v>344</v>
      </c>
      <c r="B28" s="151" t="s">
        <v>322</v>
      </c>
      <c r="C28" s="144">
        <f t="shared" ref="C28:H28" si="8">C25/(C26*1000)</f>
        <v>501.20467977893367</v>
      </c>
      <c r="D28" s="145">
        <f t="shared" si="8"/>
        <v>612.6612643476376</v>
      </c>
      <c r="E28" s="145">
        <f t="shared" si="8"/>
        <v>531.90833748735724</v>
      </c>
      <c r="F28" s="145">
        <f t="shared" si="8"/>
        <v>620.39484835465134</v>
      </c>
      <c r="G28" s="145">
        <f t="shared" si="8"/>
        <v>620.20746213878658</v>
      </c>
      <c r="H28" s="2034">
        <f t="shared" si="8"/>
        <v>620.01836590991786</v>
      </c>
      <c r="I28" s="150">
        <f t="shared" si="2"/>
        <v>3506.3949580172844</v>
      </c>
      <c r="K28" s="70"/>
      <c r="L28" s="150"/>
      <c r="P28" s="150"/>
      <c r="Q28" s="150"/>
      <c r="R28" s="150"/>
      <c r="S28" s="150"/>
      <c r="T28" s="150"/>
      <c r="U28" s="150"/>
    </row>
    <row r="29" spans="1:21" ht="13.2" x14ac:dyDescent="0.25">
      <c r="A29" s="75"/>
      <c r="B29" s="82"/>
      <c r="H29" s="171"/>
      <c r="K29" s="70"/>
      <c r="L29" s="150"/>
      <c r="P29" s="150"/>
      <c r="Q29" s="150"/>
      <c r="R29" s="150"/>
      <c r="S29" s="150"/>
      <c r="T29" s="150"/>
      <c r="U29" s="150"/>
    </row>
    <row r="30" spans="1:21" s="1" customFormat="1" ht="13.2" x14ac:dyDescent="0.25">
      <c r="A30" s="2141"/>
      <c r="B30" s="82"/>
      <c r="C30" s="146"/>
      <c r="D30" s="146"/>
      <c r="E30" s="146"/>
      <c r="F30" s="146"/>
      <c r="G30" s="146"/>
      <c r="H30" s="2142"/>
      <c r="K30" s="70"/>
      <c r="L30" s="150"/>
      <c r="P30" s="150"/>
      <c r="Q30" s="150"/>
      <c r="R30" s="150"/>
      <c r="S30" s="150"/>
      <c r="T30" s="150"/>
      <c r="U30" s="150"/>
    </row>
    <row r="31" spans="1:21" ht="13.2" x14ac:dyDescent="0.25">
      <c r="A31" s="147" t="s">
        <v>345</v>
      </c>
      <c r="B31" s="148">
        <v>822</v>
      </c>
      <c r="C31" s="384"/>
      <c r="D31" s="385"/>
      <c r="E31" s="385"/>
      <c r="F31" s="385"/>
      <c r="G31" s="386"/>
      <c r="H31" s="2554"/>
      <c r="K31" s="70"/>
      <c r="L31" s="150"/>
      <c r="P31" s="150"/>
      <c r="Q31" s="150"/>
      <c r="R31" s="150"/>
      <c r="S31" s="150"/>
      <c r="T31" s="150"/>
      <c r="U31" s="150"/>
    </row>
    <row r="32" spans="1:21" ht="13.2" x14ac:dyDescent="0.25">
      <c r="A32" s="2046" t="s">
        <v>310</v>
      </c>
      <c r="B32" s="1133"/>
      <c r="C32" s="1125"/>
      <c r="D32" s="1125"/>
      <c r="E32" s="1125"/>
      <c r="F32" s="1125"/>
      <c r="G32" s="90"/>
      <c r="H32" s="48"/>
      <c r="K32" s="70"/>
      <c r="L32" s="150"/>
      <c r="P32" s="150"/>
      <c r="Q32" s="150"/>
      <c r="R32" s="150"/>
      <c r="S32" s="150"/>
      <c r="T32" s="150"/>
      <c r="U32" s="150"/>
    </row>
    <row r="33" spans="1:21" x14ac:dyDescent="0.2">
      <c r="A33" s="2037" t="s">
        <v>311</v>
      </c>
      <c r="B33" s="90" t="s">
        <v>312</v>
      </c>
      <c r="C33" s="1126">
        <f>SUM(C34:C42)</f>
        <v>25687581.199999999</v>
      </c>
      <c r="D33" s="1126">
        <f t="shared" ref="D33" si="9">SUM(D34:D42)</f>
        <v>34206970.109999999</v>
      </c>
      <c r="E33" s="1126">
        <f t="shared" ref="E33" si="10">SUM(E34:E42)</f>
        <v>25687581.199999999</v>
      </c>
      <c r="F33" s="1126">
        <f t="shared" ref="F33" si="11">SUM(F34:F42)</f>
        <v>28338844.533333331</v>
      </c>
      <c r="G33" s="1126">
        <f t="shared" ref="G33" si="12">SUM(G34:G42)</f>
        <v>28338844.533333331</v>
      </c>
      <c r="H33" s="2047">
        <f t="shared" ref="H33" si="13">SUM(H34:H42)</f>
        <v>28338844.533333331</v>
      </c>
      <c r="I33" s="1253">
        <f t="shared" ref="I33:I54" si="14">SUM(C33:H33)</f>
        <v>170598666.10999998</v>
      </c>
      <c r="J33" s="214"/>
      <c r="K33" s="150">
        <v>300000000</v>
      </c>
      <c r="L33" s="150"/>
      <c r="P33" s="150"/>
      <c r="Q33" s="150"/>
      <c r="R33" s="150"/>
      <c r="S33" s="150"/>
      <c r="T33" s="150"/>
      <c r="U33" s="150"/>
    </row>
    <row r="34" spans="1:21" x14ac:dyDescent="0.2">
      <c r="A34" s="2048" t="s">
        <v>753</v>
      </c>
      <c r="B34" s="90"/>
      <c r="C34" s="1129">
        <v>8027427</v>
      </c>
      <c r="D34" s="1129">
        <v>8027427</v>
      </c>
      <c r="E34" s="1129">
        <v>8027427</v>
      </c>
      <c r="F34" s="1129">
        <f>8027427+2651263.33333333</f>
        <v>10678690.33333333</v>
      </c>
      <c r="G34" s="1129">
        <f t="shared" ref="G34:H34" si="15">8027427+2651263.33333333</f>
        <v>10678690.33333333</v>
      </c>
      <c r="H34" s="1129">
        <f t="shared" si="15"/>
        <v>10678690.33333333</v>
      </c>
      <c r="I34" s="1253">
        <f t="shared" si="14"/>
        <v>56118351.999999985</v>
      </c>
      <c r="J34" s="214"/>
      <c r="K34" s="150">
        <f>+K33/6</f>
        <v>50000000</v>
      </c>
      <c r="L34" s="150"/>
      <c r="P34" s="150"/>
      <c r="Q34" s="150"/>
      <c r="R34" s="150"/>
      <c r="S34" s="150"/>
      <c r="T34" s="150"/>
      <c r="U34" s="150"/>
    </row>
    <row r="35" spans="1:21" x14ac:dyDescent="0.2">
      <c r="A35" s="2048" t="s">
        <v>758</v>
      </c>
      <c r="B35" s="90"/>
      <c r="C35" s="1129">
        <v>738167</v>
      </c>
      <c r="D35" s="1129">
        <v>738167</v>
      </c>
      <c r="E35" s="1129">
        <v>738167</v>
      </c>
      <c r="F35" s="1129">
        <v>738167</v>
      </c>
      <c r="G35" s="1129">
        <v>738167</v>
      </c>
      <c r="H35" s="1129">
        <v>738167</v>
      </c>
      <c r="I35" s="1253">
        <f t="shared" si="14"/>
        <v>4429002</v>
      </c>
      <c r="J35" s="214"/>
      <c r="K35" s="150"/>
      <c r="L35" s="150"/>
      <c r="P35" s="150"/>
      <c r="Q35" s="150"/>
      <c r="R35" s="150"/>
      <c r="S35" s="150"/>
      <c r="T35" s="150"/>
      <c r="U35" s="150"/>
    </row>
    <row r="36" spans="1:21" x14ac:dyDescent="0.2">
      <c r="A36" s="2048" t="s">
        <v>754</v>
      </c>
      <c r="B36" s="90"/>
      <c r="C36" s="1129">
        <v>298359</v>
      </c>
      <c r="D36" s="1129">
        <v>298359</v>
      </c>
      <c r="E36" s="1129">
        <v>298359</v>
      </c>
      <c r="F36" s="1129">
        <v>298359</v>
      </c>
      <c r="G36" s="1129">
        <v>298359</v>
      </c>
      <c r="H36" s="1129">
        <v>298359</v>
      </c>
      <c r="I36" s="1253">
        <f t="shared" si="14"/>
        <v>1790154</v>
      </c>
      <c r="J36" s="214"/>
      <c r="K36" s="150"/>
      <c r="L36" s="150"/>
      <c r="P36" s="150"/>
      <c r="Q36" s="150"/>
      <c r="R36" s="150"/>
      <c r="S36" s="150"/>
      <c r="T36" s="150"/>
      <c r="U36" s="150"/>
    </row>
    <row r="37" spans="1:21" x14ac:dyDescent="0.2">
      <c r="A37" s="2048" t="s">
        <v>755</v>
      </c>
      <c r="B37" s="90"/>
      <c r="C37" s="1129">
        <v>252091</v>
      </c>
      <c r="D37" s="1129">
        <v>252091</v>
      </c>
      <c r="E37" s="1129">
        <v>252091</v>
      </c>
      <c r="F37" s="1129">
        <v>252091</v>
      </c>
      <c r="G37" s="1129">
        <v>252091</v>
      </c>
      <c r="H37" s="1129">
        <v>252091</v>
      </c>
      <c r="I37" s="1253">
        <f t="shared" si="14"/>
        <v>1512546</v>
      </c>
      <c r="J37" s="214"/>
      <c r="K37" s="150"/>
      <c r="L37" s="150"/>
      <c r="P37" s="150"/>
      <c r="Q37" s="150"/>
      <c r="R37" s="150"/>
      <c r="S37" s="150"/>
      <c r="T37" s="150"/>
      <c r="U37" s="150"/>
    </row>
    <row r="38" spans="1:21" x14ac:dyDescent="0.2">
      <c r="A38" s="2048" t="s">
        <v>752</v>
      </c>
      <c r="B38" s="90"/>
      <c r="C38" s="1129">
        <f>39099011*0.2</f>
        <v>7819802.2000000002</v>
      </c>
      <c r="D38" s="1129">
        <f t="shared" ref="D38:H38" si="16">39099011*0.2</f>
        <v>7819802.2000000002</v>
      </c>
      <c r="E38" s="1129">
        <f t="shared" si="16"/>
        <v>7819802.2000000002</v>
      </c>
      <c r="F38" s="1129">
        <f t="shared" si="16"/>
        <v>7819802.2000000002</v>
      </c>
      <c r="G38" s="1129">
        <f t="shared" si="16"/>
        <v>7819802.2000000002</v>
      </c>
      <c r="H38" s="1129">
        <f t="shared" si="16"/>
        <v>7819802.2000000002</v>
      </c>
      <c r="I38" s="1253">
        <f t="shared" si="14"/>
        <v>46918813.200000003</v>
      </c>
      <c r="J38" s="214"/>
      <c r="K38" s="1253"/>
      <c r="L38" s="150"/>
      <c r="P38" s="150"/>
      <c r="Q38" s="150"/>
      <c r="R38" s="150"/>
      <c r="S38" s="150"/>
      <c r="T38" s="150"/>
      <c r="U38" s="150"/>
    </row>
    <row r="39" spans="1:21" x14ac:dyDescent="0.2">
      <c r="A39" s="2048" t="s">
        <v>757</v>
      </c>
      <c r="B39" s="90"/>
      <c r="C39" s="1129">
        <v>604204</v>
      </c>
      <c r="D39" s="1129">
        <f>604204+8519388.91</f>
        <v>9123592.9100000001</v>
      </c>
      <c r="E39" s="1129">
        <v>604204</v>
      </c>
      <c r="F39" s="1129">
        <v>604204</v>
      </c>
      <c r="G39" s="1129">
        <v>604204</v>
      </c>
      <c r="H39" s="1129">
        <v>604204</v>
      </c>
      <c r="I39" s="1253">
        <f t="shared" si="14"/>
        <v>12144612.91</v>
      </c>
      <c r="K39" s="1253"/>
      <c r="L39" s="150"/>
      <c r="P39" s="150"/>
      <c r="Q39" s="150"/>
      <c r="R39" s="150"/>
      <c r="S39" s="150"/>
      <c r="T39" s="150"/>
      <c r="U39" s="150"/>
    </row>
    <row r="40" spans="1:21" x14ac:dyDescent="0.2">
      <c r="A40" s="2048" t="s">
        <v>756</v>
      </c>
      <c r="B40" s="90"/>
      <c r="C40" s="1129">
        <v>0</v>
      </c>
      <c r="D40" s="1129">
        <v>0</v>
      </c>
      <c r="E40" s="1129">
        <v>0</v>
      </c>
      <c r="F40" s="1129">
        <v>0</v>
      </c>
      <c r="G40" s="1129">
        <v>0</v>
      </c>
      <c r="H40" s="1129">
        <v>0</v>
      </c>
      <c r="I40" s="1253">
        <f t="shared" si="14"/>
        <v>0</v>
      </c>
      <c r="J40" s="150"/>
      <c r="K40" s="1253"/>
      <c r="L40" s="150"/>
      <c r="P40" s="150"/>
      <c r="Q40" s="150"/>
      <c r="R40" s="150"/>
      <c r="S40" s="150"/>
      <c r="T40" s="150"/>
      <c r="U40" s="150"/>
    </row>
    <row r="41" spans="1:21" x14ac:dyDescent="0.2">
      <c r="A41" s="2048" t="s">
        <v>814</v>
      </c>
      <c r="B41" s="90"/>
      <c r="C41" s="1129">
        <v>7947531</v>
      </c>
      <c r="D41" s="1129">
        <v>7947531</v>
      </c>
      <c r="E41" s="1129">
        <v>7947531</v>
      </c>
      <c r="F41" s="1129">
        <v>7947531</v>
      </c>
      <c r="G41" s="1129">
        <v>7947531</v>
      </c>
      <c r="H41" s="1129">
        <v>7947531</v>
      </c>
      <c r="I41" s="1253">
        <f t="shared" si="14"/>
        <v>47685186</v>
      </c>
      <c r="K41" s="1253"/>
      <c r="L41" s="150"/>
      <c r="P41" s="150"/>
      <c r="Q41" s="150"/>
      <c r="R41" s="150"/>
      <c r="S41" s="150"/>
      <c r="T41" s="150"/>
      <c r="U41" s="150"/>
    </row>
    <row r="42" spans="1:21" s="185" customFormat="1" x14ac:dyDescent="0.2">
      <c r="A42" s="2048" t="s">
        <v>815</v>
      </c>
      <c r="B42" s="90"/>
      <c r="C42" s="1129">
        <v>0</v>
      </c>
      <c r="D42" s="1129">
        <v>0</v>
      </c>
      <c r="E42" s="1129">
        <v>0</v>
      </c>
      <c r="F42" s="1129">
        <v>0</v>
      </c>
      <c r="G42" s="1129">
        <v>0</v>
      </c>
      <c r="H42" s="1129">
        <v>0</v>
      </c>
      <c r="I42" s="1253">
        <f t="shared" si="14"/>
        <v>0</v>
      </c>
      <c r="J42"/>
      <c r="K42" s="1253"/>
      <c r="L42" s="150"/>
      <c r="M42"/>
      <c r="N42"/>
      <c r="O42"/>
      <c r="P42" s="150"/>
      <c r="Q42" s="150"/>
      <c r="R42" s="150"/>
      <c r="S42" s="150"/>
      <c r="T42" s="150"/>
      <c r="U42" s="150"/>
    </row>
    <row r="43" spans="1:21" x14ac:dyDescent="0.2">
      <c r="A43" s="2037" t="s">
        <v>313</v>
      </c>
      <c r="B43" s="90" t="s">
        <v>312</v>
      </c>
      <c r="C43" s="1169">
        <v>1466918</v>
      </c>
      <c r="D43" s="1169">
        <v>1466918</v>
      </c>
      <c r="E43" s="1169">
        <v>1466918</v>
      </c>
      <c r="F43" s="1169">
        <f>3385648.77+414791.422026644</f>
        <v>3800440.192026644</v>
      </c>
      <c r="G43" s="1169">
        <f t="shared" ref="G43:H43" si="17">3385648.77+414791.422026644</f>
        <v>3800440.192026644</v>
      </c>
      <c r="H43" s="1169">
        <f t="shared" si="17"/>
        <v>3800440.192026644</v>
      </c>
      <c r="I43" s="1253">
        <f t="shared" si="14"/>
        <v>15802074.576079931</v>
      </c>
      <c r="K43" s="1253"/>
      <c r="L43" s="150"/>
      <c r="P43" s="150"/>
      <c r="Q43" s="150"/>
      <c r="R43" s="150"/>
      <c r="S43" s="150"/>
      <c r="T43" s="150"/>
      <c r="U43" s="150"/>
    </row>
    <row r="44" spans="1:21" x14ac:dyDescent="0.2">
      <c r="A44" s="2037" t="s">
        <v>314</v>
      </c>
      <c r="B44" s="90" t="s">
        <v>312</v>
      </c>
      <c r="C44" s="1127">
        <v>9668921.6400000006</v>
      </c>
      <c r="D44" s="1127">
        <v>9668921.6400000006</v>
      </c>
      <c r="E44" s="1127">
        <v>9668921.6400000006</v>
      </c>
      <c r="F44" s="1127">
        <f>9668921.64+1166161.78359809</f>
        <v>10835083.42359809</v>
      </c>
      <c r="G44" s="1127">
        <f t="shared" ref="G44:H44" si="18">9668921.64+1166161.78359809</f>
        <v>10835083.42359809</v>
      </c>
      <c r="H44" s="1127">
        <f t="shared" si="18"/>
        <v>10835083.42359809</v>
      </c>
      <c r="I44" s="1253">
        <f t="shared" si="14"/>
        <v>61512015.190794267</v>
      </c>
      <c r="J44" s="150"/>
      <c r="L44" s="150"/>
      <c r="P44" s="150"/>
      <c r="Q44" s="150"/>
      <c r="R44" s="150"/>
      <c r="S44" s="150"/>
      <c r="T44" s="150"/>
      <c r="U44" s="150"/>
    </row>
    <row r="45" spans="1:21" x14ac:dyDescent="0.2">
      <c r="A45" s="2037" t="s">
        <v>315</v>
      </c>
      <c r="B45" s="90"/>
      <c r="C45" s="1139"/>
      <c r="D45" s="1139"/>
      <c r="E45" s="1139"/>
      <c r="F45" s="1139"/>
      <c r="G45" s="1139"/>
      <c r="H45" s="2070"/>
      <c r="I45" s="1253">
        <f t="shared" si="14"/>
        <v>0</v>
      </c>
      <c r="L45" s="150"/>
      <c r="P45" s="150"/>
      <c r="Q45" s="150"/>
      <c r="R45" s="150"/>
      <c r="S45" s="150"/>
      <c r="T45" s="150"/>
      <c r="U45" s="150"/>
    </row>
    <row r="46" spans="1:21" x14ac:dyDescent="0.2">
      <c r="A46" s="2037" t="s">
        <v>316</v>
      </c>
      <c r="B46" s="90"/>
      <c r="C46" s="1140">
        <f t="shared" ref="C46:H46" si="19">C19</f>
        <v>0</v>
      </c>
      <c r="D46" s="1140">
        <f t="shared" si="19"/>
        <v>0</v>
      </c>
      <c r="E46" s="1140">
        <f t="shared" si="19"/>
        <v>0</v>
      </c>
      <c r="F46" s="1140">
        <f t="shared" si="19"/>
        <v>0</v>
      </c>
      <c r="G46" s="1140">
        <f t="shared" si="19"/>
        <v>0</v>
      </c>
      <c r="H46" s="2555">
        <f t="shared" si="19"/>
        <v>0</v>
      </c>
      <c r="I46" s="1253">
        <f t="shared" si="14"/>
        <v>0</v>
      </c>
      <c r="J46" s="183"/>
      <c r="L46" s="150"/>
      <c r="P46" s="150"/>
      <c r="Q46" s="150"/>
      <c r="R46" s="150"/>
      <c r="S46" s="150"/>
      <c r="T46" s="150"/>
      <c r="U46" s="150"/>
    </row>
    <row r="47" spans="1:21" x14ac:dyDescent="0.2">
      <c r="A47" s="2037"/>
      <c r="B47" s="90"/>
      <c r="C47" s="1125"/>
      <c r="D47" s="1125"/>
      <c r="E47" s="1125"/>
      <c r="F47" s="1125"/>
      <c r="G47" s="90"/>
      <c r="H47" s="2053"/>
      <c r="I47" s="1253">
        <f t="shared" si="14"/>
        <v>0</v>
      </c>
      <c r="L47" s="150"/>
      <c r="P47" s="150"/>
      <c r="Q47" s="150"/>
      <c r="R47" s="150"/>
      <c r="S47" s="150"/>
      <c r="T47" s="150"/>
      <c r="U47" s="150"/>
    </row>
    <row r="48" spans="1:21" ht="13.2" x14ac:dyDescent="0.25">
      <c r="A48" s="2046" t="s">
        <v>317</v>
      </c>
      <c r="B48" s="1133"/>
      <c r="C48" s="2610"/>
      <c r="D48" s="2610"/>
      <c r="E48" s="2610"/>
      <c r="F48" s="2610"/>
      <c r="G48" s="2610"/>
      <c r="H48" s="2719"/>
      <c r="I48" s="1253">
        <f t="shared" si="14"/>
        <v>0</v>
      </c>
      <c r="L48" s="150"/>
      <c r="P48" s="150"/>
      <c r="Q48" s="150"/>
      <c r="R48" s="150"/>
      <c r="S48" s="150"/>
      <c r="T48" s="150"/>
      <c r="U48" s="150"/>
    </row>
    <row r="49" spans="1:21" x14ac:dyDescent="0.2">
      <c r="A49" s="2037" t="s">
        <v>318</v>
      </c>
      <c r="B49" s="90" t="s">
        <v>312</v>
      </c>
      <c r="C49" s="1129"/>
      <c r="D49" s="1129"/>
      <c r="E49" s="1129"/>
      <c r="F49" s="1129"/>
      <c r="G49" s="1129"/>
      <c r="H49" s="2050"/>
      <c r="I49" s="1253">
        <f t="shared" si="14"/>
        <v>0</v>
      </c>
      <c r="J49" s="150"/>
      <c r="K49" s="150">
        <f>+C43+C52</f>
        <v>38290338.840000004</v>
      </c>
      <c r="L49" s="348">
        <f>+D52-3584563</f>
        <v>41758246.75</v>
      </c>
      <c r="P49" s="150"/>
      <c r="Q49" s="150"/>
      <c r="R49" s="150"/>
      <c r="S49" s="150"/>
      <c r="T49" s="150"/>
      <c r="U49" s="150"/>
    </row>
    <row r="50" spans="1:21" x14ac:dyDescent="0.2">
      <c r="A50" s="2037"/>
      <c r="B50" s="90"/>
      <c r="C50" s="47"/>
      <c r="D50" s="1125"/>
      <c r="E50" s="1125"/>
      <c r="F50" s="1125"/>
      <c r="G50" s="90"/>
      <c r="H50" s="48"/>
      <c r="I50" s="1253">
        <f t="shared" si="14"/>
        <v>0</v>
      </c>
      <c r="L50" s="150"/>
      <c r="P50" s="150"/>
      <c r="Q50" s="150"/>
      <c r="R50" s="150"/>
      <c r="S50" s="150"/>
      <c r="T50" s="150"/>
      <c r="U50" s="150"/>
    </row>
    <row r="51" spans="1:21" x14ac:dyDescent="0.2">
      <c r="A51" s="2037"/>
      <c r="B51" s="90"/>
      <c r="C51" s="1125"/>
      <c r="D51" s="1125"/>
      <c r="E51" s="1125"/>
      <c r="F51" s="1125"/>
      <c r="G51" s="90"/>
      <c r="H51" s="2060"/>
      <c r="I51" s="1253">
        <f t="shared" si="14"/>
        <v>0</v>
      </c>
      <c r="L51" s="150"/>
      <c r="P51" s="150"/>
      <c r="Q51" s="150"/>
      <c r="R51" s="150"/>
      <c r="S51" s="150"/>
      <c r="T51" s="150"/>
      <c r="U51" s="150"/>
    </row>
    <row r="52" spans="1:21" ht="13.2" x14ac:dyDescent="0.25">
      <c r="A52" s="2037" t="s">
        <v>346</v>
      </c>
      <c r="B52" s="151" t="s">
        <v>320</v>
      </c>
      <c r="C52" s="1125">
        <f t="shared" ref="C52:H52" si="20">C33+C43+C44+C49</f>
        <v>36823420.840000004</v>
      </c>
      <c r="D52" s="1125">
        <f t="shared" si="20"/>
        <v>45342809.75</v>
      </c>
      <c r="E52" s="1125">
        <f t="shared" si="20"/>
        <v>36823420.840000004</v>
      </c>
      <c r="F52" s="1125">
        <f t="shared" si="20"/>
        <v>42974368.148958065</v>
      </c>
      <c r="G52" s="1125">
        <f t="shared" si="20"/>
        <v>42974368.148958065</v>
      </c>
      <c r="H52" s="2123">
        <f t="shared" si="20"/>
        <v>42974368.148958065</v>
      </c>
      <c r="I52" s="1253">
        <f t="shared" si="14"/>
        <v>247912755.87687418</v>
      </c>
      <c r="L52" s="150"/>
      <c r="P52" s="150"/>
      <c r="Q52" s="150"/>
      <c r="R52" s="150"/>
      <c r="S52" s="150"/>
      <c r="T52" s="150"/>
      <c r="U52" s="150"/>
    </row>
    <row r="53" spans="1:21" ht="13.2" x14ac:dyDescent="0.25">
      <c r="A53" s="2037" t="s">
        <v>150</v>
      </c>
      <c r="B53" s="151" t="s">
        <v>39</v>
      </c>
      <c r="C53" s="1129">
        <v>90</v>
      </c>
      <c r="D53" s="1129">
        <v>90</v>
      </c>
      <c r="E53" s="1129">
        <v>90</v>
      </c>
      <c r="F53" s="1129">
        <v>90</v>
      </c>
      <c r="G53" s="1129">
        <v>90</v>
      </c>
      <c r="H53" s="2050">
        <v>90</v>
      </c>
      <c r="I53" s="1253">
        <f t="shared" si="14"/>
        <v>540</v>
      </c>
      <c r="L53" s="150"/>
      <c r="P53" s="150"/>
      <c r="Q53" s="150"/>
      <c r="R53" s="150"/>
      <c r="S53" s="150"/>
      <c r="T53" s="150"/>
      <c r="U53" s="150"/>
    </row>
    <row r="54" spans="1:21" ht="13.2" x14ac:dyDescent="0.25">
      <c r="A54" s="152" t="s">
        <v>347</v>
      </c>
      <c r="B54" s="151" t="s">
        <v>322</v>
      </c>
      <c r="C54" s="145">
        <f t="shared" ref="C54:H54" si="21">C52/(C53*1000)</f>
        <v>409.14912044444446</v>
      </c>
      <c r="D54" s="145">
        <f t="shared" si="21"/>
        <v>503.80899722222222</v>
      </c>
      <c r="E54" s="145">
        <f t="shared" si="21"/>
        <v>409.14912044444446</v>
      </c>
      <c r="F54" s="145">
        <f t="shared" si="21"/>
        <v>477.4929794328674</v>
      </c>
      <c r="G54" s="145">
        <f t="shared" si="21"/>
        <v>477.4929794328674</v>
      </c>
      <c r="H54" s="2034">
        <f t="shared" si="21"/>
        <v>477.4929794328674</v>
      </c>
      <c r="I54" s="1253">
        <f t="shared" si="14"/>
        <v>2754.5861764097131</v>
      </c>
      <c r="L54" s="150"/>
      <c r="P54" s="150"/>
      <c r="Q54" s="150"/>
      <c r="R54" s="150"/>
      <c r="S54" s="150"/>
      <c r="T54" s="150"/>
      <c r="U54" s="150"/>
    </row>
    <row r="55" spans="1:21" x14ac:dyDescent="0.2">
      <c r="A55" s="75"/>
      <c r="H55" s="171"/>
      <c r="L55" s="150"/>
      <c r="P55" s="150"/>
      <c r="Q55" s="150"/>
      <c r="R55" s="150"/>
      <c r="S55" s="150"/>
      <c r="T55" s="150"/>
      <c r="U55" s="150"/>
    </row>
    <row r="56" spans="1:21" x14ac:dyDescent="0.2">
      <c r="A56" s="75"/>
      <c r="H56" s="171"/>
      <c r="L56" s="150"/>
      <c r="P56" s="150"/>
      <c r="Q56" s="150"/>
      <c r="R56" s="150"/>
      <c r="S56" s="150"/>
      <c r="T56" s="150"/>
      <c r="U56" s="150"/>
    </row>
    <row r="57" spans="1:21" ht="13.2" x14ac:dyDescent="0.25">
      <c r="A57" s="147" t="s">
        <v>348</v>
      </c>
      <c r="B57" s="148">
        <v>823</v>
      </c>
      <c r="C57" s="384"/>
      <c r="D57" s="385"/>
      <c r="E57" s="385"/>
      <c r="F57" s="385"/>
      <c r="G57" s="386"/>
      <c r="H57" s="2554"/>
      <c r="L57" s="150"/>
      <c r="P57" s="150"/>
      <c r="Q57" s="150"/>
      <c r="R57" s="150"/>
      <c r="S57" s="150"/>
      <c r="T57" s="150"/>
      <c r="U57" s="150"/>
    </row>
    <row r="58" spans="1:21" ht="13.2" x14ac:dyDescent="0.25">
      <c r="A58" s="136" t="s">
        <v>310</v>
      </c>
      <c r="B58" s="137"/>
      <c r="C58" s="380"/>
      <c r="D58" s="379"/>
      <c r="E58" s="379"/>
      <c r="F58" s="379"/>
      <c r="G58" s="378"/>
      <c r="H58" s="2556"/>
      <c r="L58" s="150"/>
      <c r="P58" s="150"/>
      <c r="Q58" s="150"/>
      <c r="R58" s="150"/>
      <c r="S58" s="150"/>
      <c r="T58" s="150"/>
      <c r="U58" s="150"/>
    </row>
    <row r="59" spans="1:21" x14ac:dyDescent="0.2">
      <c r="A59" s="2037" t="s">
        <v>311</v>
      </c>
      <c r="B59" s="90" t="s">
        <v>312</v>
      </c>
      <c r="C59" s="1126">
        <f>SUM(C60:C68)</f>
        <v>21251493</v>
      </c>
      <c r="D59" s="1126">
        <f t="shared" ref="D59" si="22">SUM(D60:D68)</f>
        <v>26534486.84</v>
      </c>
      <c r="E59" s="1126">
        <f t="shared" ref="E59" si="23">SUM(E60:E68)</f>
        <v>22251493</v>
      </c>
      <c r="F59" s="1126">
        <f t="shared" ref="F59" si="24">SUM(F60:F68)</f>
        <v>25383540.625</v>
      </c>
      <c r="G59" s="1126">
        <f t="shared" ref="G59" si="25">SUM(G60:G68)</f>
        <v>25366248.625</v>
      </c>
      <c r="H59" s="2047">
        <f t="shared" ref="H59" si="26">SUM(H60:H68)</f>
        <v>25348798.625</v>
      </c>
      <c r="I59" s="150">
        <f>SUM(C59:H59)</f>
        <v>146136060.715</v>
      </c>
      <c r="K59" s="150"/>
      <c r="L59" s="150"/>
      <c r="P59" s="150"/>
      <c r="Q59" s="150"/>
      <c r="R59" s="150"/>
      <c r="S59" s="150"/>
      <c r="T59" s="150"/>
      <c r="U59" s="150"/>
    </row>
    <row r="60" spans="1:21" x14ac:dyDescent="0.2">
      <c r="A60" s="2048" t="s">
        <v>753</v>
      </c>
      <c r="B60" s="90"/>
      <c r="C60" s="1129">
        <v>6617898</v>
      </c>
      <c r="D60" s="1129">
        <v>6617898</v>
      </c>
      <c r="E60" s="1129">
        <v>6617898</v>
      </c>
      <c r="F60" s="1129">
        <f>6617898+2757047.625</f>
        <v>9374945.625</v>
      </c>
      <c r="G60" s="1129">
        <f t="shared" ref="G60:H60" si="27">6617898+2757047.625</f>
        <v>9374945.625</v>
      </c>
      <c r="H60" s="1129">
        <f t="shared" si="27"/>
        <v>9374945.625</v>
      </c>
      <c r="I60" s="150">
        <f>SUM(C60:H60)</f>
        <v>47978530.875</v>
      </c>
      <c r="K60" s="150"/>
      <c r="L60" s="150"/>
      <c r="P60" s="150"/>
      <c r="Q60" s="150"/>
      <c r="R60" s="150"/>
      <c r="S60" s="150"/>
      <c r="T60" s="150"/>
      <c r="U60" s="150"/>
    </row>
    <row r="61" spans="1:21" x14ac:dyDescent="0.2">
      <c r="A61" s="2048" t="s">
        <v>758</v>
      </c>
      <c r="B61" s="90"/>
      <c r="C61" s="1129">
        <v>389181</v>
      </c>
      <c r="D61" s="1129">
        <v>389181</v>
      </c>
      <c r="E61" s="1129">
        <v>389181</v>
      </c>
      <c r="F61" s="1129">
        <v>389181</v>
      </c>
      <c r="G61" s="1129">
        <v>389181</v>
      </c>
      <c r="H61" s="1129">
        <v>389181</v>
      </c>
      <c r="I61" s="150">
        <f t="shared" ref="I61:I80" si="28">SUM(C61:H61)</f>
        <v>2335086</v>
      </c>
      <c r="K61" s="150"/>
      <c r="L61" s="150"/>
      <c r="P61" s="150"/>
      <c r="Q61" s="150"/>
      <c r="R61" s="150"/>
      <c r="S61" s="150"/>
      <c r="T61" s="150"/>
      <c r="U61" s="150"/>
    </row>
    <row r="62" spans="1:21" x14ac:dyDescent="0.2">
      <c r="A62" s="2048" t="s">
        <v>754</v>
      </c>
      <c r="B62" s="90"/>
      <c r="C62" s="1129">
        <v>822547</v>
      </c>
      <c r="D62" s="1129">
        <v>822547</v>
      </c>
      <c r="E62" s="1129">
        <v>822547</v>
      </c>
      <c r="F62" s="1129">
        <v>822547</v>
      </c>
      <c r="G62" s="1129">
        <v>822547</v>
      </c>
      <c r="H62" s="1129">
        <v>822547</v>
      </c>
      <c r="I62" s="150">
        <f t="shared" si="28"/>
        <v>4935282</v>
      </c>
      <c r="K62" s="150"/>
      <c r="L62" s="150"/>
      <c r="P62" s="150"/>
      <c r="Q62" s="150"/>
      <c r="R62" s="150"/>
      <c r="S62" s="150"/>
      <c r="T62" s="150"/>
      <c r="U62" s="150"/>
    </row>
    <row r="63" spans="1:21" x14ac:dyDescent="0.2">
      <c r="A63" s="2048" t="s">
        <v>755</v>
      </c>
      <c r="B63" s="90"/>
      <c r="C63" s="1129">
        <v>678459</v>
      </c>
      <c r="D63" s="1129">
        <v>678459</v>
      </c>
      <c r="E63" s="1129">
        <v>678459</v>
      </c>
      <c r="F63" s="1129">
        <v>678459</v>
      </c>
      <c r="G63" s="1129">
        <v>678459</v>
      </c>
      <c r="H63" s="1129">
        <v>678459</v>
      </c>
      <c r="I63" s="150">
        <f t="shared" si="28"/>
        <v>4070754</v>
      </c>
      <c r="K63" s="150"/>
      <c r="L63" s="150"/>
      <c r="P63" s="150"/>
      <c r="Q63" s="150"/>
      <c r="R63" s="150"/>
      <c r="S63" s="150"/>
      <c r="T63" s="150"/>
      <c r="U63" s="150"/>
    </row>
    <row r="64" spans="1:21" x14ac:dyDescent="0.2">
      <c r="A64" s="2048" t="s">
        <v>752</v>
      </c>
      <c r="B64" s="90"/>
      <c r="C64" s="1129">
        <f>39138110*0.2</f>
        <v>7827622</v>
      </c>
      <c r="D64" s="1129">
        <f t="shared" ref="D64:H64" si="29">39138110*0.2</f>
        <v>7827622</v>
      </c>
      <c r="E64" s="1129">
        <f t="shared" si="29"/>
        <v>7827622</v>
      </c>
      <c r="F64" s="1129">
        <f t="shared" si="29"/>
        <v>7827622</v>
      </c>
      <c r="G64" s="1129">
        <f t="shared" si="29"/>
        <v>7827622</v>
      </c>
      <c r="H64" s="1129">
        <f t="shared" si="29"/>
        <v>7827622</v>
      </c>
      <c r="I64" s="150">
        <f t="shared" si="28"/>
        <v>46965732</v>
      </c>
      <c r="K64" s="150">
        <v>290000000</v>
      </c>
      <c r="L64" s="150"/>
      <c r="P64" s="150"/>
      <c r="Q64" s="150"/>
      <c r="R64" s="150"/>
      <c r="S64" s="150"/>
      <c r="T64" s="150"/>
      <c r="U64" s="150"/>
    </row>
    <row r="65" spans="1:21" x14ac:dyDescent="0.2">
      <c r="A65" s="2048" t="s">
        <v>757</v>
      </c>
      <c r="B65" s="90"/>
      <c r="C65" s="1129">
        <v>500491</v>
      </c>
      <c r="D65" s="1129">
        <f>500491+4732993.84</f>
        <v>5233484.84</v>
      </c>
      <c r="E65" s="1129">
        <v>500491</v>
      </c>
      <c r="F65" s="1129">
        <v>500491</v>
      </c>
      <c r="G65" s="1129">
        <v>500491</v>
      </c>
      <c r="H65" s="1129">
        <v>500491</v>
      </c>
      <c r="I65" s="150">
        <f t="shared" si="28"/>
        <v>7735939.8399999999</v>
      </c>
      <c r="K65" s="150">
        <f>+K64/2</f>
        <v>145000000</v>
      </c>
      <c r="L65" s="150"/>
      <c r="P65" s="150"/>
      <c r="Q65" s="150"/>
      <c r="R65" s="150"/>
      <c r="S65" s="150"/>
      <c r="T65" s="150"/>
      <c r="U65" s="150"/>
    </row>
    <row r="66" spans="1:21" x14ac:dyDescent="0.2">
      <c r="A66" s="2048" t="s">
        <v>756</v>
      </c>
      <c r="B66" s="90"/>
      <c r="C66" s="1129">
        <v>0</v>
      </c>
      <c r="D66" s="1129">
        <v>550000</v>
      </c>
      <c r="E66" s="1129">
        <v>1000000</v>
      </c>
      <c r="F66" s="1129">
        <v>1375000</v>
      </c>
      <c r="G66" s="1129">
        <v>1357708</v>
      </c>
      <c r="H66" s="1129">
        <v>1340258</v>
      </c>
      <c r="I66" s="150">
        <f t="shared" si="28"/>
        <v>5622966</v>
      </c>
      <c r="J66" s="150"/>
      <c r="K66" s="150">
        <f>+K65/6</f>
        <v>24166666.666666668</v>
      </c>
      <c r="L66" s="150"/>
      <c r="P66" s="150"/>
      <c r="Q66" s="150"/>
      <c r="R66" s="150"/>
      <c r="S66" s="150"/>
      <c r="T66" s="150"/>
      <c r="U66" s="150"/>
    </row>
    <row r="67" spans="1:21" x14ac:dyDescent="0.2">
      <c r="A67" s="2048" t="s">
        <v>814</v>
      </c>
      <c r="B67" s="90"/>
      <c r="C67" s="1129">
        <v>4415295</v>
      </c>
      <c r="D67" s="1129">
        <v>4415295</v>
      </c>
      <c r="E67" s="1129">
        <v>4415295</v>
      </c>
      <c r="F67" s="1129">
        <v>4415295</v>
      </c>
      <c r="G67" s="1129">
        <v>4415295</v>
      </c>
      <c r="H67" s="1129">
        <v>4415295</v>
      </c>
      <c r="I67" s="150">
        <f t="shared" si="28"/>
        <v>26491770</v>
      </c>
      <c r="K67" s="1253"/>
      <c r="L67" s="150"/>
      <c r="P67" s="150"/>
      <c r="Q67" s="150"/>
      <c r="R67" s="150"/>
      <c r="S67" s="150"/>
      <c r="T67" s="150"/>
      <c r="U67" s="150"/>
    </row>
    <row r="68" spans="1:21" x14ac:dyDescent="0.2">
      <c r="A68" s="2048" t="s">
        <v>815</v>
      </c>
      <c r="B68" s="90"/>
      <c r="C68" s="1129">
        <v>0</v>
      </c>
      <c r="D68" s="1129">
        <v>0</v>
      </c>
      <c r="E68" s="1129">
        <v>0</v>
      </c>
      <c r="F68" s="1129">
        <v>0</v>
      </c>
      <c r="G68" s="1129">
        <v>0</v>
      </c>
      <c r="H68" s="1129">
        <v>0</v>
      </c>
      <c r="I68" s="150">
        <f t="shared" si="28"/>
        <v>0</v>
      </c>
      <c r="K68" s="1253"/>
      <c r="L68" s="150"/>
      <c r="P68" s="150"/>
      <c r="Q68" s="150"/>
      <c r="R68" s="150"/>
      <c r="S68" s="150"/>
      <c r="T68" s="150"/>
      <c r="U68" s="150"/>
    </row>
    <row r="69" spans="1:21" x14ac:dyDescent="0.2">
      <c r="A69" s="2037" t="s">
        <v>313</v>
      </c>
      <c r="B69" s="90" t="s">
        <v>312</v>
      </c>
      <c r="C69" s="1169">
        <v>814954</v>
      </c>
      <c r="D69" s="1169">
        <v>814954</v>
      </c>
      <c r="E69" s="1169">
        <v>814954</v>
      </c>
      <c r="F69" s="1169">
        <f>1880915.98+230439.678903691</f>
        <v>2111355.658903691</v>
      </c>
      <c r="G69" s="1169">
        <f t="shared" ref="G69:H69" si="30">1880915.98+230439.678903691</f>
        <v>2111355.658903691</v>
      </c>
      <c r="H69" s="1169">
        <f t="shared" si="30"/>
        <v>2111355.658903691</v>
      </c>
      <c r="I69" s="150">
        <f t="shared" si="28"/>
        <v>8778928.976711072</v>
      </c>
      <c r="K69" s="1253"/>
      <c r="L69" s="150"/>
      <c r="P69" s="150"/>
      <c r="Q69" s="150"/>
      <c r="R69" s="150"/>
      <c r="S69" s="150"/>
      <c r="T69" s="150"/>
      <c r="U69" s="150"/>
    </row>
    <row r="70" spans="1:21" x14ac:dyDescent="0.2">
      <c r="A70" s="2037" t="s">
        <v>314</v>
      </c>
      <c r="B70" s="90" t="s">
        <v>312</v>
      </c>
      <c r="C70" s="1127">
        <v>5371623.1299999999</v>
      </c>
      <c r="D70" s="1127">
        <v>5371623.1299999999</v>
      </c>
      <c r="E70" s="1127">
        <v>5371623.1299999999</v>
      </c>
      <c r="F70" s="1127">
        <f>5371623.13+647867.657554497</f>
        <v>6019490.7875544969</v>
      </c>
      <c r="G70" s="1127">
        <f t="shared" ref="G70:H70" si="31">5371623.13+647867.657554497</f>
        <v>6019490.7875544969</v>
      </c>
      <c r="H70" s="1127">
        <f t="shared" si="31"/>
        <v>6019490.7875544969</v>
      </c>
      <c r="I70" s="150">
        <f t="shared" si="28"/>
        <v>34173341.752663486</v>
      </c>
      <c r="J70" s="150"/>
      <c r="K70" s="1253"/>
      <c r="L70" s="150"/>
      <c r="P70" s="150"/>
      <c r="Q70" s="150"/>
      <c r="R70" s="150"/>
      <c r="S70" s="150"/>
      <c r="T70" s="150"/>
      <c r="U70" s="150"/>
    </row>
    <row r="71" spans="1:21" x14ac:dyDescent="0.2">
      <c r="A71" s="2037" t="s">
        <v>315</v>
      </c>
      <c r="B71" s="90"/>
      <c r="C71" s="1139"/>
      <c r="D71" s="1139"/>
      <c r="E71" s="1139"/>
      <c r="F71" s="1139"/>
      <c r="G71" s="1139"/>
      <c r="H71" s="2070"/>
      <c r="I71" s="150">
        <f t="shared" si="28"/>
        <v>0</v>
      </c>
      <c r="K71" s="1253"/>
      <c r="L71" s="150"/>
      <c r="P71" s="150"/>
      <c r="Q71" s="150"/>
      <c r="R71" s="150"/>
      <c r="S71" s="150"/>
      <c r="T71" s="150"/>
      <c r="U71" s="150"/>
    </row>
    <row r="72" spans="1:21" x14ac:dyDescent="0.2">
      <c r="A72" s="2037" t="s">
        <v>316</v>
      </c>
      <c r="B72" s="90"/>
      <c r="C72" s="1140">
        <f t="shared" ref="C72:H72" si="32">C19</f>
        <v>0</v>
      </c>
      <c r="D72" s="1140">
        <f t="shared" si="32"/>
        <v>0</v>
      </c>
      <c r="E72" s="1140">
        <f t="shared" si="32"/>
        <v>0</v>
      </c>
      <c r="F72" s="1140">
        <f t="shared" si="32"/>
        <v>0</v>
      </c>
      <c r="G72" s="1140">
        <f t="shared" si="32"/>
        <v>0</v>
      </c>
      <c r="H72" s="2555">
        <f t="shared" si="32"/>
        <v>0</v>
      </c>
      <c r="I72" s="150">
        <f t="shared" si="28"/>
        <v>0</v>
      </c>
      <c r="J72" s="183"/>
      <c r="K72" s="1253"/>
      <c r="L72" s="150"/>
      <c r="P72" s="150"/>
      <c r="Q72" s="150"/>
      <c r="R72" s="150"/>
      <c r="S72" s="150"/>
      <c r="T72" s="150"/>
      <c r="U72" s="150"/>
    </row>
    <row r="73" spans="1:21" x14ac:dyDescent="0.2">
      <c r="A73" s="2037"/>
      <c r="B73" s="90"/>
      <c r="C73" s="1125"/>
      <c r="D73" s="1125"/>
      <c r="E73" s="1125"/>
      <c r="F73" s="1125"/>
      <c r="G73" s="90"/>
      <c r="H73" s="2053"/>
      <c r="I73" s="150">
        <f t="shared" si="28"/>
        <v>0</v>
      </c>
      <c r="L73" s="150"/>
      <c r="P73" s="150"/>
      <c r="Q73" s="150"/>
      <c r="R73" s="150"/>
      <c r="S73" s="150"/>
      <c r="T73" s="150"/>
      <c r="U73" s="150"/>
    </row>
    <row r="74" spans="1:21" ht="13.2" x14ac:dyDescent="0.25">
      <c r="A74" s="2046" t="s">
        <v>317</v>
      </c>
      <c r="B74" s="1133"/>
      <c r="C74" s="1125"/>
      <c r="D74" s="1125"/>
      <c r="E74" s="1125"/>
      <c r="F74" s="1125"/>
      <c r="G74" s="90"/>
      <c r="H74" s="48"/>
      <c r="I74" s="150">
        <f t="shared" si="28"/>
        <v>0</v>
      </c>
      <c r="L74" s="150"/>
      <c r="P74" s="150"/>
      <c r="Q74" s="150"/>
      <c r="R74" s="150"/>
      <c r="S74" s="150"/>
      <c r="T74" s="150"/>
      <c r="U74" s="150"/>
    </row>
    <row r="75" spans="1:21" x14ac:dyDescent="0.2">
      <c r="A75" s="2037" t="s">
        <v>318</v>
      </c>
      <c r="B75" s="90" t="s">
        <v>312</v>
      </c>
      <c r="C75" s="1127">
        <v>0</v>
      </c>
      <c r="D75" s="1127">
        <v>1000000</v>
      </c>
      <c r="E75" s="1127">
        <v>1833333.3333333333</v>
      </c>
      <c r="F75" s="1127">
        <v>2500000</v>
      </c>
      <c r="G75" s="1127">
        <v>2500000</v>
      </c>
      <c r="H75" s="2130">
        <v>2500000</v>
      </c>
      <c r="I75" s="150">
        <f t="shared" si="28"/>
        <v>10333333.333333332</v>
      </c>
      <c r="J75" s="150"/>
      <c r="K75" s="150">
        <f>+C78+C69</f>
        <v>28253024.129999999</v>
      </c>
      <c r="L75" s="348">
        <f>+D78-1991424</f>
        <v>31729639.969999999</v>
      </c>
      <c r="P75" s="150"/>
      <c r="Q75" s="150"/>
      <c r="R75" s="150"/>
      <c r="S75" s="150"/>
      <c r="T75" s="150"/>
      <c r="U75" s="150"/>
    </row>
    <row r="76" spans="1:21" x14ac:dyDescent="0.2">
      <c r="A76" s="2037"/>
      <c r="B76" s="90"/>
      <c r="C76" s="47"/>
      <c r="D76" s="1125"/>
      <c r="E76" s="1125"/>
      <c r="F76" s="1125"/>
      <c r="G76" s="90"/>
      <c r="H76" s="48"/>
      <c r="I76" s="150">
        <f t="shared" si="28"/>
        <v>0</v>
      </c>
      <c r="L76" s="150"/>
      <c r="P76" s="150"/>
      <c r="Q76" s="150"/>
      <c r="R76" s="150"/>
      <c r="S76" s="150"/>
      <c r="T76" s="150"/>
      <c r="U76" s="150"/>
    </row>
    <row r="77" spans="1:21" x14ac:dyDescent="0.2">
      <c r="A77" s="2037"/>
      <c r="B77" s="90"/>
      <c r="C77" s="1125"/>
      <c r="D77" s="1125"/>
      <c r="E77" s="1125"/>
      <c r="F77" s="1125"/>
      <c r="G77" s="90"/>
      <c r="H77" s="2060"/>
      <c r="I77" s="150">
        <f t="shared" si="28"/>
        <v>0</v>
      </c>
      <c r="L77" s="150"/>
      <c r="P77" s="150"/>
      <c r="Q77" s="150"/>
      <c r="R77" s="150"/>
      <c r="S77" s="150"/>
      <c r="T77" s="150"/>
      <c r="U77" s="150"/>
    </row>
    <row r="78" spans="1:21" ht="13.2" x14ac:dyDescent="0.25">
      <c r="A78" s="2037" t="s">
        <v>349</v>
      </c>
      <c r="B78" s="151" t="s">
        <v>320</v>
      </c>
      <c r="C78" s="1125">
        <f t="shared" ref="C78:H78" si="33">C59+C69+C70+C75</f>
        <v>27438070.129999999</v>
      </c>
      <c r="D78" s="1125">
        <f t="shared" si="33"/>
        <v>33721063.969999999</v>
      </c>
      <c r="E78" s="1125">
        <f t="shared" si="33"/>
        <v>30271403.463333331</v>
      </c>
      <c r="F78" s="1125">
        <f t="shared" si="33"/>
        <v>36014387.071458191</v>
      </c>
      <c r="G78" s="1125">
        <f t="shared" si="33"/>
        <v>35997095.071458191</v>
      </c>
      <c r="H78" s="2123">
        <f t="shared" si="33"/>
        <v>35979645.071458191</v>
      </c>
      <c r="I78" s="150">
        <f t="shared" si="28"/>
        <v>199421664.7777079</v>
      </c>
      <c r="L78" s="150"/>
      <c r="P78" s="150"/>
      <c r="Q78" s="150"/>
      <c r="R78" s="150"/>
      <c r="S78" s="150"/>
      <c r="T78" s="150"/>
      <c r="U78" s="150"/>
    </row>
    <row r="79" spans="1:21" ht="13.2" x14ac:dyDescent="0.25">
      <c r="A79" s="2037" t="s">
        <v>150</v>
      </c>
      <c r="B79" s="151" t="s">
        <v>39</v>
      </c>
      <c r="C79" s="1129">
        <v>50</v>
      </c>
      <c r="D79" s="1129">
        <v>50</v>
      </c>
      <c r="E79" s="1129">
        <v>50</v>
      </c>
      <c r="F79" s="1129">
        <v>50</v>
      </c>
      <c r="G79" s="1129">
        <v>50</v>
      </c>
      <c r="H79" s="2050">
        <v>50</v>
      </c>
      <c r="I79" s="150">
        <f t="shared" si="28"/>
        <v>300</v>
      </c>
      <c r="L79" s="150"/>
      <c r="P79" s="150"/>
      <c r="Q79" s="150"/>
      <c r="R79" s="150"/>
      <c r="S79" s="150"/>
      <c r="T79" s="150"/>
      <c r="U79" s="150"/>
    </row>
    <row r="80" spans="1:21" ht="13.2" x14ac:dyDescent="0.25">
      <c r="A80" s="152" t="s">
        <v>350</v>
      </c>
      <c r="B80" s="151" t="s">
        <v>322</v>
      </c>
      <c r="C80" s="144">
        <f t="shared" ref="C80:H80" si="34">C78/(C79*1000)</f>
        <v>548.7614026</v>
      </c>
      <c r="D80" s="145">
        <f t="shared" si="34"/>
        <v>674.4212794</v>
      </c>
      <c r="E80" s="145">
        <f t="shared" si="34"/>
        <v>605.42806926666663</v>
      </c>
      <c r="F80" s="145">
        <f t="shared" si="34"/>
        <v>720.28774142916382</v>
      </c>
      <c r="G80" s="145">
        <f t="shared" si="34"/>
        <v>719.94190142916386</v>
      </c>
      <c r="H80" s="2034">
        <f t="shared" si="34"/>
        <v>719.59290142916382</v>
      </c>
      <c r="I80" s="150">
        <f t="shared" si="28"/>
        <v>3988.4332955541581</v>
      </c>
      <c r="L80" s="150"/>
      <c r="P80" s="150"/>
      <c r="Q80" s="150"/>
      <c r="R80" s="150"/>
      <c r="S80" s="150"/>
      <c r="T80" s="150"/>
      <c r="U80" s="150"/>
    </row>
    <row r="81" spans="1:21" x14ac:dyDescent="0.2">
      <c r="A81" s="75"/>
      <c r="H81" s="171"/>
      <c r="L81" s="150"/>
      <c r="P81" s="150"/>
      <c r="Q81" s="150"/>
      <c r="R81" s="150"/>
      <c r="S81" s="150"/>
      <c r="T81" s="150"/>
      <c r="U81" s="150"/>
    </row>
    <row r="82" spans="1:21" x14ac:dyDescent="0.2">
      <c r="A82" s="75"/>
      <c r="H82" s="171"/>
      <c r="L82" s="150"/>
      <c r="P82" s="150"/>
      <c r="Q82" s="150"/>
      <c r="R82" s="150"/>
      <c r="S82" s="150"/>
      <c r="T82" s="150"/>
      <c r="U82" s="150"/>
    </row>
    <row r="83" spans="1:21" x14ac:dyDescent="0.2">
      <c r="A83" s="75"/>
      <c r="H83" s="171"/>
      <c r="L83" s="150"/>
      <c r="P83" s="150"/>
      <c r="Q83" s="150"/>
      <c r="R83" s="150"/>
      <c r="S83" s="150"/>
      <c r="T83" s="150"/>
      <c r="U83" s="150"/>
    </row>
    <row r="84" spans="1:21" ht="13.2" x14ac:dyDescent="0.25">
      <c r="A84" s="147" t="s">
        <v>351</v>
      </c>
      <c r="B84" s="148">
        <v>824</v>
      </c>
      <c r="C84" s="384"/>
      <c r="D84" s="385"/>
      <c r="E84" s="385"/>
      <c r="F84" s="385"/>
      <c r="G84" s="386"/>
      <c r="H84" s="2554"/>
      <c r="L84" s="150"/>
      <c r="P84" s="150"/>
      <c r="Q84" s="150"/>
      <c r="R84" s="150"/>
      <c r="S84" s="150"/>
      <c r="T84" s="150"/>
      <c r="U84" s="150"/>
    </row>
    <row r="85" spans="1:21" ht="13.2" x14ac:dyDescent="0.25">
      <c r="A85" s="136" t="s">
        <v>310</v>
      </c>
      <c r="B85" s="137"/>
      <c r="C85" s="380"/>
      <c r="D85" s="379"/>
      <c r="E85" s="379"/>
      <c r="F85" s="379"/>
      <c r="G85" s="378"/>
      <c r="H85" s="2556"/>
      <c r="L85" s="150"/>
      <c r="P85" s="150"/>
      <c r="Q85" s="150"/>
      <c r="R85" s="150"/>
      <c r="S85" s="150"/>
      <c r="T85" s="150"/>
      <c r="U85" s="150"/>
    </row>
    <row r="86" spans="1:21" x14ac:dyDescent="0.2">
      <c r="A86" s="2037" t="s">
        <v>311</v>
      </c>
      <c r="B86" s="90" t="s">
        <v>312</v>
      </c>
      <c r="C86" s="1126">
        <f>SUM(C87:C95)</f>
        <v>18891361.399999999</v>
      </c>
      <c r="D86" s="1126">
        <f t="shared" ref="D86:H86" si="35">SUM(D87:D95)</f>
        <v>24570954</v>
      </c>
      <c r="E86" s="1126">
        <f t="shared" si="35"/>
        <v>18891361.399999999</v>
      </c>
      <c r="F86" s="1126">
        <f t="shared" si="35"/>
        <v>20574675.56666667</v>
      </c>
      <c r="G86" s="1126">
        <f t="shared" si="35"/>
        <v>20574675.56666667</v>
      </c>
      <c r="H86" s="1126">
        <f t="shared" si="35"/>
        <v>20574675.56666667</v>
      </c>
      <c r="I86" s="150">
        <f>SUM(C86:H86)</f>
        <v>124077703.5</v>
      </c>
      <c r="K86" s="150"/>
      <c r="L86" s="150"/>
      <c r="P86" s="150"/>
      <c r="Q86" s="150"/>
      <c r="R86" s="150"/>
      <c r="S86" s="150"/>
      <c r="T86" s="150"/>
      <c r="U86" s="150"/>
    </row>
    <row r="87" spans="1:21" x14ac:dyDescent="0.2">
      <c r="A87" s="2048" t="s">
        <v>753</v>
      </c>
      <c r="B87" s="90"/>
      <c r="C87" s="1129">
        <v>9379255</v>
      </c>
      <c r="D87" s="1129">
        <v>9379255</v>
      </c>
      <c r="E87" s="1129">
        <v>9379255</v>
      </c>
      <c r="F87" s="1129">
        <f>9379255+1683314.16666667</f>
        <v>11062569.16666667</v>
      </c>
      <c r="G87" s="1129">
        <f t="shared" ref="G87:H87" si="36">9379255+1683314.16666667</f>
        <v>11062569.16666667</v>
      </c>
      <c r="H87" s="1129">
        <f t="shared" si="36"/>
        <v>11062569.16666667</v>
      </c>
      <c r="I87" s="150">
        <f>SUM(C87:H87)</f>
        <v>61325472.500000015</v>
      </c>
      <c r="K87" s="150"/>
      <c r="L87" s="150"/>
      <c r="P87" s="150"/>
      <c r="Q87" s="150"/>
      <c r="R87" s="150"/>
      <c r="S87" s="150"/>
      <c r="T87" s="150"/>
      <c r="U87" s="150"/>
    </row>
    <row r="88" spans="1:21" x14ac:dyDescent="0.2">
      <c r="A88" s="2048" t="s">
        <v>758</v>
      </c>
      <c r="B88" s="90"/>
      <c r="C88" s="1129">
        <v>879038</v>
      </c>
      <c r="D88" s="1129">
        <v>879038</v>
      </c>
      <c r="E88" s="1129">
        <v>879038</v>
      </c>
      <c r="F88" s="1129">
        <v>879038</v>
      </c>
      <c r="G88" s="1129">
        <v>879038</v>
      </c>
      <c r="H88" s="1129">
        <v>879038</v>
      </c>
      <c r="I88" s="150">
        <f t="shared" ref="I88:I107" si="37">SUM(C88:H88)</f>
        <v>5274228</v>
      </c>
      <c r="K88" s="150"/>
      <c r="L88" s="150"/>
      <c r="P88" s="150"/>
      <c r="Q88" s="150"/>
      <c r="R88" s="150"/>
      <c r="S88" s="150"/>
      <c r="T88" s="150"/>
      <c r="U88" s="150"/>
    </row>
    <row r="89" spans="1:21" x14ac:dyDescent="0.2">
      <c r="A89" s="2048" t="s">
        <v>754</v>
      </c>
      <c r="B89" s="90"/>
      <c r="C89" s="1129">
        <v>502429</v>
      </c>
      <c r="D89" s="1129">
        <v>502429</v>
      </c>
      <c r="E89" s="1129">
        <v>502429</v>
      </c>
      <c r="F89" s="1129">
        <v>502429</v>
      </c>
      <c r="G89" s="1129">
        <v>502429</v>
      </c>
      <c r="H89" s="1129">
        <v>502429</v>
      </c>
      <c r="I89" s="150">
        <f t="shared" si="37"/>
        <v>3014574</v>
      </c>
      <c r="K89" s="150"/>
      <c r="L89" s="150"/>
      <c r="P89" s="150"/>
      <c r="Q89" s="150"/>
      <c r="R89" s="150"/>
      <c r="S89" s="150"/>
      <c r="T89" s="150"/>
      <c r="U89" s="150"/>
    </row>
    <row r="90" spans="1:21" x14ac:dyDescent="0.2">
      <c r="A90" s="2048" t="s">
        <v>755</v>
      </c>
      <c r="B90" s="90"/>
      <c r="C90" s="1129">
        <v>647271</v>
      </c>
      <c r="D90" s="1129">
        <v>647271</v>
      </c>
      <c r="E90" s="1129">
        <v>647271</v>
      </c>
      <c r="F90" s="1129">
        <v>647271</v>
      </c>
      <c r="G90" s="1129">
        <v>647271</v>
      </c>
      <c r="H90" s="1129">
        <v>647271</v>
      </c>
      <c r="I90" s="150">
        <f t="shared" si="37"/>
        <v>3883626</v>
      </c>
      <c r="K90" s="150"/>
      <c r="L90" s="150"/>
      <c r="P90" s="150"/>
      <c r="Q90" s="150"/>
      <c r="R90" s="150"/>
      <c r="S90" s="150"/>
      <c r="T90" s="150"/>
      <c r="U90" s="150"/>
    </row>
    <row r="91" spans="1:21" x14ac:dyDescent="0.2">
      <c r="A91" s="2048" t="s">
        <v>752</v>
      </c>
      <c r="B91" s="90"/>
      <c r="C91" s="1129">
        <f>7819802*0.2</f>
        <v>1563960.4000000001</v>
      </c>
      <c r="D91" s="1129">
        <f t="shared" ref="D91:H91" si="38">7819802*0.2</f>
        <v>1563960.4000000001</v>
      </c>
      <c r="E91" s="1129">
        <f t="shared" si="38"/>
        <v>1563960.4000000001</v>
      </c>
      <c r="F91" s="1129">
        <f t="shared" si="38"/>
        <v>1563960.4000000001</v>
      </c>
      <c r="G91" s="1129">
        <f t="shared" si="38"/>
        <v>1563960.4000000001</v>
      </c>
      <c r="H91" s="1129">
        <f t="shared" si="38"/>
        <v>1563960.4000000001</v>
      </c>
      <c r="I91" s="150">
        <f t="shared" si="37"/>
        <v>9383762.4000000004</v>
      </c>
      <c r="K91" s="150"/>
      <c r="L91" s="150"/>
      <c r="P91" s="150"/>
      <c r="Q91" s="150"/>
      <c r="R91" s="150"/>
      <c r="S91" s="150"/>
      <c r="T91" s="150"/>
      <c r="U91" s="150"/>
    </row>
    <row r="92" spans="1:21" x14ac:dyDescent="0.2">
      <c r="A92" s="2048" t="s">
        <v>757</v>
      </c>
      <c r="B92" s="90"/>
      <c r="C92" s="1129">
        <v>621054</v>
      </c>
      <c r="D92" s="1129">
        <f>621054+5679592.6</f>
        <v>6300646.5999999996</v>
      </c>
      <c r="E92" s="1129">
        <v>621054</v>
      </c>
      <c r="F92" s="1129">
        <v>621054</v>
      </c>
      <c r="G92" s="1129">
        <v>621054</v>
      </c>
      <c r="H92" s="1129">
        <v>621054</v>
      </c>
      <c r="I92" s="150">
        <f t="shared" si="37"/>
        <v>9405916.5999999996</v>
      </c>
      <c r="K92" s="150"/>
      <c r="L92" s="150"/>
      <c r="P92" s="150"/>
      <c r="Q92" s="150"/>
      <c r="R92" s="150"/>
      <c r="S92" s="150"/>
      <c r="T92" s="150"/>
      <c r="U92" s="150"/>
    </row>
    <row r="93" spans="1:21" x14ac:dyDescent="0.2">
      <c r="A93" s="2048" t="s">
        <v>756</v>
      </c>
      <c r="B93" s="90"/>
      <c r="C93" s="1129">
        <v>0</v>
      </c>
      <c r="D93" s="1129">
        <v>0</v>
      </c>
      <c r="E93" s="1129">
        <v>0</v>
      </c>
      <c r="F93" s="1129">
        <v>0</v>
      </c>
      <c r="G93" s="1129">
        <v>0</v>
      </c>
      <c r="H93" s="1129">
        <v>0</v>
      </c>
      <c r="I93" s="150">
        <f t="shared" si="37"/>
        <v>0</v>
      </c>
      <c r="J93" s="150"/>
      <c r="K93" s="150"/>
      <c r="L93" s="150"/>
      <c r="P93" s="150"/>
      <c r="Q93" s="150"/>
      <c r="R93" s="150"/>
      <c r="S93" s="150"/>
      <c r="T93" s="150"/>
      <c r="U93" s="150"/>
    </row>
    <row r="94" spans="1:21" x14ac:dyDescent="0.2">
      <c r="A94" s="2048" t="s">
        <v>814</v>
      </c>
      <c r="B94" s="90"/>
      <c r="C94" s="1129">
        <v>5298354</v>
      </c>
      <c r="D94" s="1129">
        <v>5298354</v>
      </c>
      <c r="E94" s="1129">
        <v>5298354</v>
      </c>
      <c r="F94" s="1129">
        <v>5298354</v>
      </c>
      <c r="G94" s="1129">
        <v>5298354</v>
      </c>
      <c r="H94" s="1129">
        <v>5298354</v>
      </c>
      <c r="I94" s="150">
        <f t="shared" si="37"/>
        <v>31790124</v>
      </c>
      <c r="K94" s="1253"/>
      <c r="L94" s="150"/>
      <c r="P94" s="150"/>
      <c r="Q94" s="150"/>
      <c r="R94" s="150"/>
      <c r="S94" s="150"/>
      <c r="T94" s="150"/>
      <c r="U94" s="150"/>
    </row>
    <row r="95" spans="1:21" x14ac:dyDescent="0.2">
      <c r="A95" s="2048" t="s">
        <v>815</v>
      </c>
      <c r="B95" s="90"/>
      <c r="C95" s="1129">
        <v>0</v>
      </c>
      <c r="D95" s="1129">
        <v>0</v>
      </c>
      <c r="E95" s="1129">
        <v>0</v>
      </c>
      <c r="F95" s="1129">
        <v>0</v>
      </c>
      <c r="G95" s="1129">
        <v>0</v>
      </c>
      <c r="H95" s="1129">
        <v>0</v>
      </c>
      <c r="I95" s="150">
        <f t="shared" si="37"/>
        <v>0</v>
      </c>
      <c r="K95" s="1253"/>
      <c r="L95" s="150"/>
      <c r="P95" s="150"/>
      <c r="Q95" s="150"/>
      <c r="R95" s="150"/>
      <c r="S95" s="150"/>
      <c r="T95" s="150"/>
      <c r="U95" s="150"/>
    </row>
    <row r="96" spans="1:21" x14ac:dyDescent="0.2">
      <c r="A96" s="2037" t="s">
        <v>313</v>
      </c>
      <c r="B96" s="90" t="s">
        <v>312</v>
      </c>
      <c r="C96" s="1169">
        <v>977945</v>
      </c>
      <c r="D96" s="1169">
        <v>977945</v>
      </c>
      <c r="E96" s="1169">
        <v>977945</v>
      </c>
      <c r="F96" s="1169">
        <f>2257099.18+276527.614684429</f>
        <v>2533626.7946844292</v>
      </c>
      <c r="G96" s="1169">
        <f t="shared" ref="G96:H96" si="39">2257099.18+276527.614684429</f>
        <v>2533626.7946844292</v>
      </c>
      <c r="H96" s="1169">
        <f t="shared" si="39"/>
        <v>2533626.7946844292</v>
      </c>
      <c r="I96" s="150">
        <f t="shared" si="37"/>
        <v>10534715.384053286</v>
      </c>
      <c r="K96" s="1253"/>
      <c r="L96" s="150"/>
      <c r="P96" s="150"/>
      <c r="Q96" s="150"/>
      <c r="R96" s="150"/>
      <c r="S96" s="150"/>
      <c r="T96" s="150"/>
      <c r="U96" s="150"/>
    </row>
    <row r="97" spans="1:21" x14ac:dyDescent="0.2">
      <c r="A97" s="2037" t="s">
        <v>314</v>
      </c>
      <c r="B97" s="90" t="s">
        <v>312</v>
      </c>
      <c r="C97" s="1127">
        <v>6445947.7599999998</v>
      </c>
      <c r="D97" s="1127">
        <v>6445947.7599999998</v>
      </c>
      <c r="E97" s="1127">
        <v>6445947.7599999998</v>
      </c>
      <c r="F97" s="1127">
        <f>6445947.76+777441.189065396</f>
        <v>7223388.9490653956</v>
      </c>
      <c r="G97" s="1127">
        <f t="shared" ref="G97:H97" si="40">6445947.76+777441.189065396</f>
        <v>7223388.9490653956</v>
      </c>
      <c r="H97" s="1127">
        <f t="shared" si="40"/>
        <v>7223388.9490653956</v>
      </c>
      <c r="I97" s="150">
        <f t="shared" si="37"/>
        <v>41008010.127196185</v>
      </c>
      <c r="J97" s="150"/>
      <c r="K97" s="1253"/>
      <c r="L97" s="150"/>
      <c r="P97" s="150"/>
      <c r="Q97" s="150"/>
      <c r="R97" s="150"/>
      <c r="S97" s="150"/>
      <c r="T97" s="150"/>
      <c r="U97" s="150"/>
    </row>
    <row r="98" spans="1:21" x14ac:dyDescent="0.2">
      <c r="A98" s="2037" t="s">
        <v>315</v>
      </c>
      <c r="B98" s="90"/>
      <c r="C98" s="1139"/>
      <c r="D98" s="1139"/>
      <c r="E98" s="1139"/>
      <c r="F98" s="1139"/>
      <c r="G98" s="1139"/>
      <c r="H98" s="2070"/>
      <c r="I98" s="150">
        <f t="shared" si="37"/>
        <v>0</v>
      </c>
      <c r="K98" s="1253"/>
      <c r="L98" s="150"/>
      <c r="P98" s="150"/>
      <c r="Q98" s="150"/>
      <c r="R98" s="150"/>
      <c r="S98" s="150"/>
      <c r="T98" s="150"/>
      <c r="U98" s="150"/>
    </row>
    <row r="99" spans="1:21" x14ac:dyDescent="0.2">
      <c r="A99" s="2037" t="s">
        <v>316</v>
      </c>
      <c r="B99" s="90"/>
      <c r="C99" s="1140">
        <f t="shared" ref="C99:H99" si="41">C19</f>
        <v>0</v>
      </c>
      <c r="D99" s="1140">
        <f t="shared" si="41"/>
        <v>0</v>
      </c>
      <c r="E99" s="1140">
        <f t="shared" si="41"/>
        <v>0</v>
      </c>
      <c r="F99" s="1140">
        <f t="shared" si="41"/>
        <v>0</v>
      </c>
      <c r="G99" s="1140">
        <f t="shared" si="41"/>
        <v>0</v>
      </c>
      <c r="H99" s="2555">
        <f t="shared" si="41"/>
        <v>0</v>
      </c>
      <c r="I99" s="150">
        <f t="shared" si="37"/>
        <v>0</v>
      </c>
      <c r="J99" s="183"/>
      <c r="K99" s="1253"/>
      <c r="L99" s="150"/>
      <c r="P99" s="150"/>
      <c r="Q99" s="150"/>
      <c r="R99" s="150"/>
      <c r="S99" s="150"/>
      <c r="T99" s="150"/>
      <c r="U99" s="150"/>
    </row>
    <row r="100" spans="1:21" x14ac:dyDescent="0.2">
      <c r="A100" s="2037"/>
      <c r="B100" s="90"/>
      <c r="C100" s="1125"/>
      <c r="D100" s="1125"/>
      <c r="E100" s="1125"/>
      <c r="F100" s="1125"/>
      <c r="G100" s="90"/>
      <c r="H100" s="2053"/>
      <c r="I100" s="150">
        <f t="shared" si="37"/>
        <v>0</v>
      </c>
      <c r="L100" s="150"/>
      <c r="P100" s="150"/>
      <c r="Q100" s="150"/>
      <c r="R100" s="150"/>
      <c r="S100" s="150"/>
      <c r="T100" s="150"/>
      <c r="U100" s="150"/>
    </row>
    <row r="101" spans="1:21" ht="13.2" x14ac:dyDescent="0.25">
      <c r="A101" s="2046" t="s">
        <v>317</v>
      </c>
      <c r="B101" s="1133"/>
      <c r="C101" s="1125"/>
      <c r="D101" s="1125"/>
      <c r="E101" s="1125"/>
      <c r="F101" s="1125"/>
      <c r="G101" s="90"/>
      <c r="H101" s="48"/>
      <c r="I101" s="150">
        <f t="shared" si="37"/>
        <v>0</v>
      </c>
      <c r="L101" s="150"/>
      <c r="P101" s="150"/>
      <c r="Q101" s="150"/>
      <c r="R101" s="150"/>
      <c r="S101" s="150"/>
      <c r="T101" s="150"/>
      <c r="U101" s="150"/>
    </row>
    <row r="102" spans="1:21" x14ac:dyDescent="0.2">
      <c r="A102" s="2037" t="s">
        <v>318</v>
      </c>
      <c r="B102" s="90" t="s">
        <v>312</v>
      </c>
      <c r="C102" s="1127"/>
      <c r="D102" s="1127"/>
      <c r="E102" s="1127"/>
      <c r="F102" s="1127"/>
      <c r="G102" s="1127"/>
      <c r="H102" s="2130"/>
      <c r="I102" s="150">
        <f t="shared" si="37"/>
        <v>0</v>
      </c>
      <c r="J102" s="150"/>
      <c r="L102" s="150"/>
      <c r="P102" s="150"/>
      <c r="Q102" s="150"/>
      <c r="R102" s="150"/>
      <c r="S102" s="150"/>
      <c r="T102" s="150"/>
      <c r="U102" s="150"/>
    </row>
    <row r="103" spans="1:21" x14ac:dyDescent="0.2">
      <c r="A103" s="2037"/>
      <c r="B103" s="90"/>
      <c r="C103" s="47"/>
      <c r="D103" s="1125"/>
      <c r="E103" s="1125"/>
      <c r="F103" s="1125"/>
      <c r="G103" s="90"/>
      <c r="H103" s="48"/>
      <c r="I103" s="150">
        <f t="shared" si="37"/>
        <v>0</v>
      </c>
      <c r="L103" s="150"/>
      <c r="P103" s="150"/>
      <c r="Q103" s="150"/>
      <c r="R103" s="150"/>
      <c r="S103" s="150"/>
      <c r="T103" s="150"/>
      <c r="U103" s="150"/>
    </row>
    <row r="104" spans="1:21" x14ac:dyDescent="0.2">
      <c r="A104" s="2037"/>
      <c r="B104" s="90"/>
      <c r="C104" s="1125"/>
      <c r="D104" s="1125"/>
      <c r="E104" s="1125"/>
      <c r="F104" s="1125"/>
      <c r="G104" s="90"/>
      <c r="H104" s="2060"/>
      <c r="I104" s="150">
        <f t="shared" si="37"/>
        <v>0</v>
      </c>
      <c r="K104" s="150">
        <f>+C105+C96</f>
        <v>27293199.159999996</v>
      </c>
      <c r="L104" s="348">
        <f>+D105-2389709</f>
        <v>29605137.759999998</v>
      </c>
      <c r="P104" s="150"/>
      <c r="Q104" s="150"/>
      <c r="R104" s="150"/>
      <c r="S104" s="150"/>
      <c r="T104" s="150"/>
      <c r="U104" s="150"/>
    </row>
    <row r="105" spans="1:21" ht="13.2" x14ac:dyDescent="0.25">
      <c r="A105" s="2037" t="s">
        <v>352</v>
      </c>
      <c r="B105" s="151" t="s">
        <v>320</v>
      </c>
      <c r="C105" s="1125">
        <f t="shared" ref="C105:H105" si="42">C86+C96+C97+C102</f>
        <v>26315254.159999996</v>
      </c>
      <c r="D105" s="1125">
        <f t="shared" si="42"/>
        <v>31994846.759999998</v>
      </c>
      <c r="E105" s="1125">
        <f t="shared" si="42"/>
        <v>26315254.159999996</v>
      </c>
      <c r="F105" s="1125">
        <f t="shared" si="42"/>
        <v>30331691.310416494</v>
      </c>
      <c r="G105" s="1125">
        <f t="shared" si="42"/>
        <v>30331691.310416494</v>
      </c>
      <c r="H105" s="2123">
        <f t="shared" si="42"/>
        <v>30331691.310416494</v>
      </c>
      <c r="I105" s="150">
        <f t="shared" si="37"/>
        <v>175620429.01124945</v>
      </c>
      <c r="K105" s="150"/>
      <c r="L105" s="150"/>
      <c r="P105" s="150"/>
      <c r="Q105" s="150"/>
      <c r="R105" s="150"/>
      <c r="S105" s="150"/>
      <c r="T105" s="150"/>
      <c r="U105" s="150"/>
    </row>
    <row r="106" spans="1:21" ht="13.2" x14ac:dyDescent="0.25">
      <c r="A106" s="2037" t="s">
        <v>150</v>
      </c>
      <c r="B106" s="151" t="s">
        <v>39</v>
      </c>
      <c r="C106" s="1129">
        <v>60</v>
      </c>
      <c r="D106" s="1129">
        <v>60</v>
      </c>
      <c r="E106" s="1129">
        <v>60</v>
      </c>
      <c r="F106" s="1129">
        <v>60</v>
      </c>
      <c r="G106" s="1129">
        <v>60</v>
      </c>
      <c r="H106" s="2050">
        <v>60</v>
      </c>
      <c r="I106" s="150">
        <f t="shared" si="37"/>
        <v>360</v>
      </c>
      <c r="K106" s="135"/>
      <c r="L106" s="150"/>
      <c r="P106" s="150"/>
      <c r="Q106" s="150"/>
      <c r="R106" s="150"/>
      <c r="S106" s="150"/>
      <c r="T106" s="150"/>
      <c r="U106" s="150"/>
    </row>
    <row r="107" spans="1:21" ht="13.2" x14ac:dyDescent="0.25">
      <c r="A107" s="152" t="s">
        <v>353</v>
      </c>
      <c r="B107" s="151" t="s">
        <v>322</v>
      </c>
      <c r="C107" s="144">
        <f t="shared" ref="C107:H107" si="43">C105/(C106*1000)</f>
        <v>438.58756933333325</v>
      </c>
      <c r="D107" s="145">
        <f t="shared" si="43"/>
        <v>533.24744599999997</v>
      </c>
      <c r="E107" s="145">
        <f t="shared" si="43"/>
        <v>438.58756933333325</v>
      </c>
      <c r="F107" s="145">
        <f t="shared" si="43"/>
        <v>505.52818850694155</v>
      </c>
      <c r="G107" s="145">
        <f t="shared" si="43"/>
        <v>505.52818850694155</v>
      </c>
      <c r="H107" s="2034">
        <f t="shared" si="43"/>
        <v>505.52818850694155</v>
      </c>
      <c r="I107" s="150">
        <f t="shared" si="37"/>
        <v>2927.0071501874913</v>
      </c>
      <c r="K107" s="135"/>
      <c r="L107" s="150"/>
      <c r="P107" s="150"/>
      <c r="Q107" s="150"/>
      <c r="R107" s="150"/>
      <c r="S107" s="150"/>
      <c r="T107" s="150"/>
      <c r="U107" s="150"/>
    </row>
    <row r="108" spans="1:21" x14ac:dyDescent="0.2">
      <c r="A108" s="75"/>
      <c r="H108" s="171"/>
      <c r="L108" s="150"/>
      <c r="P108" s="150"/>
      <c r="Q108" s="150"/>
      <c r="R108" s="150"/>
      <c r="S108" s="150"/>
      <c r="T108" s="150"/>
      <c r="U108" s="150"/>
    </row>
    <row r="109" spans="1:21" x14ac:dyDescent="0.2">
      <c r="A109" s="75"/>
      <c r="H109" s="171"/>
      <c r="L109" s="150"/>
      <c r="P109" s="150"/>
      <c r="Q109" s="150"/>
      <c r="R109" s="150"/>
      <c r="S109" s="150"/>
      <c r="T109" s="150"/>
      <c r="U109" s="150"/>
    </row>
    <row r="110" spans="1:21" ht="13.2" x14ac:dyDescent="0.25">
      <c r="A110" s="147" t="s">
        <v>1143</v>
      </c>
      <c r="B110" s="148">
        <v>829</v>
      </c>
      <c r="C110" s="384"/>
      <c r="D110" s="385"/>
      <c r="E110" s="385"/>
      <c r="F110" s="385"/>
      <c r="G110" s="386"/>
      <c r="H110" s="2554"/>
      <c r="L110" s="150"/>
      <c r="P110" s="150"/>
      <c r="Q110" s="150"/>
      <c r="R110" s="150"/>
      <c r="S110" s="150"/>
      <c r="T110" s="150"/>
      <c r="U110" s="150"/>
    </row>
    <row r="111" spans="1:21" ht="13.2" x14ac:dyDescent="0.25">
      <c r="A111" s="136" t="s">
        <v>310</v>
      </c>
      <c r="B111" s="137"/>
      <c r="C111" s="380"/>
      <c r="D111" s="379"/>
      <c r="E111" s="379"/>
      <c r="F111" s="379"/>
      <c r="G111" s="378"/>
      <c r="H111" s="2556"/>
      <c r="L111" s="150"/>
      <c r="P111" s="150"/>
      <c r="Q111" s="150"/>
      <c r="R111" s="150"/>
      <c r="S111" s="150"/>
      <c r="T111" s="150"/>
      <c r="U111" s="150"/>
    </row>
    <row r="112" spans="1:21" x14ac:dyDescent="0.2">
      <c r="A112" s="2037" t="s">
        <v>311</v>
      </c>
      <c r="B112" s="90" t="s">
        <v>312</v>
      </c>
      <c r="C112" s="1126">
        <f t="shared" ref="C112:H112" si="44">SUM(C113:C121)</f>
        <v>148497737.19999999</v>
      </c>
      <c r="D112" s="1126">
        <f t="shared" si="44"/>
        <v>151928390.88999999</v>
      </c>
      <c r="E112" s="1126">
        <f t="shared" si="44"/>
        <v>148583745.19999999</v>
      </c>
      <c r="F112" s="1126">
        <f t="shared" si="44"/>
        <v>148552194.19999999</v>
      </c>
      <c r="G112" s="1126">
        <f t="shared" si="44"/>
        <v>148520643.19999999</v>
      </c>
      <c r="H112" s="2047">
        <f t="shared" si="44"/>
        <v>148489092.19999999</v>
      </c>
      <c r="I112" s="150">
        <f>SUM(C112:H112)</f>
        <v>894571802.8900001</v>
      </c>
      <c r="J112" s="2884">
        <f>7.46*1000000</f>
        <v>7460000</v>
      </c>
      <c r="P112" s="150"/>
      <c r="Q112" s="150"/>
      <c r="R112" s="150"/>
      <c r="S112" s="150"/>
      <c r="T112" s="150"/>
      <c r="U112" s="150"/>
    </row>
    <row r="113" spans="1:21" x14ac:dyDescent="0.2">
      <c r="A113" s="2048" t="s">
        <v>753</v>
      </c>
      <c r="B113" s="90"/>
      <c r="C113" s="1129">
        <v>6266056</v>
      </c>
      <c r="D113" s="1129">
        <v>6266056</v>
      </c>
      <c r="E113" s="1129">
        <v>6266056</v>
      </c>
      <c r="F113" s="1129">
        <v>6266056</v>
      </c>
      <c r="G113" s="1129">
        <v>6266056</v>
      </c>
      <c r="H113" s="1129">
        <v>6266056</v>
      </c>
      <c r="I113" s="150">
        <f>SUM(C113:H113)</f>
        <v>37596336</v>
      </c>
      <c r="J113" s="402">
        <f>+J112/6</f>
        <v>1243333.3333333333</v>
      </c>
      <c r="P113" s="150"/>
      <c r="Q113" s="150"/>
      <c r="R113" s="150"/>
      <c r="S113" s="150"/>
      <c r="T113" s="150"/>
      <c r="U113" s="150"/>
    </row>
    <row r="114" spans="1:21" x14ac:dyDescent="0.2">
      <c r="A114" s="2048" t="s">
        <v>758</v>
      </c>
      <c r="B114" s="90"/>
      <c r="C114" s="1129">
        <v>1311044</v>
      </c>
      <c r="D114" s="1129">
        <v>1311044</v>
      </c>
      <c r="E114" s="1129">
        <v>1311044</v>
      </c>
      <c r="F114" s="1129">
        <v>1311044</v>
      </c>
      <c r="G114" s="1129">
        <v>1311044</v>
      </c>
      <c r="H114" s="1129">
        <v>1311044</v>
      </c>
      <c r="I114" s="150">
        <f t="shared" ref="I114:I143" si="45">SUM(C114:H114)</f>
        <v>7866264</v>
      </c>
      <c r="P114" s="150"/>
      <c r="Q114" s="150"/>
      <c r="R114" s="150"/>
      <c r="S114" s="150"/>
      <c r="T114" s="150"/>
      <c r="U114" s="150"/>
    </row>
    <row r="115" spans="1:21" x14ac:dyDescent="0.2">
      <c r="A115" s="2048" t="s">
        <v>754</v>
      </c>
      <c r="B115" s="90"/>
      <c r="C115" s="1129">
        <v>332975</v>
      </c>
      <c r="D115" s="1129">
        <v>332975</v>
      </c>
      <c r="E115" s="1129">
        <v>332975</v>
      </c>
      <c r="F115" s="1129">
        <v>332975</v>
      </c>
      <c r="G115" s="1129">
        <v>332975</v>
      </c>
      <c r="H115" s="1129">
        <v>332975</v>
      </c>
      <c r="I115" s="150">
        <f t="shared" si="45"/>
        <v>1997850</v>
      </c>
      <c r="K115" s="1253"/>
      <c r="P115" s="150"/>
      <c r="Q115" s="150"/>
      <c r="R115" s="150"/>
      <c r="S115" s="150"/>
      <c r="T115" s="150"/>
      <c r="U115" s="150"/>
    </row>
    <row r="116" spans="1:21" x14ac:dyDescent="0.2">
      <c r="A116" s="2048" t="s">
        <v>755</v>
      </c>
      <c r="B116" s="90"/>
      <c r="C116" s="1129">
        <v>955971</v>
      </c>
      <c r="D116" s="1129">
        <v>955971</v>
      </c>
      <c r="E116" s="1129">
        <v>955971</v>
      </c>
      <c r="F116" s="1129">
        <v>955971</v>
      </c>
      <c r="G116" s="1129">
        <v>955971</v>
      </c>
      <c r="H116" s="1129">
        <v>955971</v>
      </c>
      <c r="I116" s="150">
        <f t="shared" si="45"/>
        <v>5735826</v>
      </c>
      <c r="K116" s="1253"/>
      <c r="P116" s="150"/>
      <c r="Q116" s="150"/>
      <c r="R116" s="150"/>
      <c r="S116" s="150"/>
      <c r="T116" s="150"/>
      <c r="U116" s="150"/>
    </row>
    <row r="117" spans="1:21" x14ac:dyDescent="0.2">
      <c r="A117" s="2048" t="s">
        <v>752</v>
      </c>
      <c r="B117" s="90"/>
      <c r="C117" s="1129">
        <f>39099011*0.2</f>
        <v>7819802.2000000002</v>
      </c>
      <c r="D117" s="1129">
        <f t="shared" ref="D117:H117" si="46">39099011*0.2</f>
        <v>7819802.2000000002</v>
      </c>
      <c r="E117" s="1129">
        <f t="shared" si="46"/>
        <v>7819802.2000000002</v>
      </c>
      <c r="F117" s="1129">
        <f t="shared" si="46"/>
        <v>7819802.2000000002</v>
      </c>
      <c r="G117" s="1129">
        <f t="shared" si="46"/>
        <v>7819802.2000000002</v>
      </c>
      <c r="H117" s="1129">
        <f t="shared" si="46"/>
        <v>7819802.2000000002</v>
      </c>
      <c r="I117" s="150">
        <f t="shared" si="45"/>
        <v>46918813.200000003</v>
      </c>
      <c r="K117" s="1253"/>
    </row>
    <row r="118" spans="1:21" x14ac:dyDescent="0.2">
      <c r="A118" s="2048" t="s">
        <v>757</v>
      </c>
      <c r="B118" s="90"/>
      <c r="C118" s="1129">
        <f>1002929+90000000</f>
        <v>91002929</v>
      </c>
      <c r="D118" s="1129">
        <f>1002929+3313095.69+90000000</f>
        <v>94316024.689999998</v>
      </c>
      <c r="E118" s="1129">
        <f>1002929+90000000</f>
        <v>91002929</v>
      </c>
      <c r="F118" s="1129">
        <f>1002929+90000000</f>
        <v>91002929</v>
      </c>
      <c r="G118" s="1129">
        <f>1002929+90000000</f>
        <v>91002929</v>
      </c>
      <c r="H118" s="1129">
        <f>1002929+90000000</f>
        <v>91002929</v>
      </c>
      <c r="I118" s="150">
        <f t="shared" si="45"/>
        <v>549330669.69000006</v>
      </c>
      <c r="K118" s="1253"/>
    </row>
    <row r="119" spans="1:21" x14ac:dyDescent="0.2">
      <c r="A119" s="2048" t="s">
        <v>756</v>
      </c>
      <c r="B119" s="90"/>
      <c r="C119" s="1169">
        <f>509921+37208333</f>
        <v>37718254</v>
      </c>
      <c r="D119" s="1169">
        <f>627479+37208333</f>
        <v>37835812</v>
      </c>
      <c r="E119" s="1169">
        <f>595929+37208333</f>
        <v>37804262</v>
      </c>
      <c r="F119" s="1169">
        <f>564378+37208333</f>
        <v>37772711</v>
      </c>
      <c r="G119" s="1169">
        <f>532827+37208333</f>
        <v>37741160</v>
      </c>
      <c r="H119" s="1169">
        <f>501276+37208333</f>
        <v>37709609</v>
      </c>
      <c r="I119" s="150">
        <f t="shared" si="45"/>
        <v>226581808</v>
      </c>
      <c r="J119" s="150"/>
      <c r="K119" s="1253"/>
      <c r="L119" s="150"/>
    </row>
    <row r="120" spans="1:21" x14ac:dyDescent="0.2">
      <c r="A120" s="2048" t="s">
        <v>814</v>
      </c>
      <c r="B120" s="90"/>
      <c r="C120" s="1129">
        <v>3090706</v>
      </c>
      <c r="D120" s="1129">
        <v>3090706</v>
      </c>
      <c r="E120" s="1129">
        <v>3090706</v>
      </c>
      <c r="F120" s="1129">
        <v>3090706</v>
      </c>
      <c r="G120" s="1129">
        <v>3090706</v>
      </c>
      <c r="H120" s="1129">
        <v>3090706</v>
      </c>
      <c r="I120" s="150">
        <f t="shared" si="45"/>
        <v>18544236</v>
      </c>
      <c r="K120" s="1253"/>
    </row>
    <row r="121" spans="1:21" x14ac:dyDescent="0.2">
      <c r="A121" s="2048" t="s">
        <v>815</v>
      </c>
      <c r="B121" s="90"/>
      <c r="C121" s="1129"/>
      <c r="D121" s="1129"/>
      <c r="E121" s="1129"/>
      <c r="F121" s="1129"/>
      <c r="G121" s="1129"/>
      <c r="H121" s="1129"/>
      <c r="I121" s="150">
        <f t="shared" si="45"/>
        <v>0</v>
      </c>
      <c r="K121" s="150">
        <f>+I119-226653497</f>
        <v>-71689</v>
      </c>
    </row>
    <row r="122" spans="1:21" hidden="1" x14ac:dyDescent="0.2">
      <c r="A122" s="2037" t="s">
        <v>313</v>
      </c>
      <c r="B122" s="90" t="s">
        <v>312</v>
      </c>
      <c r="C122" s="1129"/>
      <c r="D122" s="1129"/>
      <c r="E122" s="1129"/>
      <c r="F122" s="1129"/>
      <c r="G122" s="1129"/>
      <c r="H122" s="1129"/>
      <c r="I122" s="150">
        <f t="shared" si="45"/>
        <v>0</v>
      </c>
      <c r="K122" s="281"/>
    </row>
    <row r="123" spans="1:21" hidden="1" x14ac:dyDescent="0.2">
      <c r="A123" s="2037" t="s">
        <v>314</v>
      </c>
      <c r="B123" s="90" t="s">
        <v>312</v>
      </c>
      <c r="C123" s="1129"/>
      <c r="D123" s="1129"/>
      <c r="E123" s="1129"/>
      <c r="F123" s="1129"/>
      <c r="G123" s="1129"/>
      <c r="H123" s="1129"/>
      <c r="I123" s="150">
        <f t="shared" si="45"/>
        <v>0</v>
      </c>
      <c r="K123" s="281"/>
    </row>
    <row r="124" spans="1:21" hidden="1" x14ac:dyDescent="0.2">
      <c r="A124" s="2037" t="s">
        <v>315</v>
      </c>
      <c r="B124" s="90"/>
      <c r="C124" s="1139"/>
      <c r="D124" s="1139"/>
      <c r="E124" s="1139"/>
      <c r="F124" s="1139"/>
      <c r="G124" s="1139"/>
      <c r="H124" s="1139"/>
      <c r="I124" s="150">
        <f t="shared" si="45"/>
        <v>0</v>
      </c>
      <c r="K124" s="281"/>
    </row>
    <row r="125" spans="1:21" hidden="1" x14ac:dyDescent="0.2">
      <c r="A125" s="2037" t="s">
        <v>316</v>
      </c>
      <c r="B125" s="90"/>
      <c r="C125" s="1140"/>
      <c r="D125" s="1140"/>
      <c r="E125" s="1140"/>
      <c r="F125" s="1140"/>
      <c r="G125" s="1140"/>
      <c r="H125" s="1140"/>
      <c r="I125" s="150">
        <f t="shared" si="45"/>
        <v>0</v>
      </c>
    </row>
    <row r="126" spans="1:21" hidden="1" x14ac:dyDescent="0.2">
      <c r="A126" s="2037"/>
      <c r="B126" s="90"/>
      <c r="C126" s="1125"/>
      <c r="D126" s="1125"/>
      <c r="E126" s="1125"/>
      <c r="F126" s="1125"/>
      <c r="G126" s="1125"/>
      <c r="H126" s="1125"/>
      <c r="I126" s="150">
        <f t="shared" si="45"/>
        <v>0</v>
      </c>
    </row>
    <row r="127" spans="1:21" ht="13.2" hidden="1" x14ac:dyDescent="0.25">
      <c r="A127" s="2046" t="s">
        <v>317</v>
      </c>
      <c r="B127" s="1133"/>
      <c r="C127" s="1125"/>
      <c r="D127" s="1125"/>
      <c r="E127" s="1125"/>
      <c r="F127" s="1125"/>
      <c r="G127" s="1125"/>
      <c r="H127" s="1125"/>
      <c r="I127" s="150">
        <f t="shared" si="45"/>
        <v>0</v>
      </c>
      <c r="K127" s="413"/>
    </row>
    <row r="128" spans="1:21" x14ac:dyDescent="0.2">
      <c r="A128" s="2037" t="s">
        <v>313</v>
      </c>
      <c r="B128" s="90" t="s">
        <v>312</v>
      </c>
      <c r="C128" s="1169">
        <v>570468</v>
      </c>
      <c r="D128" s="1169">
        <v>570468</v>
      </c>
      <c r="E128" s="1169">
        <v>570468</v>
      </c>
      <c r="F128" s="1169">
        <f>1316641.19+161307.775232584</f>
        <v>1477948.9652325839</v>
      </c>
      <c r="G128" s="1169">
        <f t="shared" ref="G128:H128" si="47">1316641.19+161307.775232584</f>
        <v>1477948.9652325839</v>
      </c>
      <c r="H128" s="1169">
        <f t="shared" si="47"/>
        <v>1477948.9652325839</v>
      </c>
      <c r="I128" s="150">
        <f t="shared" si="45"/>
        <v>6145250.8956977511</v>
      </c>
      <c r="K128" s="1863"/>
    </row>
    <row r="129" spans="1:21" x14ac:dyDescent="0.2">
      <c r="A129" s="2037" t="s">
        <v>314</v>
      </c>
      <c r="B129" s="90" t="s">
        <v>312</v>
      </c>
      <c r="C129" s="1127">
        <v>3760136.19</v>
      </c>
      <c r="D129" s="1127">
        <v>3760136.19</v>
      </c>
      <c r="E129" s="1127">
        <v>3760136.19</v>
      </c>
      <c r="F129" s="1127">
        <f>3760136.19+453507.360288148</f>
        <v>4213643.5502881482</v>
      </c>
      <c r="G129" s="1127">
        <f t="shared" ref="G129:H129" si="48">3760136.19+453507.360288148</f>
        <v>4213643.5502881482</v>
      </c>
      <c r="H129" s="1127">
        <f t="shared" si="48"/>
        <v>4213643.5502881482</v>
      </c>
      <c r="I129" s="150">
        <f t="shared" si="45"/>
        <v>23921339.220864445</v>
      </c>
      <c r="J129" s="150"/>
      <c r="K129" s="1863"/>
    </row>
    <row r="130" spans="1:21" x14ac:dyDescent="0.2">
      <c r="A130" s="2037" t="s">
        <v>315</v>
      </c>
      <c r="B130" s="1125"/>
      <c r="C130" s="1125"/>
      <c r="D130" s="1125"/>
      <c r="E130" s="1125"/>
      <c r="F130" s="1125"/>
      <c r="G130" s="90"/>
      <c r="H130" s="48"/>
      <c r="I130" s="150">
        <f t="shared" si="45"/>
        <v>0</v>
      </c>
      <c r="K130" s="1863"/>
    </row>
    <row r="131" spans="1:21" ht="13.2" x14ac:dyDescent="0.25">
      <c r="A131" s="2037" t="s">
        <v>316</v>
      </c>
      <c r="B131" s="1133"/>
      <c r="D131" s="1125"/>
      <c r="E131" s="1125"/>
      <c r="F131" s="1125"/>
      <c r="G131" s="90"/>
      <c r="H131" s="48"/>
      <c r="I131" s="150">
        <f t="shared" si="45"/>
        <v>0</v>
      </c>
      <c r="K131" s="1863"/>
    </row>
    <row r="132" spans="1:21" ht="13.2" x14ac:dyDescent="0.25">
      <c r="A132" s="2046" t="s">
        <v>317</v>
      </c>
      <c r="B132" s="1133"/>
      <c r="C132" s="1125"/>
      <c r="D132" s="1125"/>
      <c r="E132" s="1125"/>
      <c r="F132" s="1125"/>
      <c r="G132" s="90"/>
      <c r="H132" s="48"/>
      <c r="I132" s="150">
        <f t="shared" si="45"/>
        <v>0</v>
      </c>
      <c r="K132" s="1863"/>
    </row>
    <row r="133" spans="1:21" x14ac:dyDescent="0.2">
      <c r="A133" s="2037" t="s">
        <v>318</v>
      </c>
      <c r="B133" s="90" t="s">
        <v>312</v>
      </c>
      <c r="C133" s="1169">
        <f>3483064.65853475+100000000</f>
        <v>103483064.65853475</v>
      </c>
      <c r="D133" s="1169">
        <f t="shared" ref="D133:H133" si="49">3483064.65853475+100000000</f>
        <v>103483064.65853475</v>
      </c>
      <c r="E133" s="1169">
        <f t="shared" si="49"/>
        <v>103483064.65853475</v>
      </c>
      <c r="F133" s="1169">
        <f t="shared" si="49"/>
        <v>103483064.65853475</v>
      </c>
      <c r="G133" s="1169">
        <f t="shared" si="49"/>
        <v>103483064.65853475</v>
      </c>
      <c r="H133" s="1169">
        <f t="shared" si="49"/>
        <v>103483064.65853475</v>
      </c>
      <c r="I133" s="150">
        <f t="shared" si="45"/>
        <v>620898387.95120847</v>
      </c>
      <c r="J133" s="150"/>
      <c r="K133" s="150">
        <f>+C136+C128</f>
        <v>256881874.04853475</v>
      </c>
      <c r="L133" s="2683">
        <f>+D136-1393997</f>
        <v>258348062.73853475</v>
      </c>
    </row>
    <row r="134" spans="1:21" x14ac:dyDescent="0.2">
      <c r="A134" s="2037"/>
      <c r="B134" s="90"/>
      <c r="C134" s="47"/>
      <c r="D134" s="1125"/>
      <c r="E134" s="1125"/>
      <c r="F134" s="1125"/>
      <c r="G134" s="90"/>
      <c r="H134" s="48"/>
      <c r="I134" s="150">
        <f t="shared" si="45"/>
        <v>0</v>
      </c>
    </row>
    <row r="135" spans="1:21" x14ac:dyDescent="0.2">
      <c r="A135" s="2037"/>
      <c r="B135" s="90"/>
      <c r="C135" s="1125"/>
      <c r="D135" s="1125"/>
      <c r="E135" s="1125"/>
      <c r="F135" s="1125"/>
      <c r="G135" s="90"/>
      <c r="H135" s="2060"/>
      <c r="I135" s="150">
        <f t="shared" si="45"/>
        <v>0</v>
      </c>
    </row>
    <row r="136" spans="1:21" ht="13.2" x14ac:dyDescent="0.25">
      <c r="A136" s="2037" t="s">
        <v>1144</v>
      </c>
      <c r="B136" s="151" t="s">
        <v>320</v>
      </c>
      <c r="C136" s="1125">
        <f t="shared" ref="C136:E136" si="50">C112+C128+C129+C133</f>
        <v>256311406.04853475</v>
      </c>
      <c r="D136" s="1125">
        <f t="shared" si="50"/>
        <v>259742059.73853475</v>
      </c>
      <c r="E136" s="1125">
        <f t="shared" si="50"/>
        <v>256397414.04853475</v>
      </c>
      <c r="F136" s="1125">
        <f>F112+F128+F129+F133</f>
        <v>257726851.37405545</v>
      </c>
      <c r="G136" s="1125">
        <f t="shared" ref="G136:H136" si="51">G112+G128+G129+G133</f>
        <v>257695300.37405545</v>
      </c>
      <c r="H136" s="2123">
        <f t="shared" si="51"/>
        <v>257663749.37405545</v>
      </c>
      <c r="I136" s="150">
        <f t="shared" si="45"/>
        <v>1545536780.9577703</v>
      </c>
    </row>
    <row r="137" spans="1:21" ht="13.2" x14ac:dyDescent="0.25">
      <c r="A137" s="2037" t="s">
        <v>150</v>
      </c>
      <c r="B137" s="151" t="s">
        <v>39</v>
      </c>
      <c r="C137" s="1129">
        <v>35</v>
      </c>
      <c r="D137" s="1129">
        <v>35</v>
      </c>
      <c r="E137" s="1129">
        <v>35</v>
      </c>
      <c r="F137" s="1129">
        <v>35</v>
      </c>
      <c r="G137" s="1129">
        <v>35</v>
      </c>
      <c r="H137" s="2050">
        <v>35</v>
      </c>
      <c r="I137" s="150">
        <f t="shared" si="45"/>
        <v>210</v>
      </c>
    </row>
    <row r="138" spans="1:21" ht="13.2" x14ac:dyDescent="0.25">
      <c r="A138" s="152" t="s">
        <v>1145</v>
      </c>
      <c r="B138" s="151" t="s">
        <v>322</v>
      </c>
      <c r="C138" s="144">
        <f t="shared" ref="C138:H138" si="52">C136/(C137*1000)</f>
        <v>7323.1830299581361</v>
      </c>
      <c r="D138" s="145">
        <f t="shared" si="52"/>
        <v>7421.2017068152782</v>
      </c>
      <c r="E138" s="145">
        <f t="shared" si="52"/>
        <v>7325.6404013867068</v>
      </c>
      <c r="F138" s="145">
        <f t="shared" si="52"/>
        <v>7363.6243249730123</v>
      </c>
      <c r="G138" s="145">
        <f t="shared" si="52"/>
        <v>7362.7228678301553</v>
      </c>
      <c r="H138" s="2034">
        <f t="shared" si="52"/>
        <v>7361.8214106872983</v>
      </c>
      <c r="I138" s="150">
        <f t="shared" si="45"/>
        <v>44158.193741650583</v>
      </c>
    </row>
    <row r="139" spans="1:21" ht="13.2" x14ac:dyDescent="0.25">
      <c r="A139" s="58"/>
      <c r="B139" s="517"/>
      <c r="C139" s="1860"/>
      <c r="D139" s="1861"/>
      <c r="E139" s="1861"/>
      <c r="F139" s="1861"/>
      <c r="G139" s="1861"/>
      <c r="H139" s="2557"/>
      <c r="I139" s="150">
        <f t="shared" si="45"/>
        <v>0</v>
      </c>
    </row>
    <row r="140" spans="1:21" ht="13.8" thickBot="1" x14ac:dyDescent="0.3">
      <c r="A140" s="58"/>
      <c r="B140" s="517"/>
      <c r="C140" s="1860"/>
      <c r="D140" s="1861"/>
      <c r="E140" s="1861"/>
      <c r="F140" s="1861"/>
      <c r="G140" s="1861"/>
      <c r="H140" s="2557"/>
      <c r="I140" s="150">
        <f t="shared" si="45"/>
        <v>0</v>
      </c>
    </row>
    <row r="141" spans="1:21" ht="13.8" thickBot="1" x14ac:dyDescent="0.3">
      <c r="A141" s="502" t="s">
        <v>148</v>
      </c>
      <c r="B141" s="503" t="s">
        <v>338</v>
      </c>
      <c r="C141" s="504">
        <f t="shared" ref="C141:H141" si="53">+(C136+C105+C78+C52+C25)/1000000</f>
        <v>423.97343092853475</v>
      </c>
      <c r="D141" s="504">
        <f t="shared" si="53"/>
        <v>465.02808267520135</v>
      </c>
      <c r="E141" s="504">
        <f>+(E136+E105+E78+E52+E25)/1000000</f>
        <v>431.61499481742356</v>
      </c>
      <c r="F141" s="504">
        <f t="shared" si="53"/>
        <v>462.46402558183365</v>
      </c>
      <c r="G141" s="504">
        <f t="shared" si="53"/>
        <v>462.38636258183368</v>
      </c>
      <c r="H141" s="505">
        <f t="shared" si="53"/>
        <v>462.30827858183363</v>
      </c>
      <c r="I141" s="150">
        <f t="shared" si="45"/>
        <v>2707.7751751666606</v>
      </c>
      <c r="P141" s="150"/>
      <c r="Q141" s="150"/>
      <c r="R141" s="150"/>
      <c r="S141" s="150"/>
      <c r="T141" s="150"/>
      <c r="U141" s="150"/>
    </row>
    <row r="142" spans="1:21" ht="13.2" thickBot="1" x14ac:dyDescent="0.25">
      <c r="A142" s="75"/>
      <c r="H142" s="171"/>
      <c r="I142" s="150">
        <f t="shared" si="45"/>
        <v>0</v>
      </c>
      <c r="P142" s="150"/>
      <c r="Q142" s="150"/>
      <c r="R142" s="150"/>
      <c r="S142" s="150"/>
      <c r="T142" s="150"/>
      <c r="U142" s="150"/>
    </row>
    <row r="143" spans="1:21" ht="13.8" thickBot="1" x14ac:dyDescent="0.3">
      <c r="A143" s="149" t="s">
        <v>354</v>
      </c>
      <c r="B143" s="649" t="s">
        <v>39</v>
      </c>
      <c r="C143" s="650">
        <f t="shared" ref="C143:H143" si="54">SUM(C26,C53,C79,C106,C137)</f>
        <v>388.8</v>
      </c>
      <c r="D143" s="650">
        <f t="shared" si="54"/>
        <v>388.8</v>
      </c>
      <c r="E143" s="650">
        <f t="shared" si="54"/>
        <v>388.8</v>
      </c>
      <c r="F143" s="650">
        <f t="shared" si="54"/>
        <v>388.8</v>
      </c>
      <c r="G143" s="650">
        <f t="shared" si="54"/>
        <v>388.8</v>
      </c>
      <c r="H143" s="651">
        <f t="shared" si="54"/>
        <v>388.8</v>
      </c>
      <c r="I143" s="150">
        <f t="shared" si="45"/>
        <v>2332.8000000000002</v>
      </c>
      <c r="P143" s="150"/>
      <c r="Q143" s="150"/>
      <c r="R143" s="150"/>
      <c r="S143" s="150"/>
      <c r="T143" s="150"/>
      <c r="U143" s="150"/>
    </row>
    <row r="144" spans="1:21" x14ac:dyDescent="0.2">
      <c r="C144" s="150"/>
      <c r="K144" s="150"/>
      <c r="P144" s="150"/>
      <c r="Q144" s="150"/>
      <c r="R144" s="150"/>
      <c r="S144" s="150"/>
      <c r="T144" s="150"/>
      <c r="U144" s="150"/>
    </row>
    <row r="145" spans="1:12" x14ac:dyDescent="0.2">
      <c r="C145" s="402"/>
    </row>
    <row r="146" spans="1:12" x14ac:dyDescent="0.2">
      <c r="C146" s="402">
        <f>+C11+C38+C64+C91+C117</f>
        <v>35457589.799999997</v>
      </c>
      <c r="D146" s="402">
        <f t="shared" ref="D146:H146" si="55">+D11+D38+D64+D91+D117</f>
        <v>35457589.799999997</v>
      </c>
      <c r="E146" s="402">
        <f t="shared" si="55"/>
        <v>35457589.799999997</v>
      </c>
      <c r="F146" s="402">
        <f t="shared" si="55"/>
        <v>35457589.799999997</v>
      </c>
      <c r="G146" s="402">
        <f t="shared" si="55"/>
        <v>35457589.799999997</v>
      </c>
      <c r="H146" s="402">
        <f t="shared" si="55"/>
        <v>35457589.799999997</v>
      </c>
    </row>
    <row r="147" spans="1:12" x14ac:dyDescent="0.2">
      <c r="C147" s="150"/>
      <c r="K147" s="150"/>
      <c r="L147" s="150"/>
    </row>
    <row r="148" spans="1:12" x14ac:dyDescent="0.2">
      <c r="C148" s="444"/>
      <c r="D148" s="444"/>
      <c r="E148" s="444"/>
      <c r="F148" s="444"/>
      <c r="G148" s="444"/>
      <c r="H148" s="444"/>
    </row>
    <row r="150" spans="1:12" hidden="1" x14ac:dyDescent="0.2">
      <c r="A150" t="str">
        <f>+A86</f>
        <v xml:space="preserve">Fixed O&amp;M Charge Base </v>
      </c>
      <c r="B150" t="str">
        <f>+B86</f>
        <v>Rs/Month</v>
      </c>
      <c r="C150" s="150"/>
      <c r="D150" s="150"/>
      <c r="E150" s="150"/>
      <c r="F150" s="150"/>
      <c r="G150" s="150"/>
      <c r="H150" s="150"/>
      <c r="K150" s="281"/>
    </row>
    <row r="151" spans="1:12" hidden="1" x14ac:dyDescent="0.2">
      <c r="A151" t="str">
        <f t="shared" ref="A151:B152" si="56">+A96</f>
        <v>Corporate Costs CEB HQ</v>
      </c>
      <c r="B151" t="str">
        <f t="shared" si="56"/>
        <v>Rs/Month</v>
      </c>
      <c r="C151" s="150"/>
      <c r="D151" s="150"/>
      <c r="E151" s="150"/>
      <c r="F151" s="150"/>
      <c r="G151" s="150"/>
      <c r="H151" s="150"/>
      <c r="K151" s="281"/>
    </row>
    <row r="152" spans="1:12" hidden="1" x14ac:dyDescent="0.2">
      <c r="A152" t="str">
        <f t="shared" si="56"/>
        <v>Corporate Costs GL HQ</v>
      </c>
      <c r="B152" t="str">
        <f t="shared" si="56"/>
        <v>Rs/Month</v>
      </c>
      <c r="C152" s="150"/>
      <c r="D152" s="150"/>
      <c r="E152" s="150"/>
      <c r="F152" s="150"/>
      <c r="G152" s="150"/>
      <c r="H152" s="150"/>
      <c r="K152" s="281"/>
    </row>
    <row r="153" spans="1:12" hidden="1" x14ac:dyDescent="0.2"/>
    <row r="154" spans="1:12" hidden="1" x14ac:dyDescent="0.2"/>
    <row r="155" spans="1:12" hidden="1" x14ac:dyDescent="0.2">
      <c r="C155" s="412"/>
      <c r="D155" s="412"/>
      <c r="E155" s="412"/>
      <c r="F155" s="412"/>
      <c r="G155" s="412"/>
      <c r="H155" s="412"/>
      <c r="K155" s="413"/>
    </row>
    <row r="157" spans="1:12" x14ac:dyDescent="0.2">
      <c r="C157" s="444"/>
      <c r="D157" s="444"/>
      <c r="E157" s="444"/>
      <c r="F157" s="444"/>
      <c r="G157" s="444"/>
      <c r="H157" s="444"/>
    </row>
    <row r="160" spans="1:12" x14ac:dyDescent="0.2">
      <c r="G160" s="150">
        <f>+I17+I44+I70+I97+I129</f>
        <v>265731905.53543127</v>
      </c>
    </row>
  </sheetData>
  <phoneticPr fontId="54" type="noConversion"/>
  <dataValidations count="3">
    <dataValidation type="list" allowBlank="1" showInputMessage="1" showErrorMessage="1" sqref="C56 C25 B81 C32" xr:uid="{00000000-0002-0000-0900-000000000000}">
      <formula1>Currency</formula1>
    </dataValidation>
    <dataValidation type="list" allowBlank="1" showInputMessage="1" showErrorMessage="1" sqref="C30 C54 C47" xr:uid="{00000000-0002-0000-0900-000001000000}">
      <formula1>Combustible</formula1>
    </dataValidation>
    <dataValidation type="list" allowBlank="1" showInputMessage="1" showErrorMessage="1" sqref="C31 C55 C48" xr:uid="{00000000-0002-0000-0900-000002000000}">
      <formula1>Units</formula1>
    </dataValidation>
  </dataValidations>
  <pageMargins left="0.69" right="0" top="0.22" bottom="0" header="0.19684820647419074" footer="0.11810804899387577"/>
  <pageSetup paperSize="9" scale="54" fitToWidth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tabColor rgb="FF00B050"/>
    <pageSetUpPr fitToPage="1"/>
  </sheetPr>
  <dimension ref="A1:W224"/>
  <sheetViews>
    <sheetView showGridLines="0" zoomScale="85" zoomScaleNormal="85" zoomScaleSheetLayoutView="90" workbookViewId="0">
      <selection activeCell="L26" sqref="L26"/>
    </sheetView>
  </sheetViews>
  <sheetFormatPr defaultRowHeight="12.6" x14ac:dyDescent="0.2"/>
  <cols>
    <col min="1" max="1" width="29" customWidth="1"/>
    <col min="2" max="2" width="11.453125" style="2" customWidth="1"/>
    <col min="3" max="3" width="16.26953125" hidden="1" customWidth="1"/>
    <col min="4" max="4" width="18.453125" hidden="1" customWidth="1"/>
    <col min="5" max="5" width="16.26953125" hidden="1" customWidth="1"/>
    <col min="6" max="8" width="16.26953125" customWidth="1"/>
    <col min="9" max="9" width="16.26953125" bestFit="1" customWidth="1"/>
    <col min="10" max="10" width="18.36328125" bestFit="1" customWidth="1"/>
    <col min="11" max="11" width="14.6328125" customWidth="1"/>
    <col min="12" max="12" width="18.26953125" customWidth="1"/>
    <col min="13" max="17" width="17.36328125" bestFit="1" customWidth="1"/>
    <col min="18" max="22" width="11"/>
    <col min="23" max="23" width="12.453125" bestFit="1" customWidth="1"/>
  </cols>
  <sheetData>
    <row r="1" spans="1:22" ht="17.399999999999999" x14ac:dyDescent="0.3">
      <c r="A1" s="53" t="s">
        <v>307</v>
      </c>
      <c r="B1" s="131" t="s">
        <v>308</v>
      </c>
      <c r="I1" s="561"/>
      <c r="J1" s="561"/>
      <c r="K1" s="561"/>
    </row>
    <row r="2" spans="1:22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22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  <c r="L3" s="241"/>
    </row>
    <row r="4" spans="1:22" ht="13.2" x14ac:dyDescent="0.25">
      <c r="A4" s="147" t="s">
        <v>309</v>
      </c>
      <c r="B4" s="133">
        <v>831</v>
      </c>
      <c r="C4" s="1125"/>
      <c r="D4" s="1125"/>
      <c r="E4" s="1125"/>
      <c r="F4" s="1125"/>
      <c r="G4" s="90"/>
      <c r="H4" s="48"/>
      <c r="L4" s="135"/>
    </row>
    <row r="5" spans="1:22" ht="13.2" x14ac:dyDescent="0.25">
      <c r="A5" s="2046" t="s">
        <v>310</v>
      </c>
      <c r="B5" s="1133"/>
      <c r="C5" s="1125"/>
      <c r="D5" s="1125"/>
      <c r="E5" s="1125"/>
      <c r="F5" s="1125"/>
      <c r="G5" s="90"/>
      <c r="H5" s="48"/>
      <c r="L5" s="134"/>
    </row>
    <row r="6" spans="1:22" ht="13.2" thickBot="1" x14ac:dyDescent="0.25">
      <c r="A6" s="2037" t="s">
        <v>311</v>
      </c>
      <c r="B6" s="90" t="s">
        <v>312</v>
      </c>
      <c r="C6" s="1118">
        <f>+C7+C8+C9+C10+C11+C12+C13+C14+C15</f>
        <v>44156279</v>
      </c>
      <c r="D6" s="1118">
        <f t="shared" ref="D6:H6" si="0">+D7+D8+D9+D10+D11+D12+D13+D14+D15</f>
        <v>70863384.109999999</v>
      </c>
      <c r="E6" s="1118">
        <f t="shared" si="0"/>
        <v>55454646</v>
      </c>
      <c r="F6" s="1118">
        <f t="shared" si="0"/>
        <v>58644780.5</v>
      </c>
      <c r="G6" s="1118">
        <f t="shared" si="0"/>
        <v>58357940.5</v>
      </c>
      <c r="H6" s="2147">
        <f t="shared" si="0"/>
        <v>58069793.5</v>
      </c>
      <c r="I6" s="150">
        <f>SUM(C6:H6)</f>
        <v>345546823.61000001</v>
      </c>
      <c r="J6" s="2696">
        <f>+I6+I33+I60+I88+I115+I142+I169</f>
        <v>1610817910.04</v>
      </c>
      <c r="K6" s="150"/>
      <c r="M6" s="150"/>
      <c r="Q6" s="150"/>
      <c r="R6" s="150"/>
      <c r="S6" s="150"/>
      <c r="T6" s="150"/>
      <c r="U6" s="150"/>
      <c r="V6" s="150"/>
    </row>
    <row r="7" spans="1:22" x14ac:dyDescent="0.2">
      <c r="A7" s="2048" t="s">
        <v>753</v>
      </c>
      <c r="B7" s="90"/>
      <c r="C7" s="2726">
        <v>12230462</v>
      </c>
      <c r="D7" s="2726">
        <v>12230462</v>
      </c>
      <c r="E7" s="2726">
        <v>12230462</v>
      </c>
      <c r="F7" s="2726">
        <f>12230462+3475680.5</f>
        <v>15706142.5</v>
      </c>
      <c r="G7" s="2726">
        <f t="shared" ref="G7:H7" si="1">12230462+3475680.5</f>
        <v>15706142.5</v>
      </c>
      <c r="H7" s="2726">
        <f t="shared" si="1"/>
        <v>15706142.5</v>
      </c>
      <c r="I7" s="150">
        <f>SUM(C7:H7)</f>
        <v>83809813.5</v>
      </c>
      <c r="J7" s="2696">
        <f>+I7+I34+I61+I89+I116+I143+I170</f>
        <v>497274887.25</v>
      </c>
      <c r="K7" s="150"/>
      <c r="L7" s="2615">
        <f>+H7+H34+H61+H89+H116+H143+H170</f>
        <v>93530704.75</v>
      </c>
      <c r="M7" s="2616"/>
      <c r="Q7" s="150"/>
      <c r="R7" s="150"/>
      <c r="S7" s="150"/>
      <c r="T7" s="150"/>
      <c r="U7" s="150"/>
      <c r="V7" s="150"/>
    </row>
    <row r="8" spans="1:22" x14ac:dyDescent="0.2">
      <c r="A8" s="2048" t="s">
        <v>758</v>
      </c>
      <c r="B8" s="90"/>
      <c r="C8" s="2726">
        <v>5836591</v>
      </c>
      <c r="D8" s="2726">
        <v>5836591</v>
      </c>
      <c r="E8" s="2726">
        <v>5836591</v>
      </c>
      <c r="F8" s="2726">
        <v>5836591</v>
      </c>
      <c r="G8" s="2726">
        <v>5836591</v>
      </c>
      <c r="H8" s="2726">
        <v>5836591</v>
      </c>
      <c r="I8" s="150">
        <f t="shared" ref="I8:I28" si="2">SUM(C8:H8)</f>
        <v>35019546</v>
      </c>
      <c r="J8" s="2696">
        <f t="shared" ref="J8:J28" si="3">+I8+I35+I62+I90+I117+I144+I171</f>
        <v>243886542</v>
      </c>
      <c r="K8" s="150"/>
      <c r="L8" s="2617">
        <f>+'Mannar wind'!H7</f>
        <v>10294327</v>
      </c>
      <c r="M8" s="822" t="s">
        <v>1281</v>
      </c>
      <c r="Q8" s="150"/>
      <c r="R8" s="150"/>
      <c r="S8" s="150"/>
      <c r="T8" s="150"/>
      <c r="U8" s="150"/>
      <c r="V8" s="150"/>
    </row>
    <row r="9" spans="1:22" x14ac:dyDescent="0.2">
      <c r="A9" s="2048" t="s">
        <v>754</v>
      </c>
      <c r="B9" s="90"/>
      <c r="C9" s="2726">
        <v>630138</v>
      </c>
      <c r="D9" s="2726">
        <v>630138</v>
      </c>
      <c r="E9" s="2726">
        <v>630138</v>
      </c>
      <c r="F9" s="2726">
        <v>630138</v>
      </c>
      <c r="G9" s="2726">
        <v>630138</v>
      </c>
      <c r="H9" s="2726">
        <v>630138</v>
      </c>
      <c r="I9" s="150">
        <f t="shared" si="2"/>
        <v>3780828</v>
      </c>
      <c r="J9" s="2696">
        <f t="shared" si="3"/>
        <v>54028746</v>
      </c>
      <c r="K9" s="150"/>
      <c r="L9" s="2618">
        <f>10329.430006625*1000</f>
        <v>10329430.006625</v>
      </c>
      <c r="M9" s="822" t="s">
        <v>1280</v>
      </c>
      <c r="Q9" s="150"/>
      <c r="R9" s="150"/>
      <c r="S9" s="150"/>
      <c r="T9" s="150"/>
      <c r="U9" s="150"/>
      <c r="V9" s="150"/>
    </row>
    <row r="10" spans="1:22" x14ac:dyDescent="0.2">
      <c r="A10" s="2048" t="s">
        <v>755</v>
      </c>
      <c r="B10" s="90"/>
      <c r="C10" s="2726">
        <v>2058302</v>
      </c>
      <c r="D10" s="2726">
        <v>2058302</v>
      </c>
      <c r="E10" s="2726">
        <v>2058302</v>
      </c>
      <c r="F10" s="2726">
        <v>2058302</v>
      </c>
      <c r="G10" s="2726">
        <v>2058302</v>
      </c>
      <c r="H10" s="2726">
        <v>2058302</v>
      </c>
      <c r="I10" s="150">
        <f t="shared" si="2"/>
        <v>12349812</v>
      </c>
      <c r="J10" s="2696">
        <f t="shared" si="3"/>
        <v>65128002</v>
      </c>
      <c r="K10" s="150"/>
      <c r="L10" s="2619">
        <f>SUM(L7:L9)</f>
        <v>114154461.756625</v>
      </c>
      <c r="M10" s="2620"/>
      <c r="Q10" s="150"/>
      <c r="R10" s="150"/>
      <c r="S10" s="150"/>
      <c r="T10" s="150"/>
      <c r="U10" s="150"/>
      <c r="V10" s="150"/>
    </row>
    <row r="11" spans="1:22" ht="13.2" thickBot="1" x14ac:dyDescent="0.25">
      <c r="A11" s="2048" t="s">
        <v>752</v>
      </c>
      <c r="B11" s="90"/>
      <c r="C11" s="2726">
        <f>16291255*0.2</f>
        <v>3258251</v>
      </c>
      <c r="D11" s="2726">
        <f t="shared" ref="D11:H11" si="4">16291255*0.2</f>
        <v>3258251</v>
      </c>
      <c r="E11" s="2726">
        <f t="shared" si="4"/>
        <v>3258251</v>
      </c>
      <c r="F11" s="2726">
        <f t="shared" si="4"/>
        <v>3258251</v>
      </c>
      <c r="G11" s="2726">
        <f t="shared" si="4"/>
        <v>3258251</v>
      </c>
      <c r="H11" s="2726">
        <f t="shared" si="4"/>
        <v>3258251</v>
      </c>
      <c r="I11" s="150">
        <f t="shared" si="2"/>
        <v>19549506</v>
      </c>
      <c r="J11" s="2696">
        <f t="shared" si="3"/>
        <v>174772580.40000001</v>
      </c>
      <c r="K11" s="150"/>
      <c r="L11" s="2621">
        <f>+L10*12</f>
        <v>1369853541.0795</v>
      </c>
      <c r="M11" s="2622"/>
      <c r="Q11" s="150"/>
      <c r="R11" s="150"/>
      <c r="S11" s="150"/>
      <c r="T11" s="150"/>
      <c r="U11" s="150"/>
      <c r="V11" s="150"/>
    </row>
    <row r="12" spans="1:22" x14ac:dyDescent="0.2">
      <c r="A12" s="2048" t="s">
        <v>757</v>
      </c>
      <c r="B12" s="90"/>
      <c r="C12" s="2726">
        <v>4499004</v>
      </c>
      <c r="D12" s="2726">
        <f>4499004+19878574.11</f>
        <v>24377578.109999999</v>
      </c>
      <c r="E12" s="2726">
        <v>4499004</v>
      </c>
      <c r="F12" s="2726">
        <v>4499004</v>
      </c>
      <c r="G12" s="2726">
        <v>4499004</v>
      </c>
      <c r="H12" s="2726">
        <v>4499004</v>
      </c>
      <c r="I12" s="150">
        <f t="shared" si="2"/>
        <v>46872598.109999999</v>
      </c>
      <c r="J12" s="2696">
        <f t="shared" si="3"/>
        <v>250348713.38999999</v>
      </c>
      <c r="K12" s="150"/>
      <c r="L12" s="150"/>
      <c r="Q12" s="150"/>
      <c r="R12" s="150"/>
      <c r="S12" s="150"/>
      <c r="T12" s="150"/>
      <c r="U12" s="150"/>
      <c r="V12" s="150"/>
    </row>
    <row r="13" spans="1:22" x14ac:dyDescent="0.2">
      <c r="A13" s="2048" t="s">
        <v>756</v>
      </c>
      <c r="B13" s="90"/>
      <c r="C13" s="2726">
        <v>5202518</v>
      </c>
      <c r="D13" s="2726">
        <v>12031049</v>
      </c>
      <c r="E13" s="2726">
        <v>16500885</v>
      </c>
      <c r="F13" s="2726">
        <v>16215339</v>
      </c>
      <c r="G13" s="2726">
        <v>15928499</v>
      </c>
      <c r="H13" s="2726">
        <v>15640352</v>
      </c>
      <c r="I13" s="150">
        <f t="shared" si="2"/>
        <v>81518642</v>
      </c>
      <c r="J13" s="2696">
        <f t="shared" si="3"/>
        <v>81894017</v>
      </c>
      <c r="K13" s="150"/>
      <c r="L13" s="150"/>
      <c r="Q13" s="150"/>
      <c r="R13" s="150"/>
      <c r="S13" s="150"/>
      <c r="T13" s="150"/>
      <c r="U13" s="150"/>
      <c r="V13" s="150"/>
    </row>
    <row r="14" spans="1:22" x14ac:dyDescent="0.2">
      <c r="A14" s="2048" t="s">
        <v>814</v>
      </c>
      <c r="B14" s="90"/>
      <c r="C14" s="2726">
        <v>10441013</v>
      </c>
      <c r="D14" s="2726">
        <v>10441013</v>
      </c>
      <c r="E14" s="2726">
        <v>10441013</v>
      </c>
      <c r="F14" s="2726">
        <v>10441013</v>
      </c>
      <c r="G14" s="2726">
        <v>10441013</v>
      </c>
      <c r="H14" s="2726">
        <v>10441013</v>
      </c>
      <c r="I14" s="150">
        <f t="shared" si="2"/>
        <v>62646078</v>
      </c>
      <c r="J14" s="2696">
        <f t="shared" si="3"/>
        <v>243484422</v>
      </c>
      <c r="K14" s="150"/>
      <c r="L14" s="150"/>
      <c r="Q14" s="150"/>
      <c r="R14" s="150"/>
      <c r="S14" s="150"/>
      <c r="T14" s="150"/>
      <c r="U14" s="150"/>
      <c r="V14" s="150"/>
    </row>
    <row r="15" spans="1:22" s="185" customFormat="1" x14ac:dyDescent="0.2">
      <c r="A15" s="2048" t="s">
        <v>815</v>
      </c>
      <c r="B15" s="90"/>
      <c r="C15" s="2726">
        <v>0</v>
      </c>
      <c r="D15" s="2726">
        <v>0</v>
      </c>
      <c r="E15" s="2726">
        <v>0</v>
      </c>
      <c r="F15" s="2726">
        <v>0</v>
      </c>
      <c r="G15" s="2726">
        <v>0</v>
      </c>
      <c r="H15" s="2726">
        <v>0</v>
      </c>
      <c r="I15" s="150">
        <f t="shared" si="2"/>
        <v>0</v>
      </c>
      <c r="J15" s="2696">
        <f t="shared" si="3"/>
        <v>0</v>
      </c>
      <c r="K15" s="150">
        <v>27833333</v>
      </c>
      <c r="L15" s="150"/>
      <c r="M15"/>
      <c r="N15"/>
      <c r="O15"/>
      <c r="P15"/>
      <c r="Q15" s="150"/>
      <c r="R15" s="150"/>
      <c r="S15" s="150"/>
      <c r="T15" s="150"/>
      <c r="U15" s="150"/>
      <c r="V15" s="150"/>
    </row>
    <row r="16" spans="1:22" x14ac:dyDescent="0.2">
      <c r="A16" s="2037" t="s">
        <v>313</v>
      </c>
      <c r="B16" s="90" t="s">
        <v>312</v>
      </c>
      <c r="C16" s="2725">
        <v>3422809</v>
      </c>
      <c r="D16" s="2725">
        <v>3422809</v>
      </c>
      <c r="E16" s="2725">
        <v>3422809</v>
      </c>
      <c r="F16" s="2725">
        <f>7899847.12+967846.651395503</f>
        <v>8867693.7713955026</v>
      </c>
      <c r="G16" s="2725">
        <f t="shared" ref="G16:H16" si="5">7899847.12+967846.651395503</f>
        <v>8867693.7713955026</v>
      </c>
      <c r="H16" s="2725">
        <f t="shared" si="5"/>
        <v>8867693.7713955026</v>
      </c>
      <c r="I16" s="150">
        <f t="shared" si="2"/>
        <v>36871508.314186513</v>
      </c>
      <c r="J16" s="2696">
        <f t="shared" si="3"/>
        <v>143307260.30527157</v>
      </c>
      <c r="K16" s="70">
        <v>27833333</v>
      </c>
      <c r="L16" s="150"/>
      <c r="Q16" s="150"/>
      <c r="R16" s="150"/>
      <c r="S16" s="150"/>
      <c r="T16" s="150"/>
      <c r="U16" s="150"/>
      <c r="V16" s="150"/>
    </row>
    <row r="17" spans="1:22" x14ac:dyDescent="0.2">
      <c r="A17" s="2037" t="s">
        <v>314</v>
      </c>
      <c r="B17" s="90" t="s">
        <v>312</v>
      </c>
      <c r="C17" s="2726">
        <f>6537955.94</f>
        <v>6537955.9400000004</v>
      </c>
      <c r="D17" s="2726">
        <f t="shared" ref="D17:E17" si="6">6537955.94</f>
        <v>6537955.9400000004</v>
      </c>
      <c r="E17" s="2726">
        <f t="shared" si="6"/>
        <v>6537955.9400000004</v>
      </c>
      <c r="F17" s="2726">
        <f t="shared" ref="F17:H17" si="7">6537955.94+1222958.37551296</f>
        <v>7760914.3155129608</v>
      </c>
      <c r="G17" s="2726">
        <f t="shared" si="7"/>
        <v>7760914.3155129608</v>
      </c>
      <c r="H17" s="2726">
        <f t="shared" si="7"/>
        <v>7760914.3155129608</v>
      </c>
      <c r="I17" s="150">
        <f t="shared" si="2"/>
        <v>42896610.766538888</v>
      </c>
      <c r="J17" s="2696">
        <f t="shared" si="3"/>
        <v>166724827.2384811</v>
      </c>
      <c r="K17" s="150">
        <v>27833333</v>
      </c>
      <c r="P17" s="150"/>
      <c r="Q17" s="150"/>
      <c r="R17" s="150"/>
      <c r="S17" s="150"/>
      <c r="T17" s="150"/>
      <c r="U17" s="150"/>
    </row>
    <row r="18" spans="1:22" x14ac:dyDescent="0.2">
      <c r="A18" s="2037" t="s">
        <v>315</v>
      </c>
      <c r="B18" s="90"/>
      <c r="C18" s="1128"/>
      <c r="D18" s="1128"/>
      <c r="E18" s="1128"/>
      <c r="F18" s="1128"/>
      <c r="G18" s="1128"/>
      <c r="H18" s="2072"/>
      <c r="I18" s="150">
        <f t="shared" si="2"/>
        <v>0</v>
      </c>
      <c r="J18" s="2696">
        <f t="shared" si="3"/>
        <v>0</v>
      </c>
      <c r="K18" s="150">
        <v>27833333</v>
      </c>
      <c r="P18" s="150"/>
      <c r="Q18" s="150"/>
      <c r="R18" s="150"/>
      <c r="S18" s="150"/>
      <c r="T18" s="150"/>
      <c r="U18" s="150"/>
    </row>
    <row r="19" spans="1:22" x14ac:dyDescent="0.2">
      <c r="A19" s="2037" t="s">
        <v>316</v>
      </c>
      <c r="B19" s="90"/>
      <c r="C19" s="1128"/>
      <c r="D19" s="1128"/>
      <c r="E19" s="1128"/>
      <c r="F19" s="1128"/>
      <c r="G19" s="1128"/>
      <c r="H19" s="2072"/>
      <c r="I19" s="150">
        <f t="shared" si="2"/>
        <v>0</v>
      </c>
      <c r="J19" s="2696">
        <f t="shared" si="3"/>
        <v>0</v>
      </c>
      <c r="K19" s="150">
        <v>33333333</v>
      </c>
      <c r="P19" s="150"/>
      <c r="Q19" s="150"/>
      <c r="R19" s="150"/>
      <c r="S19" s="150"/>
      <c r="T19" s="150"/>
      <c r="U19" s="150"/>
    </row>
    <row r="20" spans="1:22" x14ac:dyDescent="0.2">
      <c r="A20" s="2037"/>
      <c r="B20" s="90"/>
      <c r="C20" s="1174"/>
      <c r="D20" s="1174"/>
      <c r="E20" s="1174"/>
      <c r="F20" s="1174"/>
      <c r="G20" s="514"/>
      <c r="H20" s="2150"/>
      <c r="I20" s="150">
        <f t="shared" si="2"/>
        <v>0</v>
      </c>
      <c r="J20" s="2696">
        <f t="shared" si="3"/>
        <v>0</v>
      </c>
      <c r="K20" s="150">
        <v>33333333</v>
      </c>
      <c r="P20" s="150"/>
      <c r="Q20" s="150"/>
      <c r="R20" s="150"/>
      <c r="S20" s="150"/>
      <c r="T20" s="150"/>
      <c r="U20" s="150"/>
    </row>
    <row r="21" spans="1:22" ht="13.2" x14ac:dyDescent="0.25">
      <c r="A21" s="2046" t="s">
        <v>317</v>
      </c>
      <c r="B21" s="1133"/>
      <c r="C21" s="1174"/>
      <c r="D21" s="1174"/>
      <c r="E21" s="1174"/>
      <c r="F21" s="1174"/>
      <c r="G21" s="514"/>
      <c r="H21" s="486"/>
      <c r="I21" s="150">
        <f t="shared" si="2"/>
        <v>0</v>
      </c>
      <c r="J21" s="2696">
        <f t="shared" si="3"/>
        <v>0</v>
      </c>
      <c r="K21" s="150"/>
      <c r="P21" s="150"/>
      <c r="Q21" s="150"/>
      <c r="R21" s="150"/>
      <c r="S21" s="150"/>
      <c r="T21" s="150"/>
      <c r="U21" s="150"/>
    </row>
    <row r="22" spans="1:22" x14ac:dyDescent="0.2">
      <c r="A22" s="2037" t="s">
        <v>318</v>
      </c>
      <c r="B22" s="90" t="s">
        <v>312</v>
      </c>
      <c r="C22" s="2726">
        <v>16700862</v>
      </c>
      <c r="D22" s="2726">
        <v>32681232</v>
      </c>
      <c r="E22" s="2726">
        <v>37117528</v>
      </c>
      <c r="F22" s="2726">
        <v>37117528</v>
      </c>
      <c r="G22" s="2726">
        <v>37117528</v>
      </c>
      <c r="H22" s="2726">
        <v>37117528</v>
      </c>
      <c r="I22" s="150">
        <f t="shared" si="2"/>
        <v>197852206</v>
      </c>
      <c r="J22" s="2696">
        <f t="shared" si="3"/>
        <v>198674650</v>
      </c>
      <c r="K22" s="150"/>
      <c r="L22" s="150">
        <f>+C25+C16</f>
        <v>74240714.939999998</v>
      </c>
      <c r="M22" s="348">
        <f>+D25-8363980</f>
        <v>105141401.05</v>
      </c>
      <c r="P22" s="150"/>
      <c r="Q22" s="150"/>
      <c r="R22" s="150"/>
      <c r="S22" s="150"/>
      <c r="T22" s="150"/>
      <c r="U22" s="150"/>
    </row>
    <row r="23" spans="1:22" x14ac:dyDescent="0.2">
      <c r="A23" s="2037"/>
      <c r="B23" s="90"/>
      <c r="C23" s="484"/>
      <c r="D23" s="1174"/>
      <c r="E23" s="1174"/>
      <c r="F23" s="1174"/>
      <c r="G23" s="514"/>
      <c r="H23" s="486"/>
      <c r="I23" s="150">
        <f t="shared" si="2"/>
        <v>0</v>
      </c>
      <c r="J23" s="2696">
        <f t="shared" si="3"/>
        <v>0</v>
      </c>
      <c r="L23" s="150"/>
      <c r="Q23" s="150"/>
      <c r="R23" s="150"/>
      <c r="S23" s="150"/>
      <c r="T23" s="150"/>
      <c r="U23" s="150"/>
      <c r="V23" s="150"/>
    </row>
    <row r="24" spans="1:22" x14ac:dyDescent="0.2">
      <c r="A24" s="2037"/>
      <c r="B24" s="90"/>
      <c r="C24" s="1174"/>
      <c r="D24" s="1174"/>
      <c r="E24" s="1174"/>
      <c r="F24" s="1174"/>
      <c r="G24" s="514"/>
      <c r="H24" s="2151"/>
      <c r="I24" s="150">
        <f t="shared" si="2"/>
        <v>0</v>
      </c>
      <c r="J24" s="2696">
        <f t="shared" si="3"/>
        <v>0</v>
      </c>
      <c r="K24" s="150"/>
      <c r="L24" s="150"/>
      <c r="Q24" s="150"/>
      <c r="R24" s="150"/>
      <c r="S24" s="150"/>
      <c r="T24" s="150"/>
      <c r="U24" s="150"/>
      <c r="V24" s="150"/>
    </row>
    <row r="25" spans="1:22" ht="13.2" x14ac:dyDescent="0.25">
      <c r="A25" s="2018" t="s">
        <v>319</v>
      </c>
      <c r="B25" s="151" t="s">
        <v>320</v>
      </c>
      <c r="C25" s="2152">
        <f t="shared" ref="C25:H25" si="8">C6+C16+C17+C22</f>
        <v>70817905.939999998</v>
      </c>
      <c r="D25" s="2152">
        <f t="shared" si="8"/>
        <v>113505381.05</v>
      </c>
      <c r="E25" s="2152">
        <f t="shared" si="8"/>
        <v>102532938.94</v>
      </c>
      <c r="F25" s="2152">
        <f t="shared" si="8"/>
        <v>112390916.58690846</v>
      </c>
      <c r="G25" s="2152">
        <f t="shared" si="8"/>
        <v>112104076.58690846</v>
      </c>
      <c r="H25" s="2153">
        <f t="shared" si="8"/>
        <v>111815929.58690846</v>
      </c>
      <c r="I25" s="150">
        <f t="shared" si="2"/>
        <v>623167148.69072533</v>
      </c>
      <c r="J25" s="2696">
        <f t="shared" si="3"/>
        <v>2119524647.5837526</v>
      </c>
      <c r="L25" s="150"/>
      <c r="M25" s="403"/>
      <c r="N25" s="403"/>
      <c r="O25" s="403"/>
      <c r="P25" s="403"/>
      <c r="Q25" s="150"/>
      <c r="R25" s="150"/>
      <c r="S25" s="150"/>
      <c r="T25" s="150"/>
      <c r="U25" s="150"/>
      <c r="V25" s="150"/>
    </row>
    <row r="26" spans="1:22" ht="13.2" x14ac:dyDescent="0.25">
      <c r="A26" s="2037" t="s">
        <v>150</v>
      </c>
      <c r="B26" s="139" t="s">
        <v>39</v>
      </c>
      <c r="C26" s="1169">
        <v>210</v>
      </c>
      <c r="D26" s="1169">
        <v>210</v>
      </c>
      <c r="E26" s="1169">
        <v>210</v>
      </c>
      <c r="F26" s="1169">
        <v>210</v>
      </c>
      <c r="G26" s="1169">
        <v>210</v>
      </c>
      <c r="H26" s="2049">
        <v>210</v>
      </c>
      <c r="I26" s="150">
        <f t="shared" si="2"/>
        <v>1260</v>
      </c>
      <c r="J26" s="2696">
        <f t="shared" si="3"/>
        <v>4897.2</v>
      </c>
      <c r="L26" s="150"/>
      <c r="Q26" s="150"/>
      <c r="R26" s="150"/>
      <c r="S26" s="150"/>
      <c r="T26" s="150"/>
      <c r="U26" s="150"/>
      <c r="V26" s="150"/>
    </row>
    <row r="27" spans="1:22" ht="13.2" x14ac:dyDescent="0.25">
      <c r="A27" s="55"/>
      <c r="B27" s="141"/>
      <c r="C27" s="2154"/>
      <c r="D27" s="2154"/>
      <c r="E27" s="2154"/>
      <c r="F27" s="2154"/>
      <c r="G27" s="2154"/>
      <c r="H27" s="2155"/>
      <c r="I27" s="150">
        <f t="shared" si="2"/>
        <v>0</v>
      </c>
      <c r="J27" s="2696">
        <f t="shared" si="3"/>
        <v>0</v>
      </c>
      <c r="L27" s="150"/>
      <c r="Q27" s="150"/>
      <c r="R27" s="150"/>
      <c r="S27" s="150"/>
      <c r="T27" s="150"/>
      <c r="U27" s="150"/>
      <c r="V27" s="150"/>
    </row>
    <row r="28" spans="1:22" ht="13.2" x14ac:dyDescent="0.25">
      <c r="A28" s="55" t="s">
        <v>321</v>
      </c>
      <c r="B28" s="141" t="s">
        <v>322</v>
      </c>
      <c r="C28" s="2156">
        <f>C25/(C26*1000)</f>
        <v>337.22812352380953</v>
      </c>
      <c r="D28" s="2156">
        <f t="shared" ref="D28:H28" si="9">D25/(D26*1000)</f>
        <v>540.50181452380946</v>
      </c>
      <c r="E28" s="2156">
        <f t="shared" si="9"/>
        <v>488.25209019047617</v>
      </c>
      <c r="F28" s="2156">
        <f t="shared" si="9"/>
        <v>535.19484089004027</v>
      </c>
      <c r="G28" s="2156">
        <f t="shared" si="9"/>
        <v>533.82893612813552</v>
      </c>
      <c r="H28" s="2157">
        <f t="shared" si="9"/>
        <v>532.45680755670696</v>
      </c>
      <c r="I28" s="150">
        <f t="shared" si="2"/>
        <v>2967.4626128129776</v>
      </c>
      <c r="J28" s="2696">
        <f t="shared" si="3"/>
        <v>32962.420923853933</v>
      </c>
      <c r="L28" s="150"/>
      <c r="Q28" s="150"/>
      <c r="R28" s="150"/>
      <c r="S28" s="150"/>
      <c r="T28" s="150"/>
      <c r="U28" s="150"/>
      <c r="V28" s="150"/>
    </row>
    <row r="29" spans="1:22" ht="13.2" x14ac:dyDescent="0.25">
      <c r="A29" s="75"/>
      <c r="B29" s="82"/>
      <c r="C29" s="415"/>
      <c r="D29" s="415"/>
      <c r="E29" s="415"/>
      <c r="F29" s="415"/>
      <c r="G29" s="415"/>
      <c r="H29" s="822"/>
      <c r="L29" s="150"/>
      <c r="Q29" s="150"/>
      <c r="R29" s="150"/>
      <c r="S29" s="150"/>
      <c r="T29" s="150"/>
      <c r="U29" s="150"/>
      <c r="V29" s="150"/>
    </row>
    <row r="30" spans="1:22" s="1" customFormat="1" ht="13.2" x14ac:dyDescent="0.25">
      <c r="A30" s="2141"/>
      <c r="B30" s="82"/>
      <c r="C30" s="146"/>
      <c r="D30" s="146"/>
      <c r="E30" s="146"/>
      <c r="F30" s="146"/>
      <c r="G30" s="146"/>
      <c r="H30" s="2142"/>
      <c r="L30" s="150"/>
      <c r="Q30" s="150"/>
      <c r="R30" s="150"/>
      <c r="S30" s="150"/>
      <c r="T30" s="150"/>
      <c r="U30" s="150"/>
      <c r="V30" s="150"/>
    </row>
    <row r="31" spans="1:22" ht="13.2" x14ac:dyDescent="0.25">
      <c r="A31" s="147" t="s">
        <v>323</v>
      </c>
      <c r="B31" s="1135">
        <v>833</v>
      </c>
      <c r="C31" s="1174"/>
      <c r="D31" s="1174"/>
      <c r="E31" s="1174"/>
      <c r="F31" s="1174"/>
      <c r="G31" s="514"/>
      <c r="H31" s="486"/>
      <c r="L31" s="150"/>
      <c r="Q31" s="150"/>
      <c r="R31" s="150"/>
      <c r="S31" s="150"/>
      <c r="T31" s="150"/>
      <c r="U31" s="150"/>
      <c r="V31" s="150"/>
    </row>
    <row r="32" spans="1:22" ht="13.2" x14ac:dyDescent="0.25">
      <c r="A32" s="2046" t="s">
        <v>310</v>
      </c>
      <c r="B32" s="1133"/>
      <c r="C32" s="1174"/>
      <c r="D32" s="1174"/>
      <c r="E32" s="1174"/>
      <c r="F32" s="1174"/>
      <c r="G32" s="514"/>
      <c r="H32" s="486"/>
      <c r="L32" s="150"/>
      <c r="Q32" s="150"/>
      <c r="R32" s="150"/>
      <c r="S32" s="150"/>
      <c r="T32" s="150"/>
      <c r="U32" s="150"/>
      <c r="V32" s="150"/>
    </row>
    <row r="33" spans="1:22" x14ac:dyDescent="0.2">
      <c r="A33" s="2037" t="s">
        <v>311</v>
      </c>
      <c r="B33" s="90" t="s">
        <v>312</v>
      </c>
      <c r="C33" s="2158">
        <f>+C34+C35+C36+C37+C38+C39+C40+C41+C42</f>
        <v>23467330.399999999</v>
      </c>
      <c r="D33" s="2158">
        <f t="shared" ref="D33:H33" si="10">+D34+D35+D36+D37+D38+D39+D40+D41+D42</f>
        <v>27252598.469999999</v>
      </c>
      <c r="E33" s="2158">
        <f t="shared" si="10"/>
        <v>23465075.399999999</v>
      </c>
      <c r="F33" s="2158">
        <f t="shared" si="10"/>
        <v>25714434.233333327</v>
      </c>
      <c r="G33" s="2158">
        <f t="shared" si="10"/>
        <v>25713306.233333327</v>
      </c>
      <c r="H33" s="2159">
        <f t="shared" si="10"/>
        <v>25712179.233333327</v>
      </c>
      <c r="I33" s="150">
        <f>SUM(C33:H33)</f>
        <v>151324923.96999997</v>
      </c>
      <c r="J33" s="150"/>
      <c r="K33" s="150"/>
      <c r="L33" s="150"/>
      <c r="Q33" s="150"/>
      <c r="R33" s="150"/>
      <c r="S33" s="150"/>
      <c r="T33" s="150"/>
      <c r="U33" s="150"/>
      <c r="V33" s="150"/>
    </row>
    <row r="34" spans="1:22" x14ac:dyDescent="0.2">
      <c r="A34" s="2048" t="s">
        <v>753</v>
      </c>
      <c r="B34" s="90"/>
      <c r="C34" s="2725">
        <v>12034689</v>
      </c>
      <c r="D34" s="2725">
        <v>12034689</v>
      </c>
      <c r="E34" s="2725">
        <v>12034689</v>
      </c>
      <c r="F34" s="2725">
        <f>12034689+2250485.83333333</f>
        <v>14285174.83333333</v>
      </c>
      <c r="G34" s="2725">
        <f t="shared" ref="G34:H34" si="11">12034689+2250485.83333333</f>
        <v>14285174.83333333</v>
      </c>
      <c r="H34" s="2725">
        <f t="shared" si="11"/>
        <v>14285174.83333333</v>
      </c>
      <c r="I34" s="150">
        <f>SUM(C34:H34)</f>
        <v>78959591.499999985</v>
      </c>
      <c r="J34" s="150"/>
      <c r="K34" s="150"/>
      <c r="L34" s="150"/>
      <c r="Q34" s="150"/>
      <c r="R34" s="150"/>
      <c r="S34" s="150"/>
      <c r="T34" s="150"/>
      <c r="U34" s="150"/>
      <c r="V34" s="150"/>
    </row>
    <row r="35" spans="1:22" x14ac:dyDescent="0.2">
      <c r="A35" s="2048" t="s">
        <v>758</v>
      </c>
      <c r="B35" s="90"/>
      <c r="C35" s="2725">
        <v>3157146</v>
      </c>
      <c r="D35" s="2725">
        <v>3157146</v>
      </c>
      <c r="E35" s="2725">
        <v>3157146</v>
      </c>
      <c r="F35" s="2725">
        <v>3157146</v>
      </c>
      <c r="G35" s="2725">
        <v>3157146</v>
      </c>
      <c r="H35" s="2725">
        <v>3157146</v>
      </c>
      <c r="I35" s="150">
        <f t="shared" ref="I35:I55" si="12">SUM(C35:H35)</f>
        <v>18942876</v>
      </c>
      <c r="J35" s="150"/>
      <c r="K35" s="150"/>
      <c r="L35" s="150"/>
      <c r="Q35" s="150"/>
      <c r="R35" s="150"/>
      <c r="S35" s="150"/>
      <c r="T35" s="150"/>
      <c r="U35" s="150"/>
      <c r="V35" s="150"/>
    </row>
    <row r="36" spans="1:22" x14ac:dyDescent="0.2">
      <c r="A36" s="2048" t="s">
        <v>754</v>
      </c>
      <c r="B36" s="90"/>
      <c r="C36" s="2725">
        <v>2100459</v>
      </c>
      <c r="D36" s="2725">
        <v>2100459</v>
      </c>
      <c r="E36" s="2725">
        <v>2100459</v>
      </c>
      <c r="F36" s="2725">
        <v>2100459</v>
      </c>
      <c r="G36" s="2725">
        <v>2100459</v>
      </c>
      <c r="H36" s="2725">
        <v>2100459</v>
      </c>
      <c r="I36" s="150">
        <f t="shared" si="12"/>
        <v>12602754</v>
      </c>
      <c r="J36" s="150"/>
      <c r="K36" s="150"/>
      <c r="L36" s="150"/>
      <c r="Q36" s="150"/>
      <c r="R36" s="150"/>
      <c r="S36" s="150"/>
      <c r="T36" s="150"/>
      <c r="U36" s="150"/>
      <c r="V36" s="150"/>
    </row>
    <row r="37" spans="1:22" x14ac:dyDescent="0.2">
      <c r="A37" s="2048" t="s">
        <v>755</v>
      </c>
      <c r="B37" s="90"/>
      <c r="C37" s="2725">
        <v>1111715</v>
      </c>
      <c r="D37" s="2725">
        <v>1111715</v>
      </c>
      <c r="E37" s="2725">
        <v>1111715</v>
      </c>
      <c r="F37" s="2725">
        <v>1111715</v>
      </c>
      <c r="G37" s="2725">
        <v>1111715</v>
      </c>
      <c r="H37" s="2725">
        <v>1111715</v>
      </c>
      <c r="I37" s="150">
        <f t="shared" si="12"/>
        <v>6670290</v>
      </c>
      <c r="J37" s="150"/>
      <c r="K37" s="150"/>
      <c r="L37" s="150"/>
      <c r="Q37" s="150"/>
      <c r="R37" s="150"/>
      <c r="S37" s="150"/>
      <c r="T37" s="150"/>
      <c r="U37" s="150"/>
      <c r="V37" s="150"/>
    </row>
    <row r="38" spans="1:22" x14ac:dyDescent="0.2">
      <c r="A38" s="2048" t="s">
        <v>752</v>
      </c>
      <c r="B38" s="90"/>
      <c r="C38" s="2725">
        <f>6516502*0.2</f>
        <v>1303300.4000000001</v>
      </c>
      <c r="D38" s="2725">
        <f t="shared" ref="D38:H38" si="13">6516502*0.2</f>
        <v>1303300.4000000001</v>
      </c>
      <c r="E38" s="2725">
        <f t="shared" si="13"/>
        <v>1303300.4000000001</v>
      </c>
      <c r="F38" s="2725">
        <f t="shared" si="13"/>
        <v>1303300.4000000001</v>
      </c>
      <c r="G38" s="2725">
        <f t="shared" si="13"/>
        <v>1303300.4000000001</v>
      </c>
      <c r="H38" s="2725">
        <f t="shared" si="13"/>
        <v>1303300.4000000001</v>
      </c>
      <c r="I38" s="150">
        <f t="shared" si="12"/>
        <v>7819802.4000000013</v>
      </c>
      <c r="J38" s="150"/>
      <c r="K38" s="150"/>
      <c r="L38" s="150"/>
      <c r="Q38" s="150"/>
      <c r="R38" s="150"/>
      <c r="S38" s="150"/>
      <c r="T38" s="150"/>
      <c r="U38" s="150"/>
      <c r="V38" s="150"/>
    </row>
    <row r="39" spans="1:22" x14ac:dyDescent="0.2">
      <c r="A39" s="2048" t="s">
        <v>757</v>
      </c>
      <c r="B39" s="90"/>
      <c r="C39" s="2805">
        <v>1705876</v>
      </c>
      <c r="D39" s="2805">
        <f>1705876+3786395.07</f>
        <v>5492271.0700000003</v>
      </c>
      <c r="E39" s="2805">
        <v>1705876</v>
      </c>
      <c r="F39" s="2805">
        <v>1705876</v>
      </c>
      <c r="G39" s="2805">
        <v>1705876</v>
      </c>
      <c r="H39" s="2805">
        <v>1705876</v>
      </c>
      <c r="I39" s="150">
        <f t="shared" si="12"/>
        <v>14021651.07</v>
      </c>
      <c r="J39" s="150"/>
      <c r="K39" s="150"/>
      <c r="L39" s="150"/>
      <c r="Q39" s="150"/>
      <c r="R39" s="150"/>
      <c r="S39" s="150"/>
      <c r="T39" s="150"/>
      <c r="U39" s="150"/>
      <c r="V39" s="150"/>
    </row>
    <row r="40" spans="1:22" x14ac:dyDescent="0.2">
      <c r="A40" s="2048" t="s">
        <v>756</v>
      </c>
      <c r="B40" s="90"/>
      <c r="C40" s="2725">
        <v>65381</v>
      </c>
      <c r="D40" s="2725">
        <v>64254</v>
      </c>
      <c r="E40" s="2725">
        <v>63126</v>
      </c>
      <c r="F40" s="2725">
        <v>61999</v>
      </c>
      <c r="G40" s="2725">
        <v>60871</v>
      </c>
      <c r="H40" s="2725">
        <v>59744</v>
      </c>
      <c r="I40" s="150">
        <f t="shared" si="12"/>
        <v>375375</v>
      </c>
      <c r="J40" s="150"/>
      <c r="K40" s="150"/>
      <c r="L40" s="150"/>
      <c r="Q40" s="150"/>
      <c r="R40" s="150"/>
      <c r="S40" s="150"/>
      <c r="T40" s="150"/>
      <c r="U40" s="150"/>
      <c r="V40" s="150"/>
    </row>
    <row r="41" spans="1:22" x14ac:dyDescent="0.2">
      <c r="A41" s="2048" t="s">
        <v>814</v>
      </c>
      <c r="B41" s="90"/>
      <c r="C41" s="2725">
        <v>1988764</v>
      </c>
      <c r="D41" s="2725">
        <v>1988764</v>
      </c>
      <c r="E41" s="2725">
        <v>1988764</v>
      </c>
      <c r="F41" s="2725">
        <v>1988764</v>
      </c>
      <c r="G41" s="2725">
        <v>1988764</v>
      </c>
      <c r="H41" s="2725">
        <v>1988764</v>
      </c>
      <c r="I41" s="150">
        <f t="shared" si="12"/>
        <v>11932584</v>
      </c>
      <c r="J41" s="150"/>
      <c r="K41" s="150"/>
      <c r="L41" s="150"/>
      <c r="Q41" s="150"/>
      <c r="R41" s="150"/>
      <c r="S41" s="150"/>
      <c r="T41" s="150"/>
      <c r="U41" s="150"/>
      <c r="V41" s="150"/>
    </row>
    <row r="42" spans="1:22" x14ac:dyDescent="0.2">
      <c r="A42" s="2048" t="s">
        <v>815</v>
      </c>
      <c r="B42" s="90"/>
      <c r="C42" s="2725">
        <v>0</v>
      </c>
      <c r="D42" s="2725">
        <v>0</v>
      </c>
      <c r="E42" s="2725">
        <v>0</v>
      </c>
      <c r="F42" s="2725">
        <v>0</v>
      </c>
      <c r="G42" s="2725">
        <v>0</v>
      </c>
      <c r="H42" s="2725">
        <v>0</v>
      </c>
      <c r="I42" s="150">
        <f t="shared" si="12"/>
        <v>0</v>
      </c>
      <c r="J42" s="150"/>
      <c r="K42" s="150"/>
      <c r="L42" s="150"/>
      <c r="Q42" s="150"/>
      <c r="R42" s="150"/>
      <c r="S42" s="150"/>
      <c r="T42" s="150"/>
      <c r="U42" s="150"/>
      <c r="V42" s="150"/>
    </row>
    <row r="43" spans="1:22" x14ac:dyDescent="0.2">
      <c r="A43" s="2037" t="s">
        <v>313</v>
      </c>
      <c r="B43" s="90" t="s">
        <v>312</v>
      </c>
      <c r="C43" s="2725">
        <v>651964</v>
      </c>
      <c r="D43" s="2725">
        <v>651964</v>
      </c>
      <c r="E43" s="2725">
        <v>651964</v>
      </c>
      <c r="F43" s="2725">
        <f>1504732.78+184351.743122953</f>
        <v>1689084.523122953</v>
      </c>
      <c r="G43" s="2725">
        <f t="shared" ref="G43:H43" si="14">1504732.78+184351.743122953</f>
        <v>1689084.523122953</v>
      </c>
      <c r="H43" s="2725">
        <f t="shared" si="14"/>
        <v>1689084.523122953</v>
      </c>
      <c r="I43" s="150">
        <f t="shared" si="12"/>
        <v>7023145.5693688598</v>
      </c>
      <c r="L43" s="150"/>
      <c r="Q43" s="150"/>
      <c r="R43" s="150"/>
      <c r="S43" s="150"/>
      <c r="T43" s="150"/>
      <c r="U43" s="150"/>
      <c r="V43" s="150"/>
    </row>
    <row r="44" spans="1:22" x14ac:dyDescent="0.2">
      <c r="A44" s="2037" t="s">
        <v>314</v>
      </c>
      <c r="B44" s="90" t="s">
        <v>312</v>
      </c>
      <c r="C44" s="2726">
        <f>1245324.94</f>
        <v>1245324.94</v>
      </c>
      <c r="D44" s="2726">
        <f t="shared" ref="D44:E44" si="15">1245324.94</f>
        <v>1245324.94</v>
      </c>
      <c r="E44" s="2726">
        <f t="shared" si="15"/>
        <v>1245324.94</v>
      </c>
      <c r="F44" s="2726">
        <f t="shared" ref="F44:H44" si="16">1245324.94+232944.452478658</f>
        <v>1478269.3924786579</v>
      </c>
      <c r="G44" s="2726">
        <f t="shared" si="16"/>
        <v>1478269.3924786579</v>
      </c>
      <c r="H44" s="2726">
        <f t="shared" si="16"/>
        <v>1478269.3924786579</v>
      </c>
      <c r="I44" s="150">
        <f t="shared" si="12"/>
        <v>8170782.997435974</v>
      </c>
      <c r="J44" s="150"/>
      <c r="K44" s="150"/>
      <c r="L44" s="150"/>
      <c r="Q44" s="150"/>
      <c r="R44" s="150"/>
      <c r="S44" s="150"/>
      <c r="T44" s="150"/>
      <c r="U44" s="150"/>
      <c r="V44" s="150"/>
    </row>
    <row r="45" spans="1:22" x14ac:dyDescent="0.2">
      <c r="A45" s="2037" t="s">
        <v>315</v>
      </c>
      <c r="B45" s="90"/>
      <c r="C45" s="2727"/>
      <c r="D45" s="2725"/>
      <c r="E45" s="2727"/>
      <c r="F45" s="2727"/>
      <c r="G45" s="2727"/>
      <c r="H45" s="2728"/>
      <c r="I45" s="150">
        <f t="shared" si="12"/>
        <v>0</v>
      </c>
      <c r="L45" s="150"/>
      <c r="Q45" s="150"/>
      <c r="R45" s="150"/>
      <c r="S45" s="150"/>
      <c r="T45" s="150"/>
      <c r="U45" s="150"/>
      <c r="V45" s="150"/>
    </row>
    <row r="46" spans="1:22" x14ac:dyDescent="0.2">
      <c r="A46" s="2037" t="s">
        <v>316</v>
      </c>
      <c r="B46" s="90"/>
      <c r="C46" s="1128">
        <f t="shared" ref="C46:H46" si="17">C19</f>
        <v>0</v>
      </c>
      <c r="D46" s="1128">
        <f t="shared" si="17"/>
        <v>0</v>
      </c>
      <c r="E46" s="1128">
        <f t="shared" si="17"/>
        <v>0</v>
      </c>
      <c r="F46" s="1128">
        <f t="shared" si="17"/>
        <v>0</v>
      </c>
      <c r="G46" s="1128">
        <f t="shared" si="17"/>
        <v>0</v>
      </c>
      <c r="H46" s="2072">
        <f t="shared" si="17"/>
        <v>0</v>
      </c>
      <c r="I46" s="150">
        <f t="shared" si="12"/>
        <v>0</v>
      </c>
      <c r="J46" s="183"/>
      <c r="K46" s="183"/>
      <c r="L46" s="150"/>
      <c r="Q46" s="150"/>
      <c r="R46" s="150"/>
      <c r="S46" s="150"/>
      <c r="T46" s="150"/>
      <c r="U46" s="150"/>
      <c r="V46" s="150"/>
    </row>
    <row r="47" spans="1:22" x14ac:dyDescent="0.2">
      <c r="A47" s="2037"/>
      <c r="B47" s="90"/>
      <c r="C47" s="1174"/>
      <c r="D47" s="1174"/>
      <c r="E47" s="1174"/>
      <c r="F47" s="1174"/>
      <c r="G47" s="514"/>
      <c r="H47" s="2150"/>
      <c r="I47" s="150">
        <f t="shared" si="12"/>
        <v>0</v>
      </c>
      <c r="L47" s="150"/>
      <c r="Q47" s="150"/>
      <c r="R47" s="150"/>
      <c r="S47" s="150"/>
      <c r="T47" s="150"/>
      <c r="U47" s="150"/>
      <c r="V47" s="150"/>
    </row>
    <row r="48" spans="1:22" ht="13.2" x14ac:dyDescent="0.25">
      <c r="A48" s="2046" t="s">
        <v>317</v>
      </c>
      <c r="B48" s="1133"/>
      <c r="C48" s="1174"/>
      <c r="D48" s="1174"/>
      <c r="E48" s="1174"/>
      <c r="F48" s="1174"/>
      <c r="G48" s="514"/>
      <c r="H48" s="486"/>
      <c r="I48" s="150">
        <f t="shared" si="12"/>
        <v>0</v>
      </c>
      <c r="L48" s="150"/>
      <c r="Q48" s="150"/>
      <c r="R48" s="150"/>
      <c r="S48" s="150"/>
      <c r="T48" s="150"/>
      <c r="U48" s="150"/>
      <c r="V48" s="150"/>
    </row>
    <row r="49" spans="1:22" x14ac:dyDescent="0.2">
      <c r="A49" s="2037" t="s">
        <v>318</v>
      </c>
      <c r="B49" s="90" t="s">
        <v>312</v>
      </c>
      <c r="C49" s="1169">
        <v>137074</v>
      </c>
      <c r="D49" s="1169">
        <v>137074</v>
      </c>
      <c r="E49" s="1169">
        <v>137074</v>
      </c>
      <c r="F49" s="1169">
        <v>137074</v>
      </c>
      <c r="G49" s="1169">
        <v>137074</v>
      </c>
      <c r="H49" s="1169">
        <v>137074</v>
      </c>
      <c r="I49" s="150">
        <f t="shared" si="12"/>
        <v>822444</v>
      </c>
      <c r="J49" s="150"/>
      <c r="K49" s="150"/>
      <c r="L49" s="150"/>
      <c r="M49" s="150">
        <f>+C52+C43</f>
        <v>26153657.34</v>
      </c>
      <c r="N49" s="348">
        <f>+D52-1593139</f>
        <v>27693822.41</v>
      </c>
      <c r="Q49" s="150"/>
      <c r="R49" s="150"/>
      <c r="S49" s="150"/>
      <c r="T49" s="150"/>
      <c r="U49" s="150"/>
      <c r="V49" s="150"/>
    </row>
    <row r="50" spans="1:22" x14ac:dyDescent="0.2">
      <c r="A50" s="2037"/>
      <c r="B50" s="90"/>
      <c r="C50" s="484"/>
      <c r="D50" s="1174"/>
      <c r="E50" s="1174"/>
      <c r="F50" s="1174"/>
      <c r="G50" s="514"/>
      <c r="H50" s="486"/>
      <c r="I50" s="150">
        <f t="shared" si="12"/>
        <v>0</v>
      </c>
      <c r="L50" s="150"/>
      <c r="Q50" s="150"/>
      <c r="R50" s="150"/>
      <c r="S50" s="150"/>
      <c r="T50" s="150"/>
      <c r="U50" s="150"/>
      <c r="V50" s="150"/>
    </row>
    <row r="51" spans="1:22" x14ac:dyDescent="0.2">
      <c r="A51" s="2037"/>
      <c r="B51" s="90"/>
      <c r="C51" s="1174"/>
      <c r="D51" s="1174"/>
      <c r="E51" s="1174"/>
      <c r="F51" s="1174"/>
      <c r="G51" s="514"/>
      <c r="H51" s="2151"/>
      <c r="I51" s="150">
        <f t="shared" si="12"/>
        <v>0</v>
      </c>
      <c r="L51" s="150"/>
      <c r="Q51" s="150"/>
      <c r="R51" s="150"/>
      <c r="S51" s="150"/>
      <c r="T51" s="150"/>
      <c r="U51" s="150"/>
      <c r="V51" s="150"/>
    </row>
    <row r="52" spans="1:22" ht="13.2" x14ac:dyDescent="0.25">
      <c r="A52" s="2037" t="s">
        <v>324</v>
      </c>
      <c r="B52" s="151" t="s">
        <v>320</v>
      </c>
      <c r="C52" s="1174">
        <f>+C33+C43+C44+C49</f>
        <v>25501693.34</v>
      </c>
      <c r="D52" s="1174">
        <f>D33+D43+D44+D49</f>
        <v>29286961.41</v>
      </c>
      <c r="E52" s="1174">
        <f>E33+E43+E44+E49</f>
        <v>25499438.34</v>
      </c>
      <c r="F52" s="1174">
        <f>F33+F43+F44+F49</f>
        <v>29018862.148934938</v>
      </c>
      <c r="G52" s="1174">
        <f>G33+G43+G44+G49</f>
        <v>29017734.148934938</v>
      </c>
      <c r="H52" s="2160">
        <f>H33+H43+H44+H49</f>
        <v>29016607.148934938</v>
      </c>
      <c r="I52" s="150">
        <f t="shared" si="12"/>
        <v>167341296.5368048</v>
      </c>
      <c r="L52" s="150"/>
      <c r="Q52" s="150"/>
      <c r="R52" s="150"/>
      <c r="S52" s="150"/>
      <c r="T52" s="150"/>
      <c r="U52" s="150"/>
      <c r="V52" s="150"/>
    </row>
    <row r="53" spans="1:22" ht="13.2" x14ac:dyDescent="0.25">
      <c r="A53" s="2037" t="s">
        <v>150</v>
      </c>
      <c r="B53" s="151" t="s">
        <v>39</v>
      </c>
      <c r="C53" s="1169">
        <v>40</v>
      </c>
      <c r="D53" s="1169">
        <v>40</v>
      </c>
      <c r="E53" s="1169">
        <v>40</v>
      </c>
      <c r="F53" s="1169">
        <v>40</v>
      </c>
      <c r="G53" s="1169">
        <v>40</v>
      </c>
      <c r="H53" s="2049">
        <v>40</v>
      </c>
      <c r="I53" s="150">
        <f t="shared" si="12"/>
        <v>240</v>
      </c>
      <c r="L53" s="150"/>
      <c r="Q53" s="150"/>
      <c r="R53" s="150"/>
      <c r="S53" s="150"/>
      <c r="T53" s="150"/>
      <c r="U53" s="150"/>
      <c r="V53" s="150"/>
    </row>
    <row r="54" spans="1:22" ht="13.2" x14ac:dyDescent="0.25">
      <c r="A54" s="55"/>
      <c r="B54" s="141"/>
      <c r="C54" s="2161"/>
      <c r="D54" s="2154"/>
      <c r="E54" s="2154"/>
      <c r="F54" s="2154"/>
      <c r="G54" s="2154"/>
      <c r="H54" s="2155"/>
      <c r="I54" s="150">
        <f t="shared" si="12"/>
        <v>0</v>
      </c>
      <c r="L54" s="150"/>
      <c r="Q54" s="150"/>
      <c r="R54" s="150"/>
      <c r="S54" s="150"/>
      <c r="T54" s="150"/>
      <c r="U54" s="150"/>
      <c r="V54" s="150"/>
    </row>
    <row r="55" spans="1:22" ht="13.2" x14ac:dyDescent="0.25">
      <c r="A55" s="55" t="s">
        <v>325</v>
      </c>
      <c r="B55" s="141" t="s">
        <v>322</v>
      </c>
      <c r="C55" s="2162">
        <f t="shared" ref="C55:H55" si="18">C52/(C53*1000)</f>
        <v>637.54233350000004</v>
      </c>
      <c r="D55" s="2156">
        <f t="shared" si="18"/>
        <v>732.17403524999997</v>
      </c>
      <c r="E55" s="2156">
        <f t="shared" si="18"/>
        <v>637.48595850000004</v>
      </c>
      <c r="F55" s="2156">
        <f t="shared" si="18"/>
        <v>725.4715537233734</v>
      </c>
      <c r="G55" s="2156">
        <f t="shared" si="18"/>
        <v>725.44335372337343</v>
      </c>
      <c r="H55" s="2157">
        <f t="shared" si="18"/>
        <v>725.4151787233734</v>
      </c>
      <c r="I55" s="150">
        <f t="shared" si="12"/>
        <v>4183.5324134201201</v>
      </c>
      <c r="L55" s="150"/>
      <c r="Q55" s="150"/>
      <c r="R55" s="150"/>
      <c r="S55" s="150"/>
      <c r="T55" s="150"/>
      <c r="U55" s="150"/>
      <c r="V55" s="150"/>
    </row>
    <row r="56" spans="1:22" x14ac:dyDescent="0.2">
      <c r="A56" s="75"/>
      <c r="C56" s="415"/>
      <c r="D56" s="415"/>
      <c r="E56" s="415"/>
      <c r="F56" s="415"/>
      <c r="G56" s="415"/>
      <c r="H56" s="822"/>
      <c r="L56" s="150"/>
      <c r="Q56" s="150"/>
      <c r="R56" s="150"/>
      <c r="S56" s="150"/>
      <c r="T56" s="150"/>
      <c r="U56" s="150"/>
      <c r="V56" s="150"/>
    </row>
    <row r="57" spans="1:22" x14ac:dyDescent="0.2">
      <c r="A57" s="75"/>
      <c r="C57" s="415"/>
      <c r="D57" s="415"/>
      <c r="E57" s="415"/>
      <c r="F57" s="415"/>
      <c r="G57" s="415"/>
      <c r="H57" s="822"/>
      <c r="L57" s="150"/>
      <c r="Q57" s="150"/>
      <c r="R57" s="150"/>
      <c r="S57" s="150"/>
      <c r="T57" s="150"/>
      <c r="U57" s="150"/>
      <c r="V57" s="150"/>
    </row>
    <row r="58" spans="1:22" ht="13.2" x14ac:dyDescent="0.25">
      <c r="A58" s="147" t="s">
        <v>326</v>
      </c>
      <c r="B58" s="1135">
        <v>832</v>
      </c>
      <c r="C58" s="1174"/>
      <c r="D58" s="1174"/>
      <c r="E58" s="1174"/>
      <c r="F58" s="1174"/>
      <c r="G58" s="514"/>
      <c r="H58" s="486"/>
      <c r="L58" s="150"/>
      <c r="Q58" s="150"/>
      <c r="R58" s="150"/>
      <c r="S58" s="150"/>
      <c r="T58" s="150"/>
      <c r="U58" s="150"/>
      <c r="V58" s="150"/>
    </row>
    <row r="59" spans="1:22" ht="13.2" x14ac:dyDescent="0.25">
      <c r="A59" s="2046" t="s">
        <v>310</v>
      </c>
      <c r="B59" s="1133"/>
      <c r="C59" s="1174"/>
      <c r="D59" s="1174"/>
      <c r="E59" s="1174"/>
      <c r="F59" s="1174"/>
      <c r="G59" s="514"/>
      <c r="H59" s="486"/>
      <c r="L59" s="150"/>
      <c r="Q59" s="150"/>
      <c r="R59" s="150"/>
      <c r="S59" s="150"/>
      <c r="T59" s="150"/>
      <c r="U59" s="150"/>
      <c r="V59" s="150"/>
    </row>
    <row r="60" spans="1:22" x14ac:dyDescent="0.2">
      <c r="A60" s="2037" t="s">
        <v>311</v>
      </c>
      <c r="B60" s="90" t="s">
        <v>312</v>
      </c>
      <c r="C60" s="1174">
        <f>+C61+C62+C63+C64+C65+C66+C67+C68+C69</f>
        <v>42209242.200000003</v>
      </c>
      <c r="D60" s="1174">
        <f t="shared" ref="D60" si="19">+D61+D62+D63+D64+D65+D66+D67+D68+D69</f>
        <v>61235877.420000002</v>
      </c>
      <c r="E60" s="1174">
        <f t="shared" ref="E60" si="20">+E61+E62+E63+E64+E65+E66+E67+E68+E69</f>
        <v>42209242.200000003</v>
      </c>
      <c r="F60" s="1174">
        <f t="shared" ref="F60" si="21">+F61+F62+F63+F64+F65+F66+F67+F68+F69</f>
        <v>43817520.533333331</v>
      </c>
      <c r="G60" s="1174">
        <f t="shared" ref="G60" si="22">+G61+G62+G63+G64+G65+G66+G67+G68+G69</f>
        <v>43817520.533333331</v>
      </c>
      <c r="H60" s="2160">
        <f t="shared" ref="H60" si="23">+H61+H62+H63+H64+H65+H66+H67+H68+H69</f>
        <v>43817520.533333331</v>
      </c>
      <c r="I60" s="150">
        <f>SUM(C60:H60)</f>
        <v>277106923.41999996</v>
      </c>
      <c r="J60" s="150"/>
      <c r="K60" s="150"/>
      <c r="L60" s="150"/>
      <c r="Q60" s="150"/>
      <c r="R60" s="150"/>
      <c r="S60" s="150"/>
      <c r="T60" s="150"/>
      <c r="U60" s="150"/>
      <c r="V60" s="150"/>
    </row>
    <row r="61" spans="1:22" x14ac:dyDescent="0.2">
      <c r="A61" s="2048" t="s">
        <v>753</v>
      </c>
      <c r="B61" s="90"/>
      <c r="C61" s="2725">
        <v>12691537</v>
      </c>
      <c r="D61" s="2725">
        <v>12691537</v>
      </c>
      <c r="E61" s="2725">
        <v>12691537</v>
      </c>
      <c r="F61" s="2725">
        <f>12691537+1608278.33333333</f>
        <v>14299815.33333333</v>
      </c>
      <c r="G61" s="2725">
        <f t="shared" ref="G61:H61" si="24">12691537+1608278.33333333</f>
        <v>14299815.33333333</v>
      </c>
      <c r="H61" s="2725">
        <f t="shared" si="24"/>
        <v>14299815.33333333</v>
      </c>
      <c r="I61" s="150">
        <f>SUM(C61:H61)</f>
        <v>80974056.999999985</v>
      </c>
      <c r="J61" s="150"/>
      <c r="K61" s="150"/>
      <c r="L61" s="150"/>
      <c r="Q61" s="150"/>
      <c r="R61" s="150"/>
      <c r="S61" s="150"/>
      <c r="T61" s="150"/>
      <c r="U61" s="150"/>
      <c r="V61" s="150"/>
    </row>
    <row r="62" spans="1:22" x14ac:dyDescent="0.2">
      <c r="A62" s="2048" t="s">
        <v>758</v>
      </c>
      <c r="B62" s="90"/>
      <c r="C62" s="2725">
        <v>8844725</v>
      </c>
      <c r="D62" s="2725">
        <v>8844725</v>
      </c>
      <c r="E62" s="2725">
        <v>8844725</v>
      </c>
      <c r="F62" s="2725">
        <v>8844725</v>
      </c>
      <c r="G62" s="2725">
        <v>8844725</v>
      </c>
      <c r="H62" s="2725">
        <v>8844725</v>
      </c>
      <c r="I62" s="150">
        <f t="shared" ref="I62:I82" si="25">SUM(C62:H62)</f>
        <v>53068350</v>
      </c>
      <c r="J62" s="150"/>
      <c r="K62" s="150"/>
      <c r="L62" s="150"/>
      <c r="Q62" s="150"/>
      <c r="R62" s="150"/>
      <c r="S62" s="150"/>
      <c r="T62" s="150"/>
      <c r="U62" s="150"/>
      <c r="V62" s="150"/>
    </row>
    <row r="63" spans="1:22" x14ac:dyDescent="0.2">
      <c r="A63" s="2048" t="s">
        <v>754</v>
      </c>
      <c r="B63" s="90"/>
      <c r="C63" s="2725">
        <v>714156</v>
      </c>
      <c r="D63" s="2725">
        <v>714156</v>
      </c>
      <c r="E63" s="2725">
        <v>714156</v>
      </c>
      <c r="F63" s="2725">
        <v>714156</v>
      </c>
      <c r="G63" s="2725">
        <v>714156</v>
      </c>
      <c r="H63" s="2725">
        <v>714156</v>
      </c>
      <c r="I63" s="150">
        <f t="shared" si="25"/>
        <v>4284936</v>
      </c>
      <c r="J63" s="150"/>
      <c r="K63" s="150"/>
      <c r="L63" s="150"/>
      <c r="Q63" s="150"/>
      <c r="R63" s="150"/>
      <c r="S63" s="150"/>
      <c r="T63" s="150"/>
      <c r="U63" s="150"/>
      <c r="V63" s="150"/>
    </row>
    <row r="64" spans="1:22" x14ac:dyDescent="0.2">
      <c r="A64" s="2048" t="s">
        <v>755</v>
      </c>
      <c r="B64" s="90"/>
      <c r="C64" s="2725">
        <v>1838305</v>
      </c>
      <c r="D64" s="2725">
        <v>1838305</v>
      </c>
      <c r="E64" s="2725">
        <v>1838305</v>
      </c>
      <c r="F64" s="2725">
        <v>1838305</v>
      </c>
      <c r="G64" s="2725">
        <v>1838305</v>
      </c>
      <c r="H64" s="2725">
        <v>1838305</v>
      </c>
      <c r="I64" s="150">
        <f t="shared" si="25"/>
        <v>11029830</v>
      </c>
      <c r="J64" s="150"/>
      <c r="K64" s="150"/>
      <c r="L64" s="150"/>
      <c r="Q64" s="150"/>
      <c r="R64" s="150"/>
      <c r="S64" s="150"/>
      <c r="T64" s="150"/>
      <c r="U64" s="150"/>
      <c r="V64" s="150"/>
    </row>
    <row r="65" spans="1:22" x14ac:dyDescent="0.2">
      <c r="A65" s="2048" t="s">
        <v>752</v>
      </c>
      <c r="B65" s="90"/>
      <c r="C65" s="2725">
        <f>22156106*0.2</f>
        <v>4431221.2</v>
      </c>
      <c r="D65" s="2725">
        <f t="shared" ref="D65:H65" si="26">22156106*0.2</f>
        <v>4431221.2</v>
      </c>
      <c r="E65" s="2725">
        <f t="shared" si="26"/>
        <v>4431221.2</v>
      </c>
      <c r="F65" s="2725">
        <f t="shared" si="26"/>
        <v>4431221.2</v>
      </c>
      <c r="G65" s="2725">
        <f t="shared" si="26"/>
        <v>4431221.2</v>
      </c>
      <c r="H65" s="2725">
        <f t="shared" si="26"/>
        <v>4431221.2</v>
      </c>
      <c r="I65" s="150">
        <f t="shared" si="25"/>
        <v>26587327.199999999</v>
      </c>
      <c r="J65" s="150"/>
      <c r="K65" s="150"/>
      <c r="L65" s="150"/>
      <c r="Q65" s="150"/>
      <c r="R65" s="150"/>
      <c r="S65" s="150"/>
      <c r="T65" s="150"/>
      <c r="U65" s="150"/>
      <c r="V65" s="150"/>
    </row>
    <row r="66" spans="1:22" x14ac:dyDescent="0.2">
      <c r="A66" s="2048" t="s">
        <v>757</v>
      </c>
      <c r="B66" s="90"/>
      <c r="C66" s="2725">
        <v>3695757</v>
      </c>
      <c r="D66" s="2725">
        <f>3695757+19026635.22</f>
        <v>22722392.219999999</v>
      </c>
      <c r="E66" s="2725">
        <v>3695757</v>
      </c>
      <c r="F66" s="2725">
        <v>3695757</v>
      </c>
      <c r="G66" s="2725">
        <v>3695757</v>
      </c>
      <c r="H66" s="2725">
        <v>3695757</v>
      </c>
      <c r="I66" s="150">
        <f t="shared" si="25"/>
        <v>41201177.219999999</v>
      </c>
      <c r="J66" s="150"/>
      <c r="K66" s="150"/>
      <c r="L66" s="150"/>
      <c r="Q66" s="150"/>
      <c r="R66" s="150"/>
      <c r="S66" s="150"/>
      <c r="T66" s="150"/>
      <c r="U66" s="150"/>
      <c r="V66" s="150"/>
    </row>
    <row r="67" spans="1:22" x14ac:dyDescent="0.2">
      <c r="A67" s="2048" t="s">
        <v>756</v>
      </c>
      <c r="B67" s="90"/>
      <c r="C67" s="2725">
        <v>0</v>
      </c>
      <c r="D67" s="2725">
        <v>0</v>
      </c>
      <c r="E67" s="2725">
        <v>0</v>
      </c>
      <c r="F67" s="2725">
        <v>0</v>
      </c>
      <c r="G67" s="2725">
        <v>0</v>
      </c>
      <c r="H67" s="2725">
        <v>0</v>
      </c>
      <c r="I67" s="150">
        <f t="shared" si="25"/>
        <v>0</v>
      </c>
      <c r="J67" s="150"/>
      <c r="K67" s="150"/>
      <c r="L67" s="150"/>
      <c r="Q67" s="150"/>
      <c r="R67" s="150"/>
      <c r="S67" s="150"/>
      <c r="T67" s="150"/>
      <c r="U67" s="150"/>
      <c r="V67" s="150"/>
    </row>
    <row r="68" spans="1:22" x14ac:dyDescent="0.2">
      <c r="A68" s="2048" t="s">
        <v>814</v>
      </c>
      <c r="B68" s="90"/>
      <c r="C68" s="2725">
        <v>9993541</v>
      </c>
      <c r="D68" s="2725">
        <v>9993541</v>
      </c>
      <c r="E68" s="2725">
        <v>9993541</v>
      </c>
      <c r="F68" s="2725">
        <v>9993541</v>
      </c>
      <c r="G68" s="2725">
        <v>9993541</v>
      </c>
      <c r="H68" s="2725">
        <v>9993541</v>
      </c>
      <c r="I68" s="150">
        <f t="shared" si="25"/>
        <v>59961246</v>
      </c>
      <c r="J68" s="150"/>
      <c r="K68" s="150"/>
      <c r="L68" s="150"/>
      <c r="Q68" s="150"/>
      <c r="R68" s="150"/>
      <c r="S68" s="150"/>
      <c r="T68" s="150"/>
      <c r="U68" s="150"/>
      <c r="V68" s="150"/>
    </row>
    <row r="69" spans="1:22" x14ac:dyDescent="0.2">
      <c r="A69" s="2048" t="s">
        <v>815</v>
      </c>
      <c r="B69" s="90"/>
      <c r="C69" s="2725">
        <v>0</v>
      </c>
      <c r="D69" s="2725">
        <v>0</v>
      </c>
      <c r="E69" s="2725">
        <v>0</v>
      </c>
      <c r="F69" s="2725">
        <v>0</v>
      </c>
      <c r="G69" s="2725">
        <v>0</v>
      </c>
      <c r="H69" s="2725">
        <v>0</v>
      </c>
      <c r="I69" s="150">
        <f t="shared" si="25"/>
        <v>0</v>
      </c>
      <c r="J69" s="150"/>
      <c r="K69" s="150"/>
      <c r="L69" s="150"/>
      <c r="Q69" s="150"/>
      <c r="R69" s="150"/>
      <c r="S69" s="150"/>
      <c r="T69" s="150"/>
      <c r="U69" s="150"/>
      <c r="V69" s="150"/>
    </row>
    <row r="70" spans="1:22" x14ac:dyDescent="0.2">
      <c r="A70" s="2037" t="s">
        <v>313</v>
      </c>
      <c r="B70" s="90" t="s">
        <v>312</v>
      </c>
      <c r="C70" s="2725">
        <v>3276117</v>
      </c>
      <c r="D70" s="2725">
        <v>3276117</v>
      </c>
      <c r="E70" s="2725">
        <v>3276117</v>
      </c>
      <c r="F70" s="2725">
        <f>7561282.24+926367.509192839</f>
        <v>8487649.7491928395</v>
      </c>
      <c r="G70" s="2725">
        <f t="shared" ref="G70:H70" si="27">7561282.24+926367.509192839</f>
        <v>8487649.7491928395</v>
      </c>
      <c r="H70" s="2725">
        <f t="shared" si="27"/>
        <v>8487649.7491928395</v>
      </c>
      <c r="I70" s="150">
        <f t="shared" si="25"/>
        <v>35291300.247578524</v>
      </c>
      <c r="L70" s="150"/>
      <c r="Q70" s="150"/>
      <c r="R70" s="150"/>
      <c r="S70" s="150"/>
      <c r="T70" s="150"/>
      <c r="U70" s="150"/>
      <c r="V70" s="150"/>
    </row>
    <row r="71" spans="1:22" x14ac:dyDescent="0.2">
      <c r="A71" s="2037" t="s">
        <v>314</v>
      </c>
      <c r="B71" s="90" t="s">
        <v>312</v>
      </c>
      <c r="C71" s="2726">
        <f>6257757.83</f>
        <v>6257757.8300000001</v>
      </c>
      <c r="D71" s="2726">
        <f t="shared" ref="D71:E71" si="28">6257757.83</f>
        <v>6257757.8300000001</v>
      </c>
      <c r="E71" s="2726">
        <f t="shared" si="28"/>
        <v>6257757.8300000001</v>
      </c>
      <c r="F71" s="2726">
        <f t="shared" ref="F71:H71" si="29">6257757.83+1170545.87370526</f>
        <v>7428303.7037052605</v>
      </c>
      <c r="G71" s="2726">
        <f t="shared" si="29"/>
        <v>7428303.7037052605</v>
      </c>
      <c r="H71" s="2726">
        <f t="shared" si="29"/>
        <v>7428303.7037052605</v>
      </c>
      <c r="I71" s="150">
        <f t="shared" si="25"/>
        <v>41058184.601115778</v>
      </c>
      <c r="J71" s="150"/>
      <c r="K71" s="150"/>
      <c r="L71" s="150"/>
      <c r="Q71" s="150"/>
      <c r="R71" s="150"/>
      <c r="S71" s="150"/>
      <c r="T71" s="150"/>
      <c r="U71" s="150"/>
      <c r="V71" s="150"/>
    </row>
    <row r="72" spans="1:22" x14ac:dyDescent="0.2">
      <c r="A72" s="2037" t="s">
        <v>315</v>
      </c>
      <c r="B72" s="90"/>
      <c r="C72" s="1316"/>
      <c r="D72" s="1316"/>
      <c r="E72" s="1316"/>
      <c r="F72" s="1316"/>
      <c r="G72" s="1316"/>
      <c r="H72" s="2051"/>
      <c r="I72" s="150">
        <f t="shared" si="25"/>
        <v>0</v>
      </c>
      <c r="L72" s="150"/>
      <c r="Q72" s="150"/>
      <c r="R72" s="150"/>
      <c r="S72" s="150"/>
      <c r="T72" s="150"/>
      <c r="U72" s="150"/>
      <c r="V72" s="150"/>
    </row>
    <row r="73" spans="1:22" x14ac:dyDescent="0.2">
      <c r="A73" s="2037" t="s">
        <v>316</v>
      </c>
      <c r="B73" s="90"/>
      <c r="C73" s="1128">
        <f t="shared" ref="C73:H73" si="30">C19</f>
        <v>0</v>
      </c>
      <c r="D73" s="1128">
        <f t="shared" si="30"/>
        <v>0</v>
      </c>
      <c r="E73" s="1128">
        <f t="shared" si="30"/>
        <v>0</v>
      </c>
      <c r="F73" s="1128">
        <f t="shared" si="30"/>
        <v>0</v>
      </c>
      <c r="G73" s="1128">
        <f t="shared" si="30"/>
        <v>0</v>
      </c>
      <c r="H73" s="2072">
        <f t="shared" si="30"/>
        <v>0</v>
      </c>
      <c r="I73" s="150">
        <f t="shared" si="25"/>
        <v>0</v>
      </c>
      <c r="J73" s="183"/>
      <c r="K73" s="183"/>
      <c r="L73" s="150"/>
      <c r="M73" s="150">
        <f>+C79+C70</f>
        <v>55019234.030000001</v>
      </c>
      <c r="N73" s="348">
        <f>+D79-8005524</f>
        <v>62764228.25</v>
      </c>
      <c r="Q73" s="150"/>
      <c r="R73" s="150"/>
      <c r="S73" s="150"/>
      <c r="T73" s="150"/>
      <c r="U73" s="150"/>
      <c r="V73" s="150"/>
    </row>
    <row r="74" spans="1:22" x14ac:dyDescent="0.2">
      <c r="A74" s="2037"/>
      <c r="B74" s="90"/>
      <c r="C74" s="1174"/>
      <c r="D74" s="1174"/>
      <c r="E74" s="1174"/>
      <c r="F74" s="1174"/>
      <c r="G74" s="514"/>
      <c r="H74" s="2150"/>
      <c r="I74" s="150">
        <f t="shared" si="25"/>
        <v>0</v>
      </c>
      <c r="L74" s="150"/>
      <c r="Q74" s="150"/>
      <c r="R74" s="150"/>
      <c r="S74" s="150"/>
      <c r="T74" s="150"/>
      <c r="U74" s="150"/>
      <c r="V74" s="150"/>
    </row>
    <row r="75" spans="1:22" ht="13.2" x14ac:dyDescent="0.25">
      <c r="A75" s="2046" t="s">
        <v>317</v>
      </c>
      <c r="B75" s="1133"/>
      <c r="C75" s="1174"/>
      <c r="D75" s="1174"/>
      <c r="E75" s="1174"/>
      <c r="F75" s="1174"/>
      <c r="G75" s="514"/>
      <c r="H75" s="486"/>
      <c r="I75" s="150">
        <f t="shared" si="25"/>
        <v>0</v>
      </c>
      <c r="L75" s="150"/>
      <c r="Q75" s="150"/>
      <c r="R75" s="150"/>
      <c r="S75" s="150"/>
      <c r="T75" s="150"/>
      <c r="U75" s="150"/>
      <c r="V75" s="150"/>
    </row>
    <row r="76" spans="1:22" x14ac:dyDescent="0.2">
      <c r="A76" s="2037" t="s">
        <v>318</v>
      </c>
      <c r="B76" s="90" t="s">
        <v>312</v>
      </c>
      <c r="C76" s="1169"/>
      <c r="D76" s="1169"/>
      <c r="E76" s="1169"/>
      <c r="F76" s="1169"/>
      <c r="G76" s="1169"/>
      <c r="H76" s="1169"/>
      <c r="I76" s="150">
        <f t="shared" si="25"/>
        <v>0</v>
      </c>
      <c r="J76" s="150"/>
      <c r="K76" s="150"/>
      <c r="L76" s="150"/>
      <c r="Q76" s="150"/>
      <c r="R76" s="150"/>
      <c r="S76" s="150"/>
      <c r="T76" s="150"/>
      <c r="U76" s="150"/>
      <c r="V76" s="150"/>
    </row>
    <row r="77" spans="1:22" x14ac:dyDescent="0.2">
      <c r="A77" s="2037"/>
      <c r="B77" s="90"/>
      <c r="C77" s="484"/>
      <c r="D77" s="1174"/>
      <c r="E77" s="1174"/>
      <c r="F77" s="1174"/>
      <c r="G77" s="514"/>
      <c r="H77" s="486"/>
      <c r="I77" s="150">
        <f t="shared" si="25"/>
        <v>0</v>
      </c>
      <c r="L77" s="150"/>
      <c r="Q77" s="150"/>
      <c r="R77" s="150"/>
      <c r="S77" s="150"/>
      <c r="T77" s="150"/>
      <c r="U77" s="150"/>
      <c r="V77" s="150"/>
    </row>
    <row r="78" spans="1:22" x14ac:dyDescent="0.2">
      <c r="A78" s="2037"/>
      <c r="B78" s="90"/>
      <c r="C78" s="1174"/>
      <c r="D78" s="1174"/>
      <c r="E78" s="1174"/>
      <c r="F78" s="1174"/>
      <c r="G78" s="514"/>
      <c r="H78" s="2151"/>
      <c r="I78" s="150">
        <f t="shared" si="25"/>
        <v>0</v>
      </c>
      <c r="L78" s="150"/>
      <c r="Q78" s="150"/>
      <c r="R78" s="150"/>
      <c r="S78" s="150"/>
      <c r="T78" s="150"/>
      <c r="U78" s="150"/>
      <c r="V78" s="150"/>
    </row>
    <row r="79" spans="1:22" ht="13.2" x14ac:dyDescent="0.25">
      <c r="A79" s="2037" t="s">
        <v>327</v>
      </c>
      <c r="B79" s="151" t="s">
        <v>320</v>
      </c>
      <c r="C79" s="1174">
        <f t="shared" ref="C79:H79" si="31">C60+C70+C71+C76</f>
        <v>51743117.030000001</v>
      </c>
      <c r="D79" s="1174">
        <f t="shared" si="31"/>
        <v>70769752.25</v>
      </c>
      <c r="E79" s="1174">
        <f t="shared" si="31"/>
        <v>51743117.030000001</v>
      </c>
      <c r="F79" s="1174">
        <f t="shared" si="31"/>
        <v>59733473.986231431</v>
      </c>
      <c r="G79" s="1174">
        <f t="shared" si="31"/>
        <v>59733473.986231431</v>
      </c>
      <c r="H79" s="2160">
        <f t="shared" si="31"/>
        <v>59733473.986231431</v>
      </c>
      <c r="I79" s="150">
        <f t="shared" si="25"/>
        <v>353456408.26869434</v>
      </c>
      <c r="L79" s="150"/>
      <c r="Q79" s="150"/>
      <c r="R79" s="150"/>
      <c r="S79" s="150"/>
      <c r="T79" s="150"/>
      <c r="U79" s="150"/>
      <c r="V79" s="150"/>
    </row>
    <row r="80" spans="1:22" ht="13.2" x14ac:dyDescent="0.25">
      <c r="A80" s="2037" t="s">
        <v>150</v>
      </c>
      <c r="B80" s="151" t="s">
        <v>39</v>
      </c>
      <c r="C80" s="1169">
        <v>201</v>
      </c>
      <c r="D80" s="1169">
        <v>201</v>
      </c>
      <c r="E80" s="1169">
        <v>201</v>
      </c>
      <c r="F80" s="1169">
        <v>201</v>
      </c>
      <c r="G80" s="1169">
        <v>201</v>
      </c>
      <c r="H80" s="2049">
        <v>201</v>
      </c>
      <c r="I80" s="150">
        <f t="shared" si="25"/>
        <v>1206</v>
      </c>
      <c r="L80" s="150"/>
      <c r="Q80" s="150"/>
      <c r="R80" s="150"/>
      <c r="S80" s="150"/>
      <c r="T80" s="150"/>
      <c r="U80" s="150"/>
      <c r="V80" s="150"/>
    </row>
    <row r="81" spans="1:22" ht="13.2" x14ac:dyDescent="0.25">
      <c r="A81" s="55"/>
      <c r="B81" s="151"/>
      <c r="C81" s="2154"/>
      <c r="D81" s="2154"/>
      <c r="E81" s="2154"/>
      <c r="F81" s="2154"/>
      <c r="G81" s="2154"/>
      <c r="H81" s="2155"/>
      <c r="I81" s="150">
        <f t="shared" si="25"/>
        <v>0</v>
      </c>
      <c r="L81" s="150"/>
      <c r="Q81" s="150"/>
      <c r="R81" s="150"/>
      <c r="S81" s="150"/>
      <c r="T81" s="150"/>
      <c r="U81" s="150"/>
      <c r="V81" s="150"/>
    </row>
    <row r="82" spans="1:22" ht="13.2" x14ac:dyDescent="0.25">
      <c r="A82" s="55" t="s">
        <v>328</v>
      </c>
      <c r="B82" s="141" t="s">
        <v>322</v>
      </c>
      <c r="C82" s="2162">
        <f t="shared" ref="C82:H82" si="32">C79/(C80*1000)</f>
        <v>257.4284429353234</v>
      </c>
      <c r="D82" s="2156">
        <f t="shared" si="32"/>
        <v>352.0883196517413</v>
      </c>
      <c r="E82" s="2156">
        <f t="shared" si="32"/>
        <v>257.4284429353234</v>
      </c>
      <c r="F82" s="2156">
        <f t="shared" si="32"/>
        <v>297.1814626180668</v>
      </c>
      <c r="G82" s="2156">
        <f t="shared" si="32"/>
        <v>297.1814626180668</v>
      </c>
      <c r="H82" s="2157">
        <f t="shared" si="32"/>
        <v>297.1814626180668</v>
      </c>
      <c r="I82" s="150">
        <f t="shared" si="25"/>
        <v>1758.4895933765883</v>
      </c>
      <c r="L82" s="150"/>
      <c r="Q82" s="150"/>
      <c r="R82" s="150"/>
      <c r="S82" s="150"/>
      <c r="T82" s="150"/>
      <c r="U82" s="150"/>
      <c r="V82" s="150"/>
    </row>
    <row r="83" spans="1:22" x14ac:dyDescent="0.2">
      <c r="A83" s="75"/>
      <c r="C83" s="415"/>
      <c r="D83" s="415"/>
      <c r="E83" s="415"/>
      <c r="F83" s="415"/>
      <c r="G83" s="415"/>
      <c r="H83" s="822"/>
      <c r="L83" s="150"/>
      <c r="Q83" s="150"/>
      <c r="R83" s="150"/>
      <c r="S83" s="150"/>
      <c r="T83" s="150"/>
      <c r="U83" s="150"/>
      <c r="V83" s="150"/>
    </row>
    <row r="84" spans="1:22" x14ac:dyDescent="0.2">
      <c r="A84" s="75"/>
      <c r="C84" s="415"/>
      <c r="D84" s="415"/>
      <c r="E84" s="415"/>
      <c r="F84" s="415"/>
      <c r="G84" s="415"/>
      <c r="H84" s="822"/>
      <c r="L84" s="150"/>
      <c r="Q84" s="150"/>
      <c r="R84" s="150"/>
      <c r="S84" s="150"/>
      <c r="T84" s="150"/>
      <c r="U84" s="150"/>
      <c r="V84" s="150"/>
    </row>
    <row r="85" spans="1:22" x14ac:dyDescent="0.2">
      <c r="A85" s="75"/>
      <c r="C85" s="415"/>
      <c r="D85" s="415"/>
      <c r="E85" s="415"/>
      <c r="F85" s="415"/>
      <c r="G85" s="415"/>
      <c r="H85" s="822"/>
      <c r="L85" s="150"/>
      <c r="Q85" s="150"/>
      <c r="R85" s="150"/>
      <c r="S85" s="150"/>
      <c r="T85" s="150"/>
      <c r="U85" s="150"/>
      <c r="V85" s="150"/>
    </row>
    <row r="86" spans="1:22" ht="13.2" x14ac:dyDescent="0.25">
      <c r="A86" s="147" t="s">
        <v>329</v>
      </c>
      <c r="B86" s="1135">
        <v>835</v>
      </c>
      <c r="C86" s="1174"/>
      <c r="D86" s="1174"/>
      <c r="E86" s="1174"/>
      <c r="F86" s="1174"/>
      <c r="G86" s="514"/>
      <c r="H86" s="486"/>
      <c r="L86" s="150"/>
      <c r="Q86" s="150"/>
      <c r="R86" s="150"/>
      <c r="S86" s="150"/>
      <c r="T86" s="150"/>
      <c r="U86" s="150"/>
      <c r="V86" s="150"/>
    </row>
    <row r="87" spans="1:22" ht="13.2" x14ac:dyDescent="0.25">
      <c r="A87" s="2046" t="s">
        <v>310</v>
      </c>
      <c r="B87" s="1133"/>
      <c r="C87" s="1174"/>
      <c r="D87" s="1174"/>
      <c r="E87" s="1174"/>
      <c r="F87" s="1174"/>
      <c r="G87" s="514"/>
      <c r="H87" s="486"/>
      <c r="L87" s="150"/>
      <c r="Q87" s="150"/>
      <c r="R87" s="150"/>
      <c r="S87" s="150"/>
      <c r="T87" s="150"/>
      <c r="U87" s="150"/>
      <c r="V87" s="150"/>
    </row>
    <row r="88" spans="1:22" x14ac:dyDescent="0.2">
      <c r="A88" s="2037" t="s">
        <v>311</v>
      </c>
      <c r="B88" s="90" t="s">
        <v>312</v>
      </c>
      <c r="C88" s="1174">
        <f>+C89+C90+C91+C92+C93+C94+C95+C96+C97</f>
        <v>44651592</v>
      </c>
      <c r="D88" s="1174">
        <f t="shared" ref="D88:H88" si="33">+D89+D90+D91+D92+D93+D94+D95+D96+D97</f>
        <v>60933090.799999997</v>
      </c>
      <c r="E88" s="1174">
        <f t="shared" si="33"/>
        <v>44651592</v>
      </c>
      <c r="F88" s="1174">
        <f t="shared" si="33"/>
        <v>52486505.5</v>
      </c>
      <c r="G88" s="1174">
        <f t="shared" si="33"/>
        <v>52486505.5</v>
      </c>
      <c r="H88" s="2160">
        <f t="shared" si="33"/>
        <v>52486505.5</v>
      </c>
      <c r="I88" s="150">
        <f>SUM(C88:H88)</f>
        <v>307695791.30000001</v>
      </c>
      <c r="J88" s="150"/>
      <c r="K88" s="150"/>
      <c r="L88" s="150"/>
      <c r="Q88" s="150"/>
      <c r="R88" s="150"/>
      <c r="S88" s="150"/>
      <c r="T88" s="150"/>
      <c r="U88" s="150"/>
      <c r="V88" s="150"/>
    </row>
    <row r="89" spans="1:22" x14ac:dyDescent="0.2">
      <c r="A89" s="2048" t="s">
        <v>753</v>
      </c>
      <c r="B89" s="90"/>
      <c r="C89" s="2729">
        <v>7356766</v>
      </c>
      <c r="D89" s="2729">
        <v>7356766</v>
      </c>
      <c r="E89" s="2729">
        <v>7356766</v>
      </c>
      <c r="F89" s="2729">
        <f>7356766+7834913.5</f>
        <v>15191679.5</v>
      </c>
      <c r="G89" s="2729">
        <f t="shared" ref="G89:H89" si="34">7356766+7834913.5</f>
        <v>15191679.5</v>
      </c>
      <c r="H89" s="2729">
        <f t="shared" si="34"/>
        <v>15191679.5</v>
      </c>
      <c r="I89" s="150">
        <f>SUM(C89:H89)</f>
        <v>67645336.5</v>
      </c>
      <c r="J89" s="150"/>
      <c r="K89" s="150"/>
      <c r="L89" s="150"/>
      <c r="Q89" s="150"/>
      <c r="R89" s="150"/>
      <c r="S89" s="150"/>
      <c r="T89" s="150"/>
      <c r="U89" s="150"/>
      <c r="V89" s="150"/>
    </row>
    <row r="90" spans="1:22" x14ac:dyDescent="0.2">
      <c r="A90" s="2048" t="s">
        <v>758</v>
      </c>
      <c r="B90" s="90"/>
      <c r="C90" s="2729">
        <v>11440426</v>
      </c>
      <c r="D90" s="2729">
        <v>11440426</v>
      </c>
      <c r="E90" s="2729">
        <v>11440426</v>
      </c>
      <c r="F90" s="2729">
        <v>11440426</v>
      </c>
      <c r="G90" s="2729">
        <v>11440426</v>
      </c>
      <c r="H90" s="2729">
        <v>11440426</v>
      </c>
      <c r="I90" s="150">
        <f t="shared" ref="I90:I110" si="35">SUM(C90:H90)</f>
        <v>68642556</v>
      </c>
      <c r="J90" s="150"/>
      <c r="K90" s="150"/>
      <c r="L90" s="150"/>
      <c r="Q90" s="150"/>
      <c r="R90" s="150"/>
      <c r="S90" s="150"/>
      <c r="T90" s="150"/>
      <c r="U90" s="150"/>
      <c r="V90" s="150"/>
    </row>
    <row r="91" spans="1:22" x14ac:dyDescent="0.2">
      <c r="A91" s="2048" t="s">
        <v>754</v>
      </c>
      <c r="B91" s="90"/>
      <c r="C91" s="2729">
        <v>2807819</v>
      </c>
      <c r="D91" s="2729">
        <v>2807819</v>
      </c>
      <c r="E91" s="2729">
        <v>2807819</v>
      </c>
      <c r="F91" s="2729">
        <v>2807819</v>
      </c>
      <c r="G91" s="2729">
        <v>2807819</v>
      </c>
      <c r="H91" s="2729">
        <v>2807819</v>
      </c>
      <c r="I91" s="150">
        <f t="shared" si="35"/>
        <v>16846914</v>
      </c>
      <c r="J91" s="150"/>
      <c r="K91" s="150"/>
      <c r="L91" s="150"/>
      <c r="Q91" s="150"/>
      <c r="R91" s="150"/>
      <c r="S91" s="150"/>
      <c r="T91" s="150"/>
      <c r="U91" s="150"/>
      <c r="V91" s="150"/>
    </row>
    <row r="92" spans="1:22" x14ac:dyDescent="0.2">
      <c r="A92" s="2048" t="s">
        <v>755</v>
      </c>
      <c r="B92" s="90"/>
      <c r="C92" s="2729">
        <v>2934250</v>
      </c>
      <c r="D92" s="2729">
        <v>2934250</v>
      </c>
      <c r="E92" s="2729">
        <v>2934250</v>
      </c>
      <c r="F92" s="2729">
        <v>2934250</v>
      </c>
      <c r="G92" s="2729">
        <v>2934250</v>
      </c>
      <c r="H92" s="2729">
        <v>2934250</v>
      </c>
      <c r="I92" s="150">
        <f t="shared" si="35"/>
        <v>17605500</v>
      </c>
      <c r="J92" s="150"/>
      <c r="K92" s="150"/>
      <c r="L92" s="150"/>
      <c r="Q92" s="150"/>
      <c r="R92" s="150"/>
      <c r="S92" s="150"/>
      <c r="T92" s="150"/>
      <c r="U92" s="150"/>
      <c r="V92" s="150"/>
    </row>
    <row r="93" spans="1:22" x14ac:dyDescent="0.2">
      <c r="A93" s="2048" t="s">
        <v>752</v>
      </c>
      <c r="B93" s="90"/>
      <c r="C93" s="2729">
        <f>35840760*0.2</f>
        <v>7168152</v>
      </c>
      <c r="D93" s="2729">
        <f t="shared" ref="D93:H93" si="36">35840760*0.2</f>
        <v>7168152</v>
      </c>
      <c r="E93" s="2729">
        <f t="shared" si="36"/>
        <v>7168152</v>
      </c>
      <c r="F93" s="2729">
        <f t="shared" si="36"/>
        <v>7168152</v>
      </c>
      <c r="G93" s="2729">
        <f t="shared" si="36"/>
        <v>7168152</v>
      </c>
      <c r="H93" s="2729">
        <f t="shared" si="36"/>
        <v>7168152</v>
      </c>
      <c r="I93" s="150">
        <f t="shared" si="35"/>
        <v>43008912</v>
      </c>
      <c r="J93" s="150"/>
      <c r="K93" s="150"/>
      <c r="L93" s="150"/>
      <c r="Q93" s="150"/>
      <c r="R93" s="150"/>
      <c r="S93" s="150"/>
      <c r="T93" s="150"/>
      <c r="U93" s="150"/>
      <c r="V93" s="150"/>
    </row>
    <row r="94" spans="1:22" x14ac:dyDescent="0.2">
      <c r="A94" s="2048" t="s">
        <v>757</v>
      </c>
      <c r="B94" s="90"/>
      <c r="C94" s="2729">
        <v>4392492</v>
      </c>
      <c r="D94" s="2729">
        <f>4392492+16281498.8</f>
        <v>20673990.800000001</v>
      </c>
      <c r="E94" s="2729">
        <v>4392492</v>
      </c>
      <c r="F94" s="2729">
        <v>4392492</v>
      </c>
      <c r="G94" s="2729">
        <v>4392492</v>
      </c>
      <c r="H94" s="2729">
        <v>4392492</v>
      </c>
      <c r="I94" s="150">
        <f t="shared" si="35"/>
        <v>42636450.799999997</v>
      </c>
      <c r="J94" s="150"/>
      <c r="K94" s="150"/>
      <c r="L94" s="150"/>
      <c r="Q94" s="150"/>
      <c r="R94" s="150"/>
      <c r="S94" s="150"/>
      <c r="T94" s="150"/>
      <c r="U94" s="150"/>
      <c r="V94" s="150"/>
    </row>
    <row r="95" spans="1:22" x14ac:dyDescent="0.2">
      <c r="A95" s="2048" t="s">
        <v>756</v>
      </c>
      <c r="B95" s="90"/>
      <c r="C95" s="2729">
        <v>0</v>
      </c>
      <c r="D95" s="2729">
        <v>0</v>
      </c>
      <c r="E95" s="2729">
        <v>0</v>
      </c>
      <c r="F95" s="2729">
        <v>0</v>
      </c>
      <c r="G95" s="2729">
        <v>0</v>
      </c>
      <c r="H95" s="2729">
        <v>0</v>
      </c>
      <c r="I95" s="150">
        <f t="shared" si="35"/>
        <v>0</v>
      </c>
      <c r="J95" s="150"/>
      <c r="K95" s="150"/>
      <c r="L95" s="150"/>
      <c r="Q95" s="150"/>
      <c r="R95" s="150"/>
      <c r="S95" s="150"/>
      <c r="T95" s="150"/>
      <c r="U95" s="150"/>
      <c r="V95" s="150"/>
    </row>
    <row r="96" spans="1:22" x14ac:dyDescent="0.2">
      <c r="A96" s="2048" t="s">
        <v>814</v>
      </c>
      <c r="B96" s="90"/>
      <c r="C96" s="2729">
        <v>8551687</v>
      </c>
      <c r="D96" s="2729">
        <v>8551687</v>
      </c>
      <c r="E96" s="2729">
        <v>8551687</v>
      </c>
      <c r="F96" s="2729">
        <v>8551687</v>
      </c>
      <c r="G96" s="2729">
        <v>8551687</v>
      </c>
      <c r="H96" s="2729">
        <v>8551687</v>
      </c>
      <c r="I96" s="150">
        <f t="shared" si="35"/>
        <v>51310122</v>
      </c>
      <c r="J96" s="150"/>
      <c r="K96" s="150"/>
      <c r="L96" s="150"/>
      <c r="Q96" s="150"/>
      <c r="R96" s="150"/>
      <c r="S96" s="150"/>
      <c r="T96" s="150"/>
      <c r="U96" s="150"/>
      <c r="V96" s="150"/>
    </row>
    <row r="97" spans="1:22" x14ac:dyDescent="0.2">
      <c r="A97" s="2048" t="s">
        <v>815</v>
      </c>
      <c r="B97" s="90"/>
      <c r="C97" s="2729"/>
      <c r="D97" s="2729"/>
      <c r="E97" s="2729"/>
      <c r="F97" s="2729"/>
      <c r="G97" s="2729"/>
      <c r="H97" s="2729"/>
      <c r="I97" s="150">
        <f t="shared" si="35"/>
        <v>0</v>
      </c>
      <c r="J97" s="150"/>
      <c r="K97" s="150"/>
      <c r="L97" s="150"/>
      <c r="Q97" s="150"/>
      <c r="R97" s="150"/>
      <c r="S97" s="150"/>
      <c r="T97" s="150"/>
      <c r="U97" s="150"/>
      <c r="V97" s="150"/>
    </row>
    <row r="98" spans="1:22" x14ac:dyDescent="0.2">
      <c r="A98" s="2037" t="s">
        <v>313</v>
      </c>
      <c r="B98" s="90" t="s">
        <v>312</v>
      </c>
      <c r="C98" s="2729">
        <v>2803443</v>
      </c>
      <c r="D98" s="2729">
        <v>2803443</v>
      </c>
      <c r="E98" s="2729">
        <v>2803443</v>
      </c>
      <c r="F98" s="2729">
        <f>6470350.97+792712.495428698</f>
        <v>7263063.4654286979</v>
      </c>
      <c r="G98" s="2729">
        <f t="shared" ref="G98:H98" si="37">6470350.97+792712.495428698</f>
        <v>7263063.4654286979</v>
      </c>
      <c r="H98" s="2729">
        <f t="shared" si="37"/>
        <v>7263063.4654286979</v>
      </c>
      <c r="I98" s="150">
        <f t="shared" si="35"/>
        <v>30199519.396286096</v>
      </c>
      <c r="L98" s="150"/>
      <c r="Q98" s="150"/>
      <c r="R98" s="150"/>
      <c r="S98" s="150"/>
      <c r="T98" s="150"/>
      <c r="U98" s="150"/>
      <c r="V98" s="150"/>
    </row>
    <row r="99" spans="1:22" x14ac:dyDescent="0.2">
      <c r="A99" s="2037" t="s">
        <v>314</v>
      </c>
      <c r="B99" s="90" t="s">
        <v>312</v>
      </c>
      <c r="C99" s="2730">
        <f>5354897.25</f>
        <v>5354897.25</v>
      </c>
      <c r="D99" s="2730">
        <f t="shared" ref="D99:E99" si="38">5354897.25</f>
        <v>5354897.25</v>
      </c>
      <c r="E99" s="2730">
        <f t="shared" si="38"/>
        <v>5354897.25</v>
      </c>
      <c r="F99" s="2730">
        <f t="shared" ref="F99:H99" si="39">5354897.25+1001661.14565823</f>
        <v>6356558.3956582304</v>
      </c>
      <c r="G99" s="2730">
        <f t="shared" si="39"/>
        <v>6356558.3956582304</v>
      </c>
      <c r="H99" s="2730">
        <f t="shared" si="39"/>
        <v>6356558.3956582304</v>
      </c>
      <c r="I99" s="150">
        <f t="shared" si="35"/>
        <v>35134366.936974697</v>
      </c>
      <c r="J99" s="150"/>
      <c r="K99" s="150"/>
      <c r="L99" s="150"/>
      <c r="Q99" s="150"/>
      <c r="R99" s="150"/>
      <c r="S99" s="150"/>
      <c r="T99" s="150"/>
      <c r="U99" s="150"/>
      <c r="V99" s="150"/>
    </row>
    <row r="100" spans="1:22" x14ac:dyDescent="0.2">
      <c r="A100" s="2037" t="s">
        <v>315</v>
      </c>
      <c r="B100" s="90"/>
      <c r="C100" s="1316"/>
      <c r="D100" s="1316"/>
      <c r="E100" s="1316"/>
      <c r="F100" s="1316"/>
      <c r="G100" s="1316"/>
      <c r="H100" s="2051"/>
      <c r="I100" s="150">
        <f t="shared" si="35"/>
        <v>0</v>
      </c>
      <c r="L100" s="150"/>
      <c r="Q100" s="150"/>
      <c r="R100" s="150"/>
      <c r="S100" s="150"/>
      <c r="T100" s="150"/>
      <c r="U100" s="150"/>
      <c r="V100" s="150"/>
    </row>
    <row r="101" spans="1:22" x14ac:dyDescent="0.2">
      <c r="A101" s="2037" t="s">
        <v>316</v>
      </c>
      <c r="B101" s="90"/>
      <c r="C101" s="1128">
        <f t="shared" ref="C101:H101" si="40">C19</f>
        <v>0</v>
      </c>
      <c r="D101" s="1128">
        <f t="shared" si="40"/>
        <v>0</v>
      </c>
      <c r="E101" s="1128">
        <f t="shared" si="40"/>
        <v>0</v>
      </c>
      <c r="F101" s="1128">
        <f t="shared" si="40"/>
        <v>0</v>
      </c>
      <c r="G101" s="1128">
        <f t="shared" si="40"/>
        <v>0</v>
      </c>
      <c r="H101" s="2072">
        <f t="shared" si="40"/>
        <v>0</v>
      </c>
      <c r="I101" s="150">
        <f t="shared" si="35"/>
        <v>0</v>
      </c>
      <c r="J101" s="183"/>
      <c r="K101" s="183"/>
      <c r="L101" s="150"/>
      <c r="Q101" s="150"/>
      <c r="R101" s="150"/>
      <c r="S101" s="150"/>
      <c r="T101" s="150"/>
      <c r="U101" s="150"/>
      <c r="V101" s="150"/>
    </row>
    <row r="102" spans="1:22" x14ac:dyDescent="0.2">
      <c r="A102" s="2037"/>
      <c r="B102" s="90"/>
      <c r="C102" s="1174"/>
      <c r="D102" s="1174"/>
      <c r="E102" s="1174"/>
      <c r="F102" s="1174"/>
      <c r="G102" s="514"/>
      <c r="H102" s="2150"/>
      <c r="I102" s="150">
        <f t="shared" si="35"/>
        <v>0</v>
      </c>
      <c r="L102" s="150"/>
      <c r="Q102" s="150"/>
      <c r="R102" s="150"/>
      <c r="S102" s="150"/>
      <c r="T102" s="150"/>
      <c r="U102" s="150"/>
      <c r="V102" s="150"/>
    </row>
    <row r="103" spans="1:22" ht="13.2" x14ac:dyDescent="0.25">
      <c r="A103" s="2046" t="s">
        <v>317</v>
      </c>
      <c r="B103" s="1133"/>
      <c r="C103" s="2609"/>
      <c r="D103" s="2609"/>
      <c r="E103" s="2609"/>
      <c r="F103" s="2609"/>
      <c r="G103" s="2609"/>
      <c r="H103" s="2609"/>
      <c r="I103" s="150">
        <f t="shared" si="35"/>
        <v>0</v>
      </c>
      <c r="L103" s="150"/>
      <c r="Q103" s="150"/>
      <c r="R103" s="150"/>
      <c r="S103" s="150"/>
      <c r="T103" s="150"/>
      <c r="U103" s="150"/>
      <c r="V103" s="150"/>
    </row>
    <row r="104" spans="1:22" x14ac:dyDescent="0.2">
      <c r="A104" s="2037" t="s">
        <v>318</v>
      </c>
      <c r="B104" s="90" t="s">
        <v>312</v>
      </c>
      <c r="C104" s="2725">
        <v>0</v>
      </c>
      <c r="D104" s="2725">
        <v>0</v>
      </c>
      <c r="E104" s="2725">
        <v>0</v>
      </c>
      <c r="F104" s="2725">
        <v>0</v>
      </c>
      <c r="G104" s="2725">
        <v>0</v>
      </c>
      <c r="H104" s="2725">
        <v>0</v>
      </c>
      <c r="I104" s="150">
        <f t="shared" si="35"/>
        <v>0</v>
      </c>
      <c r="J104" s="150"/>
      <c r="K104" s="150"/>
      <c r="L104" s="150"/>
      <c r="Q104" s="150"/>
      <c r="R104" s="150"/>
      <c r="S104" s="150"/>
      <c r="T104" s="150"/>
      <c r="U104" s="150"/>
      <c r="V104" s="150"/>
    </row>
    <row r="105" spans="1:22" x14ac:dyDescent="0.2">
      <c r="A105" s="2037"/>
      <c r="B105" s="90"/>
      <c r="C105" s="484"/>
      <c r="D105" s="1174"/>
      <c r="E105" s="1174"/>
      <c r="F105" s="1174"/>
      <c r="G105" s="514"/>
      <c r="H105" s="486"/>
      <c r="I105" s="150">
        <f t="shared" si="35"/>
        <v>0</v>
      </c>
      <c r="L105" s="150"/>
      <c r="M105" s="150">
        <f>+C107+C98</f>
        <v>55613375.25</v>
      </c>
      <c r="N105" s="348">
        <f>+D107-6850498</f>
        <v>62240933.049999997</v>
      </c>
      <c r="Q105" s="150"/>
      <c r="R105" s="150"/>
      <c r="S105" s="150"/>
      <c r="T105" s="150"/>
      <c r="U105" s="150"/>
      <c r="V105" s="150"/>
    </row>
    <row r="106" spans="1:22" x14ac:dyDescent="0.2">
      <c r="A106" s="2037"/>
      <c r="B106" s="90"/>
      <c r="C106" s="1174"/>
      <c r="D106" s="1174"/>
      <c r="E106" s="1174"/>
      <c r="F106" s="1174"/>
      <c r="G106" s="514"/>
      <c r="H106" s="2151"/>
      <c r="I106" s="150">
        <f t="shared" si="35"/>
        <v>0</v>
      </c>
      <c r="L106" s="150"/>
      <c r="Q106" s="150"/>
      <c r="R106" s="150"/>
      <c r="S106" s="150"/>
      <c r="T106" s="150"/>
      <c r="U106" s="150"/>
      <c r="V106" s="150"/>
    </row>
    <row r="107" spans="1:22" ht="13.2" x14ac:dyDescent="0.25">
      <c r="A107" s="2037" t="s">
        <v>330</v>
      </c>
      <c r="B107" s="151" t="s">
        <v>320</v>
      </c>
      <c r="C107" s="1174">
        <f t="shared" ref="C107:H107" si="41">C88+C98+C99+C104</f>
        <v>52809932.25</v>
      </c>
      <c r="D107" s="1174">
        <f t="shared" si="41"/>
        <v>69091431.049999997</v>
      </c>
      <c r="E107" s="1174">
        <f t="shared" si="41"/>
        <v>52809932.25</v>
      </c>
      <c r="F107" s="1174">
        <f t="shared" si="41"/>
        <v>66106127.361086927</v>
      </c>
      <c r="G107" s="1174">
        <f t="shared" si="41"/>
        <v>66106127.361086927</v>
      </c>
      <c r="H107" s="2160">
        <f t="shared" si="41"/>
        <v>66106127.361086927</v>
      </c>
      <c r="I107" s="150">
        <f t="shared" si="35"/>
        <v>373029677.63326079</v>
      </c>
      <c r="L107" s="150"/>
      <c r="Q107" s="150"/>
      <c r="R107" s="150"/>
      <c r="S107" s="150"/>
      <c r="T107" s="150"/>
      <c r="U107" s="150"/>
      <c r="V107" s="150"/>
    </row>
    <row r="108" spans="1:22" ht="13.2" x14ac:dyDescent="0.25">
      <c r="A108" s="2037" t="s">
        <v>150</v>
      </c>
      <c r="B108" s="151" t="s">
        <v>39</v>
      </c>
      <c r="C108" s="2163">
        <v>172</v>
      </c>
      <c r="D108" s="2163">
        <v>172</v>
      </c>
      <c r="E108" s="2163">
        <v>172</v>
      </c>
      <c r="F108" s="2163">
        <v>172</v>
      </c>
      <c r="G108" s="2163">
        <v>172</v>
      </c>
      <c r="H108" s="2164">
        <v>172</v>
      </c>
      <c r="I108" s="150">
        <f t="shared" si="35"/>
        <v>1032</v>
      </c>
      <c r="L108" s="150"/>
      <c r="Q108" s="150"/>
      <c r="R108" s="150"/>
      <c r="S108" s="150"/>
      <c r="T108" s="150"/>
      <c r="U108" s="150"/>
      <c r="V108" s="150"/>
    </row>
    <row r="109" spans="1:22" ht="13.2" x14ac:dyDescent="0.25">
      <c r="A109" s="55"/>
      <c r="B109" s="141"/>
      <c r="C109" s="2161"/>
      <c r="D109" s="2154"/>
      <c r="E109" s="2154"/>
      <c r="F109" s="2154"/>
      <c r="G109" s="2154"/>
      <c r="H109" s="2155"/>
      <c r="I109" s="150">
        <f t="shared" si="35"/>
        <v>0</v>
      </c>
      <c r="L109" s="150"/>
      <c r="Q109" s="150"/>
      <c r="R109" s="150"/>
      <c r="S109" s="150"/>
      <c r="T109" s="150"/>
      <c r="U109" s="150"/>
      <c r="V109" s="150"/>
    </row>
    <row r="110" spans="1:22" ht="13.2" x14ac:dyDescent="0.25">
      <c r="A110" s="55" t="s">
        <v>331</v>
      </c>
      <c r="B110" s="141" t="s">
        <v>322</v>
      </c>
      <c r="C110" s="2162">
        <f t="shared" ref="C110:H110" si="42">C107/(C108*1000)</f>
        <v>307.03448982558137</v>
      </c>
      <c r="D110" s="2156">
        <f t="shared" si="42"/>
        <v>401.6943665697674</v>
      </c>
      <c r="E110" s="2156">
        <f t="shared" si="42"/>
        <v>307.03448982558137</v>
      </c>
      <c r="F110" s="2156">
        <f t="shared" si="42"/>
        <v>384.33794977376118</v>
      </c>
      <c r="G110" s="2156">
        <f t="shared" si="42"/>
        <v>384.33794977376118</v>
      </c>
      <c r="H110" s="2157">
        <f t="shared" si="42"/>
        <v>384.33794977376118</v>
      </c>
      <c r="I110" s="150">
        <f t="shared" si="35"/>
        <v>2168.7771955422136</v>
      </c>
      <c r="L110" s="150"/>
      <c r="Q110" s="150"/>
      <c r="R110" s="150"/>
      <c r="S110" s="150"/>
      <c r="T110" s="150"/>
      <c r="U110" s="150"/>
      <c r="V110" s="150"/>
    </row>
    <row r="111" spans="1:22" x14ac:dyDescent="0.2">
      <c r="A111" s="75"/>
      <c r="C111" s="415"/>
      <c r="D111" s="415"/>
      <c r="E111" s="415"/>
      <c r="F111" s="415"/>
      <c r="G111" s="415"/>
      <c r="H111" s="822"/>
      <c r="L111" s="150"/>
      <c r="Q111" s="150"/>
      <c r="R111" s="150"/>
      <c r="S111" s="150"/>
      <c r="T111" s="150"/>
      <c r="U111" s="150"/>
      <c r="V111" s="150"/>
    </row>
    <row r="112" spans="1:22" x14ac:dyDescent="0.2">
      <c r="A112" s="75"/>
      <c r="C112" s="415"/>
      <c r="D112" s="415"/>
      <c r="E112" s="415"/>
      <c r="F112" s="415"/>
      <c r="G112" s="415"/>
      <c r="H112" s="822"/>
      <c r="L112" s="150"/>
      <c r="Q112" s="150"/>
      <c r="R112" s="150"/>
      <c r="S112" s="150"/>
      <c r="T112" s="150"/>
      <c r="U112" s="150"/>
      <c r="V112" s="150"/>
    </row>
    <row r="113" spans="1:22" ht="13.2" x14ac:dyDescent="0.25">
      <c r="A113" s="148" t="s">
        <v>332</v>
      </c>
      <c r="B113" s="1135">
        <v>837</v>
      </c>
      <c r="C113" s="1174"/>
      <c r="D113" s="1174"/>
      <c r="E113" s="1174"/>
      <c r="F113" s="1174"/>
      <c r="G113" s="514"/>
      <c r="H113" s="486"/>
      <c r="L113" s="150"/>
      <c r="Q113" s="150"/>
      <c r="R113" s="150"/>
      <c r="S113" s="150"/>
      <c r="T113" s="150"/>
      <c r="U113" s="150"/>
      <c r="V113" s="150"/>
    </row>
    <row r="114" spans="1:22" ht="13.2" x14ac:dyDescent="0.25">
      <c r="A114" s="2046" t="s">
        <v>310</v>
      </c>
      <c r="B114" s="1133"/>
      <c r="C114" s="1174"/>
      <c r="D114" s="1174"/>
      <c r="E114" s="1174"/>
      <c r="F114" s="1174"/>
      <c r="G114" s="514"/>
      <c r="H114" s="486"/>
      <c r="L114" s="150"/>
      <c r="Q114" s="150"/>
      <c r="R114" s="150"/>
      <c r="S114" s="150"/>
      <c r="T114" s="150"/>
      <c r="U114" s="150"/>
      <c r="V114" s="150"/>
    </row>
    <row r="115" spans="1:22" x14ac:dyDescent="0.2">
      <c r="A115" s="2037" t="s">
        <v>311</v>
      </c>
      <c r="B115" s="90" t="s">
        <v>312</v>
      </c>
      <c r="C115" s="1174">
        <f>+C116+C117+C118+C119+C120+C121+C122+C123+C124</f>
        <v>7132078</v>
      </c>
      <c r="D115" s="1174">
        <f t="shared" ref="D115" si="43">+D116+D117+D118+D119+D120+D121+D122+D123+D124</f>
        <v>7434989.6100000003</v>
      </c>
      <c r="E115" s="1174">
        <f t="shared" ref="E115" si="44">+E116+E117+E118+E119+E120+E121+E122+E123+E124</f>
        <v>7132078</v>
      </c>
      <c r="F115" s="1174">
        <f t="shared" ref="F115" si="45">+F116+F117+F118+F119+F120+F121+F122+F123+F124</f>
        <v>9312007.1666666698</v>
      </c>
      <c r="G115" s="1174">
        <f t="shared" ref="G115" si="46">+G116+G117+G118+G119+G120+G121+G122+G123+G124</f>
        <v>9312007.1666666698</v>
      </c>
      <c r="H115" s="2160">
        <f t="shared" ref="H115" si="47">+H116+H117+H118+H119+H120+H121+H122+H123+H124</f>
        <v>9312007.1666666698</v>
      </c>
      <c r="I115" s="150">
        <f>SUM(C115:H115)</f>
        <v>49635167.110000014</v>
      </c>
      <c r="J115" s="150"/>
      <c r="K115" s="150"/>
      <c r="L115" s="150"/>
      <c r="Q115" s="150"/>
      <c r="R115" s="150"/>
      <c r="S115" s="150"/>
      <c r="T115" s="150"/>
      <c r="U115" s="150"/>
      <c r="V115" s="150"/>
    </row>
    <row r="116" spans="1:22" x14ac:dyDescent="0.2">
      <c r="A116" s="2048" t="s">
        <v>753</v>
      </c>
      <c r="B116" s="90"/>
      <c r="C116" s="2729">
        <v>4442560</v>
      </c>
      <c r="D116" s="2729">
        <v>4442560</v>
      </c>
      <c r="E116" s="2729">
        <v>4442560</v>
      </c>
      <c r="F116" s="2729">
        <f>4442560+2179929.16666667</f>
        <v>6622489.1666666698</v>
      </c>
      <c r="G116" s="2729">
        <f t="shared" ref="G116:H116" si="48">4442560+2179929.16666667</f>
        <v>6622489.1666666698</v>
      </c>
      <c r="H116" s="2729">
        <f t="shared" si="48"/>
        <v>6622489.1666666698</v>
      </c>
      <c r="I116" s="150">
        <f>SUM(C116:H116)</f>
        <v>33195147.500000015</v>
      </c>
      <c r="J116" s="150"/>
      <c r="K116" s="150"/>
      <c r="L116" s="150"/>
      <c r="Q116" s="150"/>
      <c r="R116" s="150"/>
      <c r="S116" s="150"/>
      <c r="T116" s="150"/>
      <c r="U116" s="150"/>
      <c r="V116" s="150"/>
    </row>
    <row r="117" spans="1:22" x14ac:dyDescent="0.2">
      <c r="A117" s="2048" t="s">
        <v>758</v>
      </c>
      <c r="B117" s="90"/>
      <c r="C117" s="2729">
        <v>1535717</v>
      </c>
      <c r="D117" s="2729">
        <v>1535717</v>
      </c>
      <c r="E117" s="2729">
        <v>1535717</v>
      </c>
      <c r="F117" s="2729">
        <v>1535717</v>
      </c>
      <c r="G117" s="2729">
        <v>1535717</v>
      </c>
      <c r="H117" s="2729">
        <v>1535717</v>
      </c>
      <c r="I117" s="150">
        <f t="shared" ref="I117:I137" si="49">SUM(C117:H117)</f>
        <v>9214302</v>
      </c>
      <c r="J117" s="150"/>
      <c r="K117" s="150"/>
      <c r="L117" s="150"/>
      <c r="Q117" s="150"/>
      <c r="R117" s="150"/>
      <c r="S117" s="150"/>
      <c r="T117" s="150"/>
      <c r="U117" s="150"/>
      <c r="V117" s="150"/>
    </row>
    <row r="118" spans="1:22" x14ac:dyDescent="0.2">
      <c r="A118" s="2048" t="s">
        <v>754</v>
      </c>
      <c r="B118" s="90"/>
      <c r="C118" s="2729">
        <v>112745</v>
      </c>
      <c r="D118" s="2729">
        <v>112745</v>
      </c>
      <c r="E118" s="2729">
        <v>112745</v>
      </c>
      <c r="F118" s="2729">
        <v>112745</v>
      </c>
      <c r="G118" s="2729">
        <v>112745</v>
      </c>
      <c r="H118" s="2729">
        <v>112745</v>
      </c>
      <c r="I118" s="150">
        <f t="shared" si="49"/>
        <v>676470</v>
      </c>
      <c r="J118" s="150"/>
      <c r="K118" s="150"/>
      <c r="L118" s="150"/>
      <c r="Q118" s="150"/>
      <c r="R118" s="150"/>
      <c r="S118" s="150"/>
      <c r="T118" s="150"/>
      <c r="U118" s="150"/>
      <c r="V118" s="150"/>
    </row>
    <row r="119" spans="1:22" x14ac:dyDescent="0.2">
      <c r="A119" s="2048" t="s">
        <v>755</v>
      </c>
      <c r="B119" s="90"/>
      <c r="C119" s="2729">
        <v>123162</v>
      </c>
      <c r="D119" s="2729">
        <v>123162</v>
      </c>
      <c r="E119" s="2729">
        <v>123162</v>
      </c>
      <c r="F119" s="2729">
        <v>123162</v>
      </c>
      <c r="G119" s="2729">
        <v>123162</v>
      </c>
      <c r="H119" s="2729">
        <v>123162</v>
      </c>
      <c r="I119" s="150">
        <f t="shared" si="49"/>
        <v>738972</v>
      </c>
      <c r="J119" s="150"/>
      <c r="K119" s="150"/>
      <c r="L119" s="150"/>
      <c r="Q119" s="150"/>
      <c r="R119" s="150"/>
      <c r="S119" s="150"/>
      <c r="T119" s="150"/>
      <c r="U119" s="150"/>
      <c r="V119" s="150"/>
    </row>
    <row r="120" spans="1:22" x14ac:dyDescent="0.2">
      <c r="A120" s="2048" t="s">
        <v>752</v>
      </c>
      <c r="B120" s="90"/>
      <c r="C120" s="2729">
        <f>977475*0.2</f>
        <v>195495</v>
      </c>
      <c r="D120" s="2729">
        <f t="shared" ref="D120:H120" si="50">977475*0.2</f>
        <v>195495</v>
      </c>
      <c r="E120" s="2729">
        <f t="shared" si="50"/>
        <v>195495</v>
      </c>
      <c r="F120" s="2729">
        <f t="shared" si="50"/>
        <v>195495</v>
      </c>
      <c r="G120" s="2729">
        <f t="shared" si="50"/>
        <v>195495</v>
      </c>
      <c r="H120" s="2729">
        <f t="shared" si="50"/>
        <v>195495</v>
      </c>
      <c r="I120" s="150">
        <f t="shared" si="49"/>
        <v>1172970</v>
      </c>
      <c r="J120" s="150"/>
      <c r="K120" s="150"/>
      <c r="L120" s="150"/>
      <c r="Q120" s="150"/>
      <c r="R120" s="150"/>
      <c r="S120" s="150"/>
      <c r="T120" s="150"/>
      <c r="U120" s="150"/>
      <c r="V120" s="150"/>
    </row>
    <row r="121" spans="1:22" x14ac:dyDescent="0.2">
      <c r="A121" s="2048" t="s">
        <v>757</v>
      </c>
      <c r="B121" s="90"/>
      <c r="C121" s="2729">
        <v>563298</v>
      </c>
      <c r="D121" s="2729">
        <f>563298+302911.61</f>
        <v>866209.61</v>
      </c>
      <c r="E121" s="2729">
        <v>563298</v>
      </c>
      <c r="F121" s="2729">
        <v>563298</v>
      </c>
      <c r="G121" s="2729">
        <v>563298</v>
      </c>
      <c r="H121" s="2729">
        <v>563298</v>
      </c>
      <c r="I121" s="150">
        <f t="shared" si="49"/>
        <v>3682699.61</v>
      </c>
      <c r="J121" s="150"/>
      <c r="K121" s="150"/>
      <c r="L121" s="150"/>
      <c r="Q121" s="150"/>
      <c r="R121" s="150"/>
      <c r="S121" s="150"/>
      <c r="T121" s="150"/>
      <c r="U121" s="150"/>
      <c r="V121" s="150"/>
    </row>
    <row r="122" spans="1:22" x14ac:dyDescent="0.2">
      <c r="A122" s="2048" t="s">
        <v>756</v>
      </c>
      <c r="B122" s="90"/>
      <c r="C122" s="2729">
        <v>0</v>
      </c>
      <c r="D122" s="2729">
        <v>0</v>
      </c>
      <c r="E122" s="2729">
        <v>0</v>
      </c>
      <c r="F122" s="2729">
        <v>0</v>
      </c>
      <c r="G122" s="2729">
        <v>0</v>
      </c>
      <c r="H122" s="2729">
        <v>0</v>
      </c>
      <c r="I122" s="150">
        <f t="shared" si="49"/>
        <v>0</v>
      </c>
      <c r="J122" s="150"/>
      <c r="K122" s="150"/>
      <c r="L122" s="150"/>
      <c r="Q122" s="150"/>
      <c r="R122" s="150"/>
      <c r="S122" s="150"/>
      <c r="T122" s="150"/>
      <c r="U122" s="150"/>
      <c r="V122" s="150"/>
    </row>
    <row r="123" spans="1:22" x14ac:dyDescent="0.2">
      <c r="A123" s="2048" t="s">
        <v>814</v>
      </c>
      <c r="B123" s="90"/>
      <c r="C123" s="2729">
        <v>159101</v>
      </c>
      <c r="D123" s="2729">
        <v>159101</v>
      </c>
      <c r="E123" s="2729">
        <v>159101</v>
      </c>
      <c r="F123" s="2729">
        <v>159101</v>
      </c>
      <c r="G123" s="2729">
        <v>159101</v>
      </c>
      <c r="H123" s="2729">
        <v>159101</v>
      </c>
      <c r="I123" s="150">
        <f t="shared" si="49"/>
        <v>954606</v>
      </c>
      <c r="J123" s="150"/>
      <c r="K123" s="150"/>
      <c r="L123" s="150"/>
      <c r="Q123" s="150"/>
      <c r="R123" s="150"/>
      <c r="S123" s="150"/>
      <c r="T123" s="150"/>
      <c r="U123" s="150"/>
      <c r="V123" s="150"/>
    </row>
    <row r="124" spans="1:22" x14ac:dyDescent="0.2">
      <c r="A124" s="2048" t="s">
        <v>815</v>
      </c>
      <c r="B124" s="90"/>
      <c r="C124" s="2729">
        <v>0</v>
      </c>
      <c r="D124" s="2729">
        <v>0</v>
      </c>
      <c r="E124" s="2729">
        <v>0</v>
      </c>
      <c r="F124" s="2729">
        <v>0</v>
      </c>
      <c r="G124" s="2729">
        <v>0</v>
      </c>
      <c r="H124" s="2729">
        <v>0</v>
      </c>
      <c r="I124" s="150">
        <f t="shared" si="49"/>
        <v>0</v>
      </c>
      <c r="J124" s="150"/>
      <c r="K124" s="150"/>
      <c r="L124" s="150"/>
      <c r="Q124" s="150"/>
      <c r="R124" s="150"/>
      <c r="S124" s="150"/>
      <c r="T124" s="150"/>
      <c r="U124" s="150"/>
      <c r="V124" s="150"/>
    </row>
    <row r="125" spans="1:22" x14ac:dyDescent="0.2">
      <c r="A125" s="2037" t="s">
        <v>313</v>
      </c>
      <c r="B125" s="90" t="s">
        <v>312</v>
      </c>
      <c r="C125" s="2729">
        <v>52157</v>
      </c>
      <c r="D125" s="2729">
        <v>52157</v>
      </c>
      <c r="E125" s="2729">
        <v>52157</v>
      </c>
      <c r="F125" s="2729">
        <f>120378.62+14748.1394498362</f>
        <v>135126.75944983619</v>
      </c>
      <c r="G125" s="2729">
        <f t="shared" ref="G125:H125" si="51">120378.62+14748.1394498362</f>
        <v>135126.75944983619</v>
      </c>
      <c r="H125" s="2729">
        <f t="shared" si="51"/>
        <v>135126.75944983619</v>
      </c>
      <c r="I125" s="150">
        <f t="shared" si="49"/>
        <v>561851.27834950865</v>
      </c>
      <c r="L125" s="150"/>
      <c r="Q125" s="150"/>
      <c r="R125" s="150"/>
      <c r="S125" s="150"/>
      <c r="T125" s="150"/>
      <c r="U125" s="150"/>
      <c r="V125" s="150"/>
    </row>
    <row r="126" spans="1:22" x14ac:dyDescent="0.2">
      <c r="A126" s="2037" t="s">
        <v>314</v>
      </c>
      <c r="B126" s="90" t="s">
        <v>312</v>
      </c>
      <c r="C126" s="2730">
        <f>99626</f>
        <v>99626</v>
      </c>
      <c r="D126" s="2730">
        <f t="shared" ref="D126:E126" si="52">99626</f>
        <v>99626</v>
      </c>
      <c r="E126" s="2730">
        <f t="shared" si="52"/>
        <v>99626</v>
      </c>
      <c r="F126" s="2730">
        <f t="shared" ref="F126:H126" si="53">99626+18635.5561982927</f>
        <v>118261.5561982927</v>
      </c>
      <c r="G126" s="2730">
        <f t="shared" si="53"/>
        <v>118261.5561982927</v>
      </c>
      <c r="H126" s="2730">
        <f t="shared" si="53"/>
        <v>118261.5561982927</v>
      </c>
      <c r="I126" s="150">
        <f t="shared" si="49"/>
        <v>653662.66859487817</v>
      </c>
      <c r="J126" s="150"/>
      <c r="K126" s="150"/>
      <c r="L126" s="150"/>
      <c r="Q126" s="150"/>
      <c r="R126" s="150"/>
      <c r="S126" s="150"/>
      <c r="T126" s="150"/>
      <c r="U126" s="150"/>
      <c r="V126" s="150"/>
    </row>
    <row r="127" spans="1:22" x14ac:dyDescent="0.2">
      <c r="A127" s="2037" t="s">
        <v>315</v>
      </c>
      <c r="B127" s="90"/>
      <c r="C127" s="1316"/>
      <c r="D127" s="1316"/>
      <c r="E127" s="1316"/>
      <c r="F127" s="1316"/>
      <c r="G127" s="1316"/>
      <c r="H127" s="2051"/>
      <c r="I127" s="150">
        <f t="shared" si="49"/>
        <v>0</v>
      </c>
      <c r="L127" s="150"/>
      <c r="M127" s="150">
        <f>+C134+C125</f>
        <v>7336018</v>
      </c>
      <c r="N127" s="348">
        <f>+D134-127451</f>
        <v>7459321.6100000003</v>
      </c>
      <c r="Q127" s="150"/>
      <c r="R127" s="150"/>
      <c r="S127" s="150"/>
      <c r="T127" s="150"/>
      <c r="U127" s="150"/>
      <c r="V127" s="150"/>
    </row>
    <row r="128" spans="1:22" x14ac:dyDescent="0.2">
      <c r="A128" s="2037" t="s">
        <v>316</v>
      </c>
      <c r="B128" s="90"/>
      <c r="C128" s="1128">
        <f t="shared" ref="C128:H128" si="54">C19</f>
        <v>0</v>
      </c>
      <c r="D128" s="1128">
        <f t="shared" si="54"/>
        <v>0</v>
      </c>
      <c r="E128" s="1128">
        <f t="shared" si="54"/>
        <v>0</v>
      </c>
      <c r="F128" s="1128">
        <f t="shared" si="54"/>
        <v>0</v>
      </c>
      <c r="G128" s="1128">
        <f t="shared" si="54"/>
        <v>0</v>
      </c>
      <c r="H128" s="2072">
        <f t="shared" si="54"/>
        <v>0</v>
      </c>
      <c r="I128" s="150">
        <f t="shared" si="49"/>
        <v>0</v>
      </c>
      <c r="J128" s="183"/>
      <c r="K128" s="183"/>
      <c r="L128" s="150"/>
      <c r="Q128" s="150"/>
      <c r="R128" s="150"/>
      <c r="S128" s="150"/>
      <c r="T128" s="150"/>
      <c r="U128" s="150"/>
      <c r="V128" s="150"/>
    </row>
    <row r="129" spans="1:22" x14ac:dyDescent="0.2">
      <c r="A129" s="2037"/>
      <c r="B129" s="90"/>
      <c r="C129" s="1174"/>
      <c r="D129" s="1174"/>
      <c r="E129" s="1174"/>
      <c r="F129" s="1174"/>
      <c r="G129" s="514"/>
      <c r="H129" s="2150"/>
      <c r="I129" s="150">
        <f t="shared" si="49"/>
        <v>0</v>
      </c>
      <c r="L129" s="150"/>
      <c r="Q129" s="150"/>
      <c r="R129" s="150"/>
      <c r="S129" s="150"/>
      <c r="T129" s="150"/>
      <c r="U129" s="150"/>
      <c r="V129" s="150"/>
    </row>
    <row r="130" spans="1:22" ht="13.2" x14ac:dyDescent="0.25">
      <c r="A130" s="2046" t="s">
        <v>317</v>
      </c>
      <c r="B130" s="1133"/>
      <c r="C130" s="1174"/>
      <c r="D130" s="1174"/>
      <c r="E130" s="1174"/>
      <c r="F130" s="1174"/>
      <c r="G130" s="514"/>
      <c r="H130" s="486"/>
      <c r="I130" s="150">
        <f t="shared" si="49"/>
        <v>0</v>
      </c>
      <c r="L130" s="150"/>
      <c r="Q130" s="150"/>
      <c r="R130" s="150"/>
      <c r="S130" s="150"/>
      <c r="T130" s="150"/>
      <c r="U130" s="150"/>
      <c r="V130" s="150"/>
    </row>
    <row r="131" spans="1:22" x14ac:dyDescent="0.2">
      <c r="A131" s="2037" t="s">
        <v>318</v>
      </c>
      <c r="B131" s="90" t="s">
        <v>312</v>
      </c>
      <c r="C131" s="1169">
        <v>0</v>
      </c>
      <c r="D131" s="1169">
        <v>0</v>
      </c>
      <c r="E131" s="1169">
        <v>0</v>
      </c>
      <c r="F131" s="1169">
        <v>0</v>
      </c>
      <c r="G131" s="1169">
        <v>0</v>
      </c>
      <c r="H131" s="1169">
        <v>0</v>
      </c>
      <c r="I131" s="150">
        <f t="shared" si="49"/>
        <v>0</v>
      </c>
      <c r="J131" s="150"/>
      <c r="K131" s="150"/>
      <c r="L131" s="150"/>
      <c r="Q131" s="150"/>
      <c r="R131" s="150"/>
      <c r="S131" s="150"/>
      <c r="T131" s="150"/>
      <c r="U131" s="150"/>
      <c r="V131" s="150"/>
    </row>
    <row r="132" spans="1:22" x14ac:dyDescent="0.2">
      <c r="A132" s="2037"/>
      <c r="B132" s="90"/>
      <c r="C132" s="484"/>
      <c r="D132" s="1174"/>
      <c r="E132" s="1174"/>
      <c r="F132" s="1174"/>
      <c r="G132" s="514"/>
      <c r="H132" s="486"/>
      <c r="I132" s="150">
        <f t="shared" si="49"/>
        <v>0</v>
      </c>
      <c r="L132" s="150"/>
      <c r="Q132" s="150"/>
      <c r="R132" s="150"/>
      <c r="S132" s="150"/>
      <c r="T132" s="150"/>
      <c r="U132" s="150"/>
      <c r="V132" s="150"/>
    </row>
    <row r="133" spans="1:22" x14ac:dyDescent="0.2">
      <c r="A133" s="2037"/>
      <c r="B133" s="90"/>
      <c r="C133" s="1174"/>
      <c r="D133" s="1174"/>
      <c r="E133" s="1174"/>
      <c r="F133" s="1174"/>
      <c r="G133" s="514"/>
      <c r="H133" s="2151"/>
      <c r="I133" s="150">
        <f t="shared" si="49"/>
        <v>0</v>
      </c>
      <c r="L133" s="150"/>
      <c r="Q133" s="150"/>
      <c r="R133" s="150"/>
      <c r="S133" s="150"/>
      <c r="T133" s="150"/>
      <c r="U133" s="150"/>
      <c r="V133" s="150"/>
    </row>
    <row r="134" spans="1:22" ht="13.2" x14ac:dyDescent="0.25">
      <c r="A134" s="2037" t="s">
        <v>333</v>
      </c>
      <c r="B134" s="151" t="s">
        <v>320</v>
      </c>
      <c r="C134" s="1174">
        <f t="shared" ref="C134:H134" si="55">C115+C125+C126+C131</f>
        <v>7283861</v>
      </c>
      <c r="D134" s="1174">
        <f t="shared" si="55"/>
        <v>7586772.6100000003</v>
      </c>
      <c r="E134" s="1174">
        <f t="shared" si="55"/>
        <v>7283861</v>
      </c>
      <c r="F134" s="1174">
        <f t="shared" si="55"/>
        <v>9565395.482314799</v>
      </c>
      <c r="G134" s="1174">
        <f t="shared" si="55"/>
        <v>9565395.482314799</v>
      </c>
      <c r="H134" s="2160">
        <f t="shared" si="55"/>
        <v>9565395.482314799</v>
      </c>
      <c r="I134" s="150">
        <f t="shared" si="49"/>
        <v>50850681.0569444</v>
      </c>
      <c r="L134" s="150"/>
      <c r="Q134" s="150"/>
      <c r="R134" s="150"/>
      <c r="S134" s="150"/>
      <c r="T134" s="150"/>
      <c r="U134" s="150"/>
      <c r="V134" s="150"/>
    </row>
    <row r="135" spans="1:22" ht="13.2" x14ac:dyDescent="0.25">
      <c r="A135" s="2037" t="s">
        <v>150</v>
      </c>
      <c r="B135" s="151" t="s">
        <v>39</v>
      </c>
      <c r="C135" s="2165">
        <v>3.2</v>
      </c>
      <c r="D135" s="2165">
        <v>3.2</v>
      </c>
      <c r="E135" s="2165">
        <v>3.2</v>
      </c>
      <c r="F135" s="2165">
        <v>3.2</v>
      </c>
      <c r="G135" s="2165">
        <v>3.2</v>
      </c>
      <c r="H135" s="2166">
        <v>3.2</v>
      </c>
      <c r="I135" s="150">
        <f t="shared" si="49"/>
        <v>19.2</v>
      </c>
      <c r="L135" s="150"/>
      <c r="Q135" s="150"/>
      <c r="R135" s="150"/>
      <c r="S135" s="150"/>
      <c r="T135" s="150"/>
      <c r="U135" s="150"/>
      <c r="V135" s="150"/>
    </row>
    <row r="136" spans="1:22" ht="13.2" x14ac:dyDescent="0.25">
      <c r="A136" s="55"/>
      <c r="B136" s="141"/>
      <c r="C136" s="2161"/>
      <c r="D136" s="2154"/>
      <c r="E136" s="2154"/>
      <c r="F136" s="2154"/>
      <c r="G136" s="2154"/>
      <c r="H136" s="2155"/>
      <c r="I136" s="150">
        <f t="shared" si="49"/>
        <v>0</v>
      </c>
      <c r="L136" s="150"/>
      <c r="Q136" s="150"/>
      <c r="R136" s="150"/>
      <c r="S136" s="150"/>
      <c r="T136" s="150"/>
      <c r="U136" s="150"/>
      <c r="V136" s="150"/>
    </row>
    <row r="137" spans="1:22" ht="13.2" x14ac:dyDescent="0.25">
      <c r="A137" s="55" t="s">
        <v>334</v>
      </c>
      <c r="B137" s="141" t="s">
        <v>322</v>
      </c>
      <c r="C137" s="2162">
        <f>C134/(C135*1000)</f>
        <v>2276.2065625</v>
      </c>
      <c r="D137" s="2156">
        <f t="shared" ref="D137:H137" si="56">D134/(D135*1000)</f>
        <v>2370.866440625</v>
      </c>
      <c r="E137" s="2156">
        <f t="shared" si="56"/>
        <v>2276.2065625</v>
      </c>
      <c r="F137" s="2156">
        <f t="shared" si="56"/>
        <v>2989.1860882233746</v>
      </c>
      <c r="G137" s="2156">
        <f t="shared" si="56"/>
        <v>2989.1860882233746</v>
      </c>
      <c r="H137" s="2157">
        <f t="shared" si="56"/>
        <v>2989.1860882233746</v>
      </c>
      <c r="I137" s="150">
        <f t="shared" si="49"/>
        <v>15890.837830295122</v>
      </c>
      <c r="L137" s="150"/>
      <c r="Q137" s="150"/>
      <c r="R137" s="150"/>
      <c r="S137" s="150"/>
      <c r="T137" s="150"/>
      <c r="U137" s="150"/>
      <c r="V137" s="150"/>
    </row>
    <row r="138" spans="1:22" x14ac:dyDescent="0.2">
      <c r="A138" s="75"/>
      <c r="C138" s="415"/>
      <c r="D138" s="415"/>
      <c r="E138" s="415"/>
      <c r="F138" s="415"/>
      <c r="G138" s="415"/>
      <c r="H138" s="822"/>
      <c r="L138" s="150"/>
      <c r="Q138" s="150"/>
      <c r="R138" s="150"/>
      <c r="S138" s="150"/>
      <c r="T138" s="150"/>
      <c r="U138" s="150"/>
      <c r="V138" s="150"/>
    </row>
    <row r="139" spans="1:22" x14ac:dyDescent="0.2">
      <c r="A139" s="75"/>
      <c r="C139" s="415"/>
      <c r="D139" s="415"/>
      <c r="E139" s="415"/>
      <c r="F139" s="415"/>
      <c r="G139" s="415"/>
      <c r="H139" s="822"/>
      <c r="L139" s="150"/>
      <c r="Q139" s="150"/>
      <c r="R139" s="150"/>
      <c r="S139" s="150"/>
      <c r="T139" s="150"/>
      <c r="U139" s="150"/>
      <c r="V139" s="150"/>
    </row>
    <row r="140" spans="1:22" ht="13.2" x14ac:dyDescent="0.25">
      <c r="A140" s="148" t="s">
        <v>335</v>
      </c>
      <c r="B140" s="1135">
        <v>834</v>
      </c>
      <c r="C140" s="1174"/>
      <c r="D140" s="1174"/>
      <c r="E140" s="1174"/>
      <c r="F140" s="1174"/>
      <c r="G140" s="514"/>
      <c r="H140" s="486"/>
      <c r="L140" s="150"/>
      <c r="Q140" s="150"/>
      <c r="R140" s="150"/>
      <c r="S140" s="150"/>
      <c r="T140" s="150"/>
      <c r="U140" s="150"/>
      <c r="V140" s="150"/>
    </row>
    <row r="141" spans="1:22" ht="13.2" x14ac:dyDescent="0.25">
      <c r="A141" s="2046" t="s">
        <v>310</v>
      </c>
      <c r="B141" s="1133"/>
      <c r="C141" s="1174"/>
      <c r="D141" s="1174"/>
      <c r="E141" s="1174"/>
      <c r="F141" s="1174"/>
      <c r="G141" s="514"/>
      <c r="H141" s="486"/>
      <c r="L141" s="150"/>
      <c r="Q141" s="150"/>
      <c r="R141" s="150"/>
      <c r="S141" s="150"/>
      <c r="T141" s="150"/>
      <c r="U141" s="150"/>
      <c r="V141" s="150"/>
    </row>
    <row r="142" spans="1:22" x14ac:dyDescent="0.2">
      <c r="A142" s="2037" t="s">
        <v>311</v>
      </c>
      <c r="B142" s="90" t="s">
        <v>312</v>
      </c>
      <c r="C142" s="1174">
        <f>+C143+C144+C145+C146+C147+C148+C149+C150+C151</f>
        <v>16914293.199999999</v>
      </c>
      <c r="D142" s="1174">
        <f t="shared" ref="D142" si="57">+D143+D144+D145+D146+D147+D148+D149+D150+D151</f>
        <v>20700688.27</v>
      </c>
      <c r="E142" s="1174">
        <f t="shared" ref="E142" si="58">+E143+E144+E145+E146+E147+E148+E149+E150+E151</f>
        <v>16914293.199999999</v>
      </c>
      <c r="F142" s="1174">
        <f t="shared" ref="F142" si="59">+F143+F144+F145+F146+F147+F148+F149+F150+F151</f>
        <v>18858175.449999999</v>
      </c>
      <c r="G142" s="1174">
        <f t="shared" ref="G142" si="60">+G143+G144+G145+G146+G147+G148+G149+G150+G151</f>
        <v>18858175.449999999</v>
      </c>
      <c r="H142" s="2160">
        <f t="shared" ref="H142" si="61">+H143+H144+H145+H146+H147+H148+H149+H150+H151</f>
        <v>18858175.449999999</v>
      </c>
      <c r="I142" s="150">
        <f>SUM(C142:H142)</f>
        <v>111103801.02000001</v>
      </c>
      <c r="J142" s="150"/>
      <c r="K142" s="150"/>
      <c r="L142" s="150"/>
      <c r="Q142" s="150"/>
      <c r="R142" s="150"/>
      <c r="S142" s="150"/>
      <c r="T142" s="150"/>
      <c r="U142" s="150"/>
      <c r="V142" s="150"/>
    </row>
    <row r="143" spans="1:22" x14ac:dyDescent="0.2">
      <c r="A143" s="2048" t="s">
        <v>753</v>
      </c>
      <c r="B143" s="90"/>
      <c r="C143" s="2729">
        <v>7919134</v>
      </c>
      <c r="D143" s="2729">
        <v>7919134</v>
      </c>
      <c r="E143" s="2729">
        <v>7919134</v>
      </c>
      <c r="F143" s="2729">
        <f>7919134+1943882.25</f>
        <v>9863016.25</v>
      </c>
      <c r="G143" s="2729">
        <f t="shared" ref="G143:H143" si="62">7919134+1943882.25</f>
        <v>9863016.25</v>
      </c>
      <c r="H143" s="2729">
        <f t="shared" si="62"/>
        <v>9863016.25</v>
      </c>
      <c r="I143" s="150">
        <f>SUM(C143:H143)</f>
        <v>53346450.75</v>
      </c>
      <c r="J143" s="150"/>
      <c r="K143" s="150"/>
      <c r="L143" s="150"/>
      <c r="Q143" s="150"/>
      <c r="R143" s="150"/>
      <c r="S143" s="150"/>
      <c r="T143" s="150"/>
      <c r="U143" s="150"/>
      <c r="V143" s="150"/>
    </row>
    <row r="144" spans="1:22" x14ac:dyDescent="0.2">
      <c r="A144" s="2048" t="s">
        <v>758</v>
      </c>
      <c r="B144" s="90"/>
      <c r="C144" s="2729">
        <v>2854406</v>
      </c>
      <c r="D144" s="2729">
        <v>2854406</v>
      </c>
      <c r="E144" s="2729">
        <v>2854406</v>
      </c>
      <c r="F144" s="2729">
        <v>2854406</v>
      </c>
      <c r="G144" s="2729">
        <v>2854406</v>
      </c>
      <c r="H144" s="2729">
        <v>2854406</v>
      </c>
      <c r="I144" s="150">
        <f t="shared" ref="I144:I164" si="63">SUM(C144:H144)</f>
        <v>17126436</v>
      </c>
      <c r="J144" s="150"/>
      <c r="K144" s="150"/>
      <c r="L144" s="150"/>
      <c r="Q144" s="150"/>
      <c r="R144" s="150"/>
      <c r="S144" s="150"/>
      <c r="T144" s="150"/>
      <c r="U144" s="150"/>
      <c r="V144" s="150"/>
    </row>
    <row r="145" spans="1:22" x14ac:dyDescent="0.2">
      <c r="A145" s="2048" t="s">
        <v>754</v>
      </c>
      <c r="B145" s="90"/>
      <c r="C145" s="2729">
        <v>1312787</v>
      </c>
      <c r="D145" s="2729">
        <v>1312787</v>
      </c>
      <c r="E145" s="2729">
        <v>1312787</v>
      </c>
      <c r="F145" s="2729">
        <v>1312787</v>
      </c>
      <c r="G145" s="2729">
        <v>1312787</v>
      </c>
      <c r="H145" s="2729">
        <v>1312787</v>
      </c>
      <c r="I145" s="150">
        <f t="shared" si="63"/>
        <v>7876722</v>
      </c>
      <c r="J145" s="150"/>
      <c r="K145" s="150"/>
      <c r="L145" s="150"/>
      <c r="Q145" s="150"/>
      <c r="R145" s="150"/>
      <c r="S145" s="150"/>
      <c r="T145" s="150"/>
      <c r="U145" s="150"/>
      <c r="V145" s="150"/>
    </row>
    <row r="146" spans="1:22" x14ac:dyDescent="0.2">
      <c r="A146" s="2048" t="s">
        <v>755</v>
      </c>
      <c r="B146" s="90"/>
      <c r="C146" s="2729">
        <v>988228</v>
      </c>
      <c r="D146" s="2729">
        <v>988228</v>
      </c>
      <c r="E146" s="2729">
        <v>988228</v>
      </c>
      <c r="F146" s="2729">
        <v>988228</v>
      </c>
      <c r="G146" s="2729">
        <v>988228</v>
      </c>
      <c r="H146" s="2729">
        <v>988228</v>
      </c>
      <c r="I146" s="150">
        <f t="shared" si="63"/>
        <v>5929368</v>
      </c>
      <c r="J146" s="150"/>
      <c r="K146" s="150"/>
      <c r="L146" s="150"/>
      <c r="Q146" s="150"/>
      <c r="R146" s="150"/>
      <c r="S146" s="150"/>
      <c r="T146" s="150"/>
      <c r="U146" s="150"/>
      <c r="V146" s="150"/>
    </row>
    <row r="147" spans="1:22" x14ac:dyDescent="0.2">
      <c r="A147" s="2048" t="s">
        <v>752</v>
      </c>
      <c r="B147" s="90"/>
      <c r="C147" s="2729">
        <f>1954951*0.2</f>
        <v>390990.2</v>
      </c>
      <c r="D147" s="2729">
        <f t="shared" ref="D147:H147" si="64">1954951*0.2</f>
        <v>390990.2</v>
      </c>
      <c r="E147" s="2729">
        <f t="shared" si="64"/>
        <v>390990.2</v>
      </c>
      <c r="F147" s="2729">
        <f t="shared" si="64"/>
        <v>390990.2</v>
      </c>
      <c r="G147" s="2729">
        <f t="shared" si="64"/>
        <v>390990.2</v>
      </c>
      <c r="H147" s="2729">
        <f t="shared" si="64"/>
        <v>390990.2</v>
      </c>
      <c r="I147" s="150">
        <f t="shared" si="63"/>
        <v>2345941.2000000002</v>
      </c>
      <c r="J147" s="150"/>
      <c r="K147" s="150"/>
      <c r="L147" s="150"/>
      <c r="Q147" s="150"/>
      <c r="R147" s="150"/>
      <c r="S147" s="150"/>
      <c r="T147" s="150"/>
      <c r="U147" s="150"/>
      <c r="V147" s="150"/>
    </row>
    <row r="148" spans="1:22" x14ac:dyDescent="0.2">
      <c r="A148" s="2048" t="s">
        <v>757</v>
      </c>
      <c r="B148" s="90"/>
      <c r="C148" s="2729">
        <v>1459984</v>
      </c>
      <c r="D148" s="2729">
        <f>1459984+3786395.07</f>
        <v>5246379.07</v>
      </c>
      <c r="E148" s="2729">
        <v>1459984</v>
      </c>
      <c r="F148" s="2729">
        <v>1459984</v>
      </c>
      <c r="G148" s="2729">
        <v>1459984</v>
      </c>
      <c r="H148" s="2729">
        <v>1459984</v>
      </c>
      <c r="I148" s="150">
        <f t="shared" si="63"/>
        <v>12546299.07</v>
      </c>
      <c r="J148" s="150"/>
      <c r="K148" s="150"/>
      <c r="L148" s="150"/>
      <c r="Q148" s="150"/>
      <c r="R148" s="150"/>
      <c r="S148" s="150"/>
      <c r="T148" s="150"/>
      <c r="U148" s="150"/>
      <c r="V148" s="150"/>
    </row>
    <row r="149" spans="1:22" x14ac:dyDescent="0.2">
      <c r="A149" s="2048" t="s">
        <v>756</v>
      </c>
      <c r="B149" s="90"/>
      <c r="C149" s="2729">
        <v>0</v>
      </c>
      <c r="D149" s="2729">
        <v>0</v>
      </c>
      <c r="E149" s="2729">
        <v>0</v>
      </c>
      <c r="F149" s="2729">
        <v>0</v>
      </c>
      <c r="G149" s="2729">
        <v>0</v>
      </c>
      <c r="H149" s="2729">
        <v>0</v>
      </c>
      <c r="I149" s="150">
        <f t="shared" si="63"/>
        <v>0</v>
      </c>
      <c r="J149" s="150"/>
      <c r="K149" s="150"/>
      <c r="L149" s="150"/>
      <c r="Q149" s="150"/>
      <c r="R149" s="150"/>
      <c r="S149" s="150"/>
      <c r="T149" s="150"/>
      <c r="U149" s="150"/>
      <c r="V149" s="150"/>
    </row>
    <row r="150" spans="1:22" x14ac:dyDescent="0.2">
      <c r="A150" s="2048" t="s">
        <v>814</v>
      </c>
      <c r="B150" s="90"/>
      <c r="C150" s="2729">
        <v>1988764</v>
      </c>
      <c r="D150" s="2729">
        <v>1988764</v>
      </c>
      <c r="E150" s="2729">
        <v>1988764</v>
      </c>
      <c r="F150" s="2729">
        <v>1988764</v>
      </c>
      <c r="G150" s="2729">
        <v>1988764</v>
      </c>
      <c r="H150" s="2729">
        <v>1988764</v>
      </c>
      <c r="I150" s="150">
        <f t="shared" si="63"/>
        <v>11932584</v>
      </c>
      <c r="J150" s="150"/>
      <c r="K150" s="150"/>
      <c r="L150" s="150"/>
      <c r="Q150" s="150"/>
      <c r="R150" s="150"/>
      <c r="S150" s="150"/>
      <c r="T150" s="150"/>
      <c r="U150" s="150"/>
      <c r="V150" s="150"/>
    </row>
    <row r="151" spans="1:22" x14ac:dyDescent="0.2">
      <c r="A151" s="2048" t="s">
        <v>815</v>
      </c>
      <c r="B151" s="90"/>
      <c r="C151" s="2729">
        <v>0</v>
      </c>
      <c r="D151" s="2729">
        <v>0</v>
      </c>
      <c r="E151" s="2729">
        <v>0</v>
      </c>
      <c r="F151" s="2729">
        <v>0</v>
      </c>
      <c r="G151" s="2729">
        <v>0</v>
      </c>
      <c r="H151" s="2729">
        <v>0</v>
      </c>
      <c r="I151" s="150">
        <f t="shared" si="63"/>
        <v>0</v>
      </c>
      <c r="J151" s="150"/>
      <c r="K151" s="150"/>
      <c r="L151" s="150"/>
      <c r="Q151" s="150"/>
      <c r="R151" s="150"/>
      <c r="S151" s="150"/>
      <c r="T151" s="150"/>
      <c r="U151" s="150"/>
      <c r="V151" s="150"/>
    </row>
    <row r="152" spans="1:22" x14ac:dyDescent="0.2">
      <c r="A152" s="2037" t="s">
        <v>313</v>
      </c>
      <c r="B152" s="90" t="s">
        <v>312</v>
      </c>
      <c r="C152" s="2729">
        <v>651964</v>
      </c>
      <c r="D152" s="2729">
        <v>651964</v>
      </c>
      <c r="E152" s="2729">
        <v>651964</v>
      </c>
      <c r="F152" s="2729">
        <f>1504732.78+184351.743122953</f>
        <v>1689084.523122953</v>
      </c>
      <c r="G152" s="2729">
        <f t="shared" ref="G152:H152" si="65">1504732.78+184351.743122953</f>
        <v>1689084.523122953</v>
      </c>
      <c r="H152" s="2729">
        <f t="shared" si="65"/>
        <v>1689084.523122953</v>
      </c>
      <c r="I152" s="150">
        <f t="shared" si="63"/>
        <v>7023145.5693688598</v>
      </c>
      <c r="L152" s="150"/>
      <c r="Q152" s="150"/>
      <c r="R152" s="150"/>
      <c r="S152" s="150"/>
      <c r="T152" s="150"/>
      <c r="U152" s="150"/>
      <c r="V152" s="150"/>
    </row>
    <row r="153" spans="1:22" x14ac:dyDescent="0.2">
      <c r="A153" s="2037" t="s">
        <v>314</v>
      </c>
      <c r="B153" s="90" t="s">
        <v>312</v>
      </c>
      <c r="C153" s="2730">
        <v>1245324.94</v>
      </c>
      <c r="D153" s="2730">
        <v>1245324.94</v>
      </c>
      <c r="E153" s="2730">
        <v>1245324.94</v>
      </c>
      <c r="F153" s="2730">
        <f>1245324.94+232944.452478658</f>
        <v>1478269.3924786579</v>
      </c>
      <c r="G153" s="2730">
        <f t="shared" ref="G153:H153" si="66">1245324.94+232944.452478658</f>
        <v>1478269.3924786579</v>
      </c>
      <c r="H153" s="2730">
        <f t="shared" si="66"/>
        <v>1478269.3924786579</v>
      </c>
      <c r="I153" s="150">
        <f t="shared" si="63"/>
        <v>8170782.997435974</v>
      </c>
      <c r="J153" s="150"/>
      <c r="K153" s="150"/>
      <c r="L153" s="150"/>
      <c r="Q153" s="150"/>
      <c r="R153" s="150"/>
      <c r="S153" s="150"/>
      <c r="T153" s="150"/>
      <c r="U153" s="150"/>
      <c r="V153" s="150"/>
    </row>
    <row r="154" spans="1:22" x14ac:dyDescent="0.2">
      <c r="A154" s="2037" t="s">
        <v>315</v>
      </c>
      <c r="B154" s="90"/>
      <c r="C154" s="1136"/>
      <c r="D154" s="1136"/>
      <c r="E154" s="1136"/>
      <c r="F154" s="1136"/>
      <c r="G154" s="1136"/>
      <c r="H154" s="2143"/>
      <c r="I154" s="150">
        <f t="shared" si="63"/>
        <v>0</v>
      </c>
      <c r="L154" s="150"/>
      <c r="Q154" s="150"/>
      <c r="R154" s="150"/>
      <c r="S154" s="150"/>
      <c r="T154" s="150"/>
      <c r="U154" s="150"/>
      <c r="V154" s="150"/>
    </row>
    <row r="155" spans="1:22" x14ac:dyDescent="0.2">
      <c r="A155" s="2037" t="s">
        <v>316</v>
      </c>
      <c r="B155" s="90"/>
      <c r="C155" s="1137">
        <f t="shared" ref="C155:H155" si="67">C19</f>
        <v>0</v>
      </c>
      <c r="D155" s="1137">
        <f t="shared" si="67"/>
        <v>0</v>
      </c>
      <c r="E155" s="1137">
        <f t="shared" si="67"/>
        <v>0</v>
      </c>
      <c r="F155" s="1137">
        <f t="shared" si="67"/>
        <v>0</v>
      </c>
      <c r="G155" s="1137">
        <f t="shared" si="67"/>
        <v>0</v>
      </c>
      <c r="H155" s="2071">
        <f t="shared" si="67"/>
        <v>0</v>
      </c>
      <c r="I155" s="150">
        <f t="shared" si="63"/>
        <v>0</v>
      </c>
      <c r="J155" s="183"/>
      <c r="K155" s="183"/>
      <c r="L155" s="150"/>
      <c r="Q155" s="150"/>
      <c r="R155" s="150"/>
      <c r="S155" s="150"/>
      <c r="T155" s="150"/>
      <c r="U155" s="150"/>
      <c r="V155" s="150"/>
    </row>
    <row r="156" spans="1:22" x14ac:dyDescent="0.2">
      <c r="A156" s="2037"/>
      <c r="B156" s="90"/>
      <c r="C156" s="1125"/>
      <c r="D156" s="1125"/>
      <c r="E156" s="1125"/>
      <c r="F156" s="1125"/>
      <c r="G156" s="90"/>
      <c r="H156" s="2053"/>
      <c r="I156" s="150">
        <f t="shared" si="63"/>
        <v>0</v>
      </c>
      <c r="L156" s="150"/>
      <c r="Q156" s="150"/>
      <c r="R156" s="150"/>
      <c r="S156" s="150"/>
      <c r="T156" s="150"/>
      <c r="U156" s="150"/>
      <c r="V156" s="150"/>
    </row>
    <row r="157" spans="1:22" ht="13.2" x14ac:dyDescent="0.25">
      <c r="A157" s="2046" t="s">
        <v>317</v>
      </c>
      <c r="B157" s="1133"/>
      <c r="C157" s="1125"/>
      <c r="D157" s="1125"/>
      <c r="E157" s="1125"/>
      <c r="F157" s="1125"/>
      <c r="G157" s="90"/>
      <c r="H157" s="48"/>
      <c r="I157" s="150">
        <f t="shared" si="63"/>
        <v>0</v>
      </c>
      <c r="L157" s="150"/>
      <c r="M157" s="150">
        <f>+C152+C161</f>
        <v>19463546.140000001</v>
      </c>
      <c r="N157" s="2683">
        <f>+D161-1593139</f>
        <v>21004838.210000001</v>
      </c>
      <c r="Q157" s="150"/>
      <c r="R157" s="150"/>
      <c r="S157" s="150"/>
      <c r="T157" s="150"/>
      <c r="U157" s="150"/>
      <c r="V157" s="150"/>
    </row>
    <row r="158" spans="1:22" x14ac:dyDescent="0.2">
      <c r="A158" s="2037" t="s">
        <v>318</v>
      </c>
      <c r="B158" s="90" t="s">
        <v>312</v>
      </c>
      <c r="C158" s="1127">
        <v>0</v>
      </c>
      <c r="D158" s="1127">
        <v>0</v>
      </c>
      <c r="E158" s="1127">
        <v>0</v>
      </c>
      <c r="F158" s="1127">
        <v>0</v>
      </c>
      <c r="G158" s="1127">
        <v>0</v>
      </c>
      <c r="H158" s="1127">
        <v>0</v>
      </c>
      <c r="I158" s="150">
        <f t="shared" si="63"/>
        <v>0</v>
      </c>
      <c r="J158" s="150"/>
      <c r="K158" s="150"/>
      <c r="L158" s="150"/>
      <c r="Q158" s="150"/>
      <c r="R158" s="150"/>
      <c r="S158" s="150"/>
      <c r="T158" s="150"/>
      <c r="U158" s="150"/>
      <c r="V158" s="150"/>
    </row>
    <row r="159" spans="1:22" x14ac:dyDescent="0.2">
      <c r="A159" s="2037"/>
      <c r="B159" s="90"/>
      <c r="C159" s="47"/>
      <c r="D159" s="1125"/>
      <c r="E159" s="1125"/>
      <c r="F159" s="1125"/>
      <c r="G159" s="90"/>
      <c r="H159" s="48"/>
      <c r="I159" s="150">
        <f t="shared" si="63"/>
        <v>0</v>
      </c>
      <c r="L159" s="150"/>
      <c r="Q159" s="150"/>
      <c r="R159" s="150"/>
      <c r="S159" s="150"/>
      <c r="T159" s="150"/>
      <c r="U159" s="150"/>
      <c r="V159" s="150"/>
    </row>
    <row r="160" spans="1:22" x14ac:dyDescent="0.2">
      <c r="A160" s="2037"/>
      <c r="B160" s="90"/>
      <c r="C160" s="1125"/>
      <c r="D160" s="1125"/>
      <c r="E160" s="1125"/>
      <c r="F160" s="1125"/>
      <c r="G160" s="90"/>
      <c r="H160" s="2060"/>
      <c r="I160" s="150">
        <f t="shared" si="63"/>
        <v>0</v>
      </c>
      <c r="L160" s="150"/>
      <c r="Q160" s="150"/>
      <c r="R160" s="150"/>
      <c r="S160" s="150"/>
      <c r="T160" s="150"/>
      <c r="U160" s="150"/>
      <c r="V160" s="150"/>
    </row>
    <row r="161" spans="1:22" ht="13.2" x14ac:dyDescent="0.25">
      <c r="A161" s="2037" t="s">
        <v>336</v>
      </c>
      <c r="B161" s="151" t="s">
        <v>320</v>
      </c>
      <c r="C161" s="1125">
        <f t="shared" ref="C161:H161" si="68">C142+C152+C153+C158</f>
        <v>18811582.140000001</v>
      </c>
      <c r="D161" s="1125">
        <f t="shared" si="68"/>
        <v>22597977.210000001</v>
      </c>
      <c r="E161" s="1125">
        <f t="shared" si="68"/>
        <v>18811582.140000001</v>
      </c>
      <c r="F161" s="1125">
        <f t="shared" si="68"/>
        <v>22025529.365601607</v>
      </c>
      <c r="G161" s="1125">
        <f t="shared" si="68"/>
        <v>22025529.365601607</v>
      </c>
      <c r="H161" s="2123">
        <f t="shared" si="68"/>
        <v>22025529.365601607</v>
      </c>
      <c r="I161" s="150">
        <f t="shared" si="63"/>
        <v>126297729.58680481</v>
      </c>
      <c r="L161" s="150"/>
      <c r="Q161" s="150"/>
      <c r="R161" s="150"/>
      <c r="S161" s="150"/>
      <c r="T161" s="150"/>
      <c r="U161" s="150"/>
      <c r="V161" s="150"/>
    </row>
    <row r="162" spans="1:22" ht="13.2" x14ac:dyDescent="0.25">
      <c r="A162" s="2037" t="s">
        <v>150</v>
      </c>
      <c r="B162" s="151" t="s">
        <v>39</v>
      </c>
      <c r="C162" s="1129">
        <v>40</v>
      </c>
      <c r="D162" s="1129">
        <v>40</v>
      </c>
      <c r="E162" s="1129">
        <v>40</v>
      </c>
      <c r="F162" s="1129">
        <v>40</v>
      </c>
      <c r="G162" s="1129">
        <v>40</v>
      </c>
      <c r="H162" s="2050">
        <v>40</v>
      </c>
      <c r="I162" s="150">
        <f t="shared" si="63"/>
        <v>240</v>
      </c>
      <c r="L162" s="150"/>
      <c r="Q162" s="150"/>
      <c r="R162" s="150"/>
      <c r="S162" s="150"/>
      <c r="T162" s="150"/>
      <c r="U162" s="150"/>
      <c r="V162" s="150"/>
    </row>
    <row r="163" spans="1:22" ht="13.2" x14ac:dyDescent="0.25">
      <c r="A163" s="55"/>
      <c r="B163" s="151"/>
      <c r="C163" s="143"/>
      <c r="D163" s="143"/>
      <c r="E163" s="143"/>
      <c r="F163" s="143"/>
      <c r="G163" s="143"/>
      <c r="H163" s="2062"/>
      <c r="I163" s="150">
        <f t="shared" si="63"/>
        <v>0</v>
      </c>
      <c r="L163" s="150"/>
      <c r="Q163" s="150"/>
      <c r="R163" s="150"/>
      <c r="S163" s="150"/>
      <c r="T163" s="150"/>
      <c r="U163" s="150"/>
      <c r="V163" s="150"/>
    </row>
    <row r="164" spans="1:22" ht="13.2" x14ac:dyDescent="0.25">
      <c r="A164" s="55" t="s">
        <v>337</v>
      </c>
      <c r="B164" s="141" t="s">
        <v>322</v>
      </c>
      <c r="C164" s="144">
        <f t="shared" ref="C164:H164" si="69">C161/(C162*1000)</f>
        <v>470.28955350000001</v>
      </c>
      <c r="D164" s="145">
        <f t="shared" si="69"/>
        <v>564.94943024999998</v>
      </c>
      <c r="E164" s="145">
        <f t="shared" si="69"/>
        <v>470.28955350000001</v>
      </c>
      <c r="F164" s="145">
        <f t="shared" si="69"/>
        <v>550.63823414004014</v>
      </c>
      <c r="G164" s="145">
        <f t="shared" si="69"/>
        <v>550.63823414004014</v>
      </c>
      <c r="H164" s="2034">
        <f t="shared" si="69"/>
        <v>550.63823414004014</v>
      </c>
      <c r="I164" s="150">
        <f t="shared" si="63"/>
        <v>3157.4432396701204</v>
      </c>
      <c r="L164" s="150"/>
      <c r="Q164" s="150"/>
      <c r="R164" s="150"/>
      <c r="S164" s="150"/>
      <c r="T164" s="150"/>
      <c r="U164" s="150"/>
      <c r="V164" s="150"/>
    </row>
    <row r="165" spans="1:22" x14ac:dyDescent="0.2">
      <c r="A165" s="75"/>
      <c r="H165" s="171"/>
      <c r="L165" s="150"/>
      <c r="Q165" s="150"/>
      <c r="R165" s="150"/>
      <c r="S165" s="150"/>
      <c r="T165" s="150"/>
      <c r="U165" s="150"/>
      <c r="V165" s="150"/>
    </row>
    <row r="166" spans="1:22" x14ac:dyDescent="0.2">
      <c r="A166" s="75"/>
      <c r="H166" s="171"/>
      <c r="L166" s="150"/>
      <c r="Q166" s="150"/>
      <c r="R166" s="150"/>
      <c r="S166" s="150"/>
      <c r="T166" s="150"/>
      <c r="U166" s="150"/>
      <c r="V166" s="150"/>
    </row>
    <row r="167" spans="1:22" ht="13.2" x14ac:dyDescent="0.25">
      <c r="A167" s="148" t="s">
        <v>535</v>
      </c>
      <c r="B167" s="1135">
        <v>838</v>
      </c>
      <c r="C167" s="1125"/>
      <c r="D167" s="1125"/>
      <c r="E167" s="1125"/>
      <c r="F167" s="1125"/>
      <c r="G167" s="90"/>
      <c r="H167" s="48"/>
      <c r="L167" s="150"/>
      <c r="Q167" s="150"/>
      <c r="R167" s="150"/>
      <c r="S167" s="150"/>
      <c r="T167" s="150"/>
      <c r="U167" s="150"/>
      <c r="V167" s="150"/>
    </row>
    <row r="168" spans="1:22" ht="13.2" x14ac:dyDescent="0.25">
      <c r="A168" s="2046" t="s">
        <v>310</v>
      </c>
      <c r="B168" s="1133"/>
      <c r="C168" s="1125"/>
      <c r="D168" s="1125"/>
      <c r="E168" s="1125"/>
      <c r="F168" s="1125"/>
      <c r="G168" s="90"/>
      <c r="H168" s="48"/>
      <c r="L168" s="150"/>
      <c r="Q168" s="150"/>
      <c r="R168" s="150"/>
      <c r="S168" s="150"/>
      <c r="T168" s="150"/>
      <c r="U168" s="150"/>
      <c r="V168" s="150"/>
    </row>
    <row r="169" spans="1:22" x14ac:dyDescent="0.2">
      <c r="A169" s="2037" t="s">
        <v>311</v>
      </c>
      <c r="B169" s="90" t="s">
        <v>312</v>
      </c>
      <c r="C169" s="1126">
        <f>+C170+C171+C172+C173+C174+C175+C176+C177+C178</f>
        <v>58029277.600000001</v>
      </c>
      <c r="D169" s="1126">
        <f t="shared" ref="D169" si="70">+D170+D171+D172+D173+D174+D175+D176+D177+D178</f>
        <v>72228259.109999999</v>
      </c>
      <c r="E169" s="1126">
        <f t="shared" ref="E169" si="71">+E170+E171+E172+E173+E174+E175+E176+E177+E178</f>
        <v>58029277.600000001</v>
      </c>
      <c r="F169" s="1126">
        <f t="shared" ref="F169" si="72">+F170+F171+F172+F173+F174+F175+F176+F177+F178</f>
        <v>60039221.766666673</v>
      </c>
      <c r="G169" s="1126">
        <f t="shared" ref="G169" si="73">+G170+G171+G172+G173+G174+G175+G176+G177+G178</f>
        <v>60039221.766666673</v>
      </c>
      <c r="H169" s="2047">
        <f t="shared" ref="H169" si="74">+H170+H171+H172+H173+H174+H175+H176+H177+H178</f>
        <v>60039221.766666673</v>
      </c>
      <c r="I169" s="150">
        <f>SUM(C169:H169)</f>
        <v>368404479.61000001</v>
      </c>
      <c r="J169" s="150"/>
      <c r="K169" s="150"/>
      <c r="L169" s="150"/>
      <c r="Q169" s="150"/>
      <c r="R169" s="150"/>
      <c r="S169" s="150"/>
      <c r="T169" s="150"/>
      <c r="U169" s="150"/>
      <c r="V169" s="150"/>
    </row>
    <row r="170" spans="1:22" x14ac:dyDescent="0.2">
      <c r="A170" s="2048" t="s">
        <v>753</v>
      </c>
      <c r="B170" s="90"/>
      <c r="C170" s="2729">
        <v>15552443</v>
      </c>
      <c r="D170" s="2729">
        <v>15552443</v>
      </c>
      <c r="E170" s="2729">
        <v>15552443</v>
      </c>
      <c r="F170" s="2729">
        <f>15552443+2009944.16666667</f>
        <v>17562387.166666672</v>
      </c>
      <c r="G170" s="2729">
        <f t="shared" ref="G170:H170" si="75">15552443+2009944.16666667</f>
        <v>17562387.166666672</v>
      </c>
      <c r="H170" s="2729">
        <f t="shared" si="75"/>
        <v>17562387.166666672</v>
      </c>
      <c r="I170" s="150">
        <f>SUM(C170:H170)</f>
        <v>99344490.500000015</v>
      </c>
      <c r="J170" s="150"/>
      <c r="K170" s="150"/>
      <c r="L170" s="150"/>
      <c r="Q170" s="150"/>
      <c r="R170" s="150"/>
      <c r="S170" s="150"/>
      <c r="T170" s="150"/>
      <c r="U170" s="150"/>
      <c r="V170" s="150"/>
    </row>
    <row r="171" spans="1:22" x14ac:dyDescent="0.2">
      <c r="A171" s="2048" t="s">
        <v>758</v>
      </c>
      <c r="B171" s="90"/>
      <c r="C171" s="2729">
        <v>6978746</v>
      </c>
      <c r="D171" s="2729">
        <v>6978746</v>
      </c>
      <c r="E171" s="2729">
        <v>6978746</v>
      </c>
      <c r="F171" s="2729">
        <v>6978746</v>
      </c>
      <c r="G171" s="2729">
        <v>6978746</v>
      </c>
      <c r="H171" s="2729">
        <v>6978746</v>
      </c>
      <c r="I171" s="150">
        <f t="shared" ref="I171:I192" si="76">SUM(C171:H171)</f>
        <v>41872476</v>
      </c>
      <c r="J171" s="150"/>
      <c r="K171" s="150"/>
      <c r="L171" s="150"/>
      <c r="Q171" s="150"/>
      <c r="R171" s="150"/>
      <c r="S171" s="150"/>
      <c r="T171" s="150"/>
      <c r="U171" s="150"/>
      <c r="V171" s="150"/>
    </row>
    <row r="172" spans="1:22" x14ac:dyDescent="0.2">
      <c r="A172" s="2048" t="s">
        <v>754</v>
      </c>
      <c r="B172" s="90"/>
      <c r="C172" s="2729">
        <v>1326687</v>
      </c>
      <c r="D172" s="2729">
        <v>1326687</v>
      </c>
      <c r="E172" s="2729">
        <v>1326687</v>
      </c>
      <c r="F172" s="2729">
        <v>1326687</v>
      </c>
      <c r="G172" s="2729">
        <v>1326687</v>
      </c>
      <c r="H172" s="2729">
        <v>1326687</v>
      </c>
      <c r="I172" s="150">
        <f t="shared" si="76"/>
        <v>7960122</v>
      </c>
      <c r="J172" s="150"/>
      <c r="K172" s="150"/>
      <c r="L172" s="150"/>
      <c r="Q172" s="150"/>
      <c r="R172" s="150"/>
      <c r="S172" s="150"/>
      <c r="T172" s="150"/>
      <c r="U172" s="150"/>
      <c r="V172" s="150"/>
    </row>
    <row r="173" spans="1:22" x14ac:dyDescent="0.2">
      <c r="A173" s="2048" t="s">
        <v>755</v>
      </c>
      <c r="B173" s="90"/>
      <c r="C173" s="2729">
        <v>1800705</v>
      </c>
      <c r="D173" s="2729">
        <v>1800705</v>
      </c>
      <c r="E173" s="2729">
        <v>1800705</v>
      </c>
      <c r="F173" s="2729">
        <v>1800705</v>
      </c>
      <c r="G173" s="2729">
        <v>1800705</v>
      </c>
      <c r="H173" s="2729">
        <v>1800705</v>
      </c>
      <c r="I173" s="150">
        <f t="shared" si="76"/>
        <v>10804230</v>
      </c>
      <c r="J173" s="150"/>
      <c r="K173" s="150"/>
      <c r="L173" s="150"/>
      <c r="Q173" s="150"/>
      <c r="R173" s="150"/>
      <c r="S173" s="150"/>
      <c r="T173" s="150"/>
      <c r="U173" s="150"/>
      <c r="V173" s="150"/>
    </row>
    <row r="174" spans="1:22" x14ac:dyDescent="0.2">
      <c r="A174" s="2048" t="s">
        <v>752</v>
      </c>
      <c r="B174" s="90"/>
      <c r="C174" s="2729">
        <f>61906768*0.2</f>
        <v>12381353.600000001</v>
      </c>
      <c r="D174" s="2729">
        <f t="shared" ref="D174:H174" si="77">61906768*0.2</f>
        <v>12381353.600000001</v>
      </c>
      <c r="E174" s="2729">
        <f t="shared" si="77"/>
        <v>12381353.600000001</v>
      </c>
      <c r="F174" s="2729">
        <f t="shared" si="77"/>
        <v>12381353.600000001</v>
      </c>
      <c r="G174" s="2729">
        <f t="shared" si="77"/>
        <v>12381353.600000001</v>
      </c>
      <c r="H174" s="2729">
        <f t="shared" si="77"/>
        <v>12381353.600000001</v>
      </c>
      <c r="I174" s="150">
        <f t="shared" si="76"/>
        <v>74288121.600000009</v>
      </c>
      <c r="J174" s="150"/>
      <c r="K174" s="150"/>
      <c r="L174" s="150"/>
      <c r="Q174" s="150"/>
      <c r="R174" s="150"/>
      <c r="S174" s="150"/>
      <c r="T174" s="150"/>
      <c r="U174" s="150"/>
      <c r="V174" s="150"/>
    </row>
    <row r="175" spans="1:22" x14ac:dyDescent="0.2">
      <c r="A175" s="2048" t="s">
        <v>757</v>
      </c>
      <c r="B175" s="90"/>
      <c r="C175" s="2729">
        <v>12531476</v>
      </c>
      <c r="D175" s="2729">
        <f>12531476+14198981.51</f>
        <v>26730457.509999998</v>
      </c>
      <c r="E175" s="2729">
        <v>12531476</v>
      </c>
      <c r="F175" s="2729">
        <v>12531476</v>
      </c>
      <c r="G175" s="2729">
        <v>12531476</v>
      </c>
      <c r="H175" s="2729">
        <v>12531476</v>
      </c>
      <c r="I175" s="150">
        <f t="shared" si="76"/>
        <v>89387837.50999999</v>
      </c>
      <c r="J175" s="150"/>
      <c r="K175" s="150"/>
      <c r="L175" s="150"/>
      <c r="Q175" s="150"/>
      <c r="R175" s="150"/>
      <c r="S175" s="150"/>
      <c r="T175" s="150"/>
      <c r="U175" s="150"/>
      <c r="V175" s="150"/>
    </row>
    <row r="176" spans="1:22" x14ac:dyDescent="0.2">
      <c r="A176" s="2048" t="s">
        <v>756</v>
      </c>
      <c r="B176" s="90"/>
      <c r="C176" s="2729">
        <v>0</v>
      </c>
      <c r="D176" s="2729">
        <v>0</v>
      </c>
      <c r="E176" s="2729">
        <v>0</v>
      </c>
      <c r="F176" s="2729">
        <v>0</v>
      </c>
      <c r="G176" s="2729">
        <v>0</v>
      </c>
      <c r="H176" s="2729">
        <v>0</v>
      </c>
      <c r="I176" s="150">
        <f t="shared" si="76"/>
        <v>0</v>
      </c>
      <c r="J176" s="150"/>
      <c r="K176" s="150"/>
      <c r="L176" s="150"/>
      <c r="Q176" s="150"/>
      <c r="R176" s="150"/>
      <c r="S176" s="150"/>
      <c r="T176" s="150"/>
      <c r="U176" s="150"/>
      <c r="V176" s="150"/>
    </row>
    <row r="177" spans="1:22" x14ac:dyDescent="0.2">
      <c r="A177" s="2048" t="s">
        <v>814</v>
      </c>
      <c r="B177" s="90"/>
      <c r="C177" s="2729">
        <v>7457867</v>
      </c>
      <c r="D177" s="2729">
        <v>7457867</v>
      </c>
      <c r="E177" s="2729">
        <v>7457867</v>
      </c>
      <c r="F177" s="2729">
        <v>7457867</v>
      </c>
      <c r="G177" s="2729">
        <v>7457867</v>
      </c>
      <c r="H177" s="2729">
        <v>7457867</v>
      </c>
      <c r="I177" s="150">
        <f t="shared" si="76"/>
        <v>44747202</v>
      </c>
      <c r="J177" s="150"/>
      <c r="K177" s="150"/>
      <c r="L177" s="150"/>
      <c r="Q177" s="150"/>
      <c r="R177" s="150"/>
      <c r="S177" s="150"/>
      <c r="T177" s="150"/>
      <c r="U177" s="150"/>
      <c r="V177" s="150"/>
    </row>
    <row r="178" spans="1:22" x14ac:dyDescent="0.2">
      <c r="A178" s="2048" t="s">
        <v>815</v>
      </c>
      <c r="B178" s="90"/>
      <c r="C178" s="2729">
        <v>0</v>
      </c>
      <c r="D178" s="2729">
        <v>0</v>
      </c>
      <c r="E178" s="2729">
        <v>0</v>
      </c>
      <c r="F178" s="2729">
        <v>0</v>
      </c>
      <c r="G178" s="2729">
        <v>0</v>
      </c>
      <c r="H178" s="2729">
        <v>0</v>
      </c>
      <c r="I178" s="150">
        <f t="shared" si="76"/>
        <v>0</v>
      </c>
      <c r="J178" s="150"/>
      <c r="K178" s="150"/>
      <c r="L178" s="150"/>
      <c r="Q178" s="150"/>
      <c r="R178" s="150"/>
      <c r="S178" s="150"/>
      <c r="T178" s="150"/>
      <c r="U178" s="150"/>
      <c r="V178" s="150"/>
    </row>
    <row r="179" spans="1:22" x14ac:dyDescent="0.2">
      <c r="A179" s="2037" t="s">
        <v>313</v>
      </c>
      <c r="B179" s="90" t="s">
        <v>312</v>
      </c>
      <c r="C179" s="2729">
        <v>2444863</v>
      </c>
      <c r="D179" s="2729">
        <v>2444863</v>
      </c>
      <c r="E179" s="2729">
        <v>2444863</v>
      </c>
      <c r="F179" s="2729">
        <f>5642747.94+691319.036711074</f>
        <v>6334066.9767110739</v>
      </c>
      <c r="G179" s="2729">
        <f t="shared" ref="G179:H179" si="78">5642747.94+691319.036711074</f>
        <v>6334066.9767110739</v>
      </c>
      <c r="H179" s="2729">
        <f t="shared" si="78"/>
        <v>6334066.9767110739</v>
      </c>
      <c r="I179" s="150">
        <f t="shared" si="76"/>
        <v>26336789.930133224</v>
      </c>
      <c r="L179" s="150"/>
      <c r="Q179" s="150"/>
      <c r="R179" s="150"/>
      <c r="S179" s="150"/>
      <c r="T179" s="150"/>
      <c r="U179" s="150"/>
      <c r="V179" s="150"/>
    </row>
    <row r="180" spans="1:22" x14ac:dyDescent="0.2">
      <c r="A180" s="2037" t="s">
        <v>314</v>
      </c>
      <c r="B180" s="90" t="s">
        <v>312</v>
      </c>
      <c r="C180" s="2730">
        <v>4669968.53</v>
      </c>
      <c r="D180" s="2730">
        <v>4669968.53</v>
      </c>
      <c r="E180" s="2730">
        <v>4669968.53</v>
      </c>
      <c r="F180" s="2730">
        <f>4669968.53+873541.696794968</f>
        <v>5543510.2267949684</v>
      </c>
      <c r="G180" s="2730">
        <f t="shared" ref="G180:H180" si="79">4669968.53+873541.696794968</f>
        <v>5543510.2267949684</v>
      </c>
      <c r="H180" s="2730">
        <f t="shared" si="79"/>
        <v>5543510.2267949684</v>
      </c>
      <c r="I180" s="150">
        <f t="shared" si="76"/>
        <v>30640436.270384908</v>
      </c>
      <c r="J180" s="150"/>
      <c r="K180" s="150"/>
      <c r="L180" s="150"/>
      <c r="Q180" s="150"/>
      <c r="R180" s="150"/>
      <c r="S180" s="150"/>
      <c r="T180" s="150"/>
      <c r="U180" s="150"/>
      <c r="V180" s="150"/>
    </row>
    <row r="181" spans="1:22" x14ac:dyDescent="0.2">
      <c r="A181" s="2037" t="s">
        <v>315</v>
      </c>
      <c r="B181" s="90"/>
      <c r="C181" s="1136"/>
      <c r="D181" s="1136"/>
      <c r="E181" s="1136"/>
      <c r="F181" s="1136"/>
      <c r="G181" s="1136"/>
      <c r="H181" s="2143"/>
      <c r="I181" s="150">
        <f t="shared" si="76"/>
        <v>0</v>
      </c>
      <c r="L181" s="150"/>
      <c r="Q181" s="150"/>
      <c r="R181" s="150"/>
      <c r="S181" s="150"/>
      <c r="T181" s="150"/>
      <c r="U181" s="150"/>
      <c r="V181" s="150"/>
    </row>
    <row r="182" spans="1:22" x14ac:dyDescent="0.2">
      <c r="A182" s="2037" t="s">
        <v>316</v>
      </c>
      <c r="B182" s="90"/>
      <c r="C182" s="1137">
        <f t="shared" ref="C182:H182" si="80">C19</f>
        <v>0</v>
      </c>
      <c r="D182" s="1137">
        <f t="shared" si="80"/>
        <v>0</v>
      </c>
      <c r="E182" s="1137">
        <f t="shared" si="80"/>
        <v>0</v>
      </c>
      <c r="F182" s="1137">
        <f t="shared" si="80"/>
        <v>0</v>
      </c>
      <c r="G182" s="1137">
        <f t="shared" si="80"/>
        <v>0</v>
      </c>
      <c r="H182" s="2071">
        <f t="shared" si="80"/>
        <v>0</v>
      </c>
      <c r="I182" s="150">
        <f t="shared" si="76"/>
        <v>0</v>
      </c>
      <c r="J182" s="183"/>
      <c r="K182" s="183"/>
      <c r="L182" s="150"/>
      <c r="Q182" s="150"/>
      <c r="R182" s="150"/>
      <c r="S182" s="150"/>
      <c r="T182" s="150"/>
      <c r="U182" s="150"/>
      <c r="V182" s="150"/>
    </row>
    <row r="183" spans="1:22" x14ac:dyDescent="0.2">
      <c r="A183" s="2037"/>
      <c r="B183" s="90"/>
      <c r="C183" s="1125"/>
      <c r="D183" s="1125"/>
      <c r="E183" s="1125"/>
      <c r="F183" s="1125"/>
      <c r="G183" s="90"/>
      <c r="H183" s="2053"/>
      <c r="I183" s="150">
        <f t="shared" si="76"/>
        <v>0</v>
      </c>
      <c r="L183" s="150"/>
      <c r="M183" s="150">
        <f>+C188+C179</f>
        <v>67588972.129999995</v>
      </c>
      <c r="N183" s="348">
        <f>+D188-5974271</f>
        <v>73368819.640000001</v>
      </c>
      <c r="Q183" s="150"/>
      <c r="R183" s="150"/>
      <c r="S183" s="150"/>
      <c r="T183" s="150"/>
      <c r="U183" s="150"/>
      <c r="V183" s="150"/>
    </row>
    <row r="184" spans="1:22" ht="13.2" x14ac:dyDescent="0.25">
      <c r="A184" s="2046" t="s">
        <v>317</v>
      </c>
      <c r="B184" s="1133"/>
      <c r="C184" s="1125"/>
      <c r="D184" s="1125"/>
      <c r="E184" s="1125"/>
      <c r="F184" s="1125"/>
      <c r="G184" s="90"/>
      <c r="H184" s="48"/>
      <c r="I184" s="150">
        <f t="shared" si="76"/>
        <v>0</v>
      </c>
      <c r="L184" s="150"/>
      <c r="Q184" s="150"/>
      <c r="R184" s="150"/>
      <c r="S184" s="150"/>
      <c r="T184" s="150"/>
      <c r="U184" s="150"/>
      <c r="V184" s="150"/>
    </row>
    <row r="185" spans="1:22" x14ac:dyDescent="0.2">
      <c r="A185" s="2037" t="s">
        <v>318</v>
      </c>
      <c r="B185" s="90" t="s">
        <v>312</v>
      </c>
      <c r="C185" s="2726">
        <v>0</v>
      </c>
      <c r="D185" s="2726">
        <v>0</v>
      </c>
      <c r="E185" s="2726"/>
      <c r="F185" s="2726"/>
      <c r="G185" s="2726"/>
      <c r="H185" s="2726"/>
      <c r="I185" s="150">
        <f t="shared" si="76"/>
        <v>0</v>
      </c>
      <c r="J185" s="348"/>
      <c r="K185" s="348"/>
      <c r="L185" s="150"/>
      <c r="Q185" s="150"/>
      <c r="R185" s="150"/>
      <c r="S185" s="150"/>
      <c r="T185" s="150"/>
      <c r="U185" s="150"/>
      <c r="V185" s="150"/>
    </row>
    <row r="186" spans="1:22" x14ac:dyDescent="0.2">
      <c r="A186" s="2037"/>
      <c r="B186" s="90"/>
      <c r="C186" s="47"/>
      <c r="D186" s="1125"/>
      <c r="E186" s="1125"/>
      <c r="F186" s="1125"/>
      <c r="G186" s="90"/>
      <c r="H186" s="48"/>
      <c r="I186" s="150">
        <f t="shared" si="76"/>
        <v>0</v>
      </c>
      <c r="L186" s="150"/>
      <c r="Q186" s="150"/>
      <c r="R186" s="150"/>
      <c r="S186" s="150"/>
      <c r="T186" s="150"/>
      <c r="U186" s="150"/>
      <c r="V186" s="150"/>
    </row>
    <row r="187" spans="1:22" x14ac:dyDescent="0.2">
      <c r="A187" s="2037"/>
      <c r="B187" s="90"/>
      <c r="C187" s="1125"/>
      <c r="D187" s="1125"/>
      <c r="E187" s="1125"/>
      <c r="F187" s="1125"/>
      <c r="G187" s="90"/>
      <c r="H187" s="2060"/>
      <c r="I187" s="150">
        <f t="shared" si="76"/>
        <v>0</v>
      </c>
      <c r="L187" s="150"/>
      <c r="Q187" s="150"/>
      <c r="R187" s="150"/>
      <c r="S187" s="150"/>
      <c r="T187" s="150"/>
      <c r="U187" s="150"/>
      <c r="V187" s="150"/>
    </row>
    <row r="188" spans="1:22" ht="13.2" x14ac:dyDescent="0.25">
      <c r="A188" s="2037" t="s">
        <v>336</v>
      </c>
      <c r="B188" s="151" t="s">
        <v>320</v>
      </c>
      <c r="C188" s="1125">
        <f t="shared" ref="C188:H188" si="81">C169+C179+C180+C185</f>
        <v>65144109.130000003</v>
      </c>
      <c r="D188" s="1125">
        <f t="shared" si="81"/>
        <v>79343090.640000001</v>
      </c>
      <c r="E188" s="1125">
        <f t="shared" si="81"/>
        <v>65144109.130000003</v>
      </c>
      <c r="F188" s="1125">
        <f>F169+F179+F180+F185</f>
        <v>71916798.970172718</v>
      </c>
      <c r="G188" s="1125">
        <f t="shared" si="81"/>
        <v>71916798.970172718</v>
      </c>
      <c r="H188" s="2123">
        <f t="shared" si="81"/>
        <v>71916798.970172718</v>
      </c>
      <c r="I188" s="150">
        <f t="shared" si="76"/>
        <v>425381705.81051815</v>
      </c>
      <c r="L188" s="150"/>
      <c r="Q188" s="150"/>
      <c r="R188" s="150"/>
      <c r="S188" s="150"/>
      <c r="T188" s="150"/>
      <c r="U188" s="150"/>
      <c r="V188" s="150"/>
    </row>
    <row r="189" spans="1:22" ht="13.2" x14ac:dyDescent="0.25">
      <c r="A189" s="2037" t="s">
        <v>150</v>
      </c>
      <c r="B189" s="151" t="s">
        <v>39</v>
      </c>
      <c r="C189" s="1129">
        <v>150</v>
      </c>
      <c r="D189" s="1129">
        <v>150</v>
      </c>
      <c r="E189" s="1129">
        <v>150</v>
      </c>
      <c r="F189" s="1129">
        <v>150</v>
      </c>
      <c r="G189" s="1129">
        <v>150</v>
      </c>
      <c r="H189" s="2050">
        <v>150</v>
      </c>
      <c r="I189" s="150">
        <f t="shared" si="76"/>
        <v>900</v>
      </c>
      <c r="L189" s="150"/>
      <c r="Q189" s="150"/>
      <c r="R189" s="150"/>
      <c r="S189" s="150"/>
      <c r="T189" s="150"/>
      <c r="U189" s="150"/>
      <c r="V189" s="150"/>
    </row>
    <row r="190" spans="1:22" ht="13.2" x14ac:dyDescent="0.25">
      <c r="A190" s="55"/>
      <c r="B190" s="151"/>
      <c r="C190" s="143"/>
      <c r="D190" s="143"/>
      <c r="E190" s="143"/>
      <c r="F190" s="143"/>
      <c r="G190" s="143"/>
      <c r="H190" s="2062"/>
      <c r="I190" s="150">
        <f t="shared" si="76"/>
        <v>0</v>
      </c>
      <c r="L190" s="150"/>
      <c r="Q190" s="150"/>
      <c r="R190" s="150"/>
      <c r="S190" s="150"/>
      <c r="T190" s="150"/>
      <c r="U190" s="150"/>
      <c r="V190" s="150"/>
    </row>
    <row r="191" spans="1:22" ht="13.8" thickBot="1" x14ac:dyDescent="0.3">
      <c r="A191" s="1795" t="s">
        <v>536</v>
      </c>
      <c r="B191" s="2040" t="s">
        <v>322</v>
      </c>
      <c r="C191" s="2148">
        <f t="shared" ref="C191:H191" si="82">C188/(C189*1000)</f>
        <v>434.29406086666671</v>
      </c>
      <c r="D191" s="2148">
        <f t="shared" si="82"/>
        <v>528.95393760000002</v>
      </c>
      <c r="E191" s="2148">
        <f t="shared" si="82"/>
        <v>434.29406086666671</v>
      </c>
      <c r="F191" s="2148">
        <f t="shared" si="82"/>
        <v>479.44532646781812</v>
      </c>
      <c r="G191" s="2148">
        <f t="shared" si="82"/>
        <v>479.44532646781812</v>
      </c>
      <c r="H191" s="2149">
        <f t="shared" si="82"/>
        <v>479.44532646781812</v>
      </c>
      <c r="I191" s="150">
        <f t="shared" si="76"/>
        <v>2835.8780387367879</v>
      </c>
      <c r="L191" s="150"/>
      <c r="Q191" s="150"/>
      <c r="R191" s="150"/>
      <c r="S191" s="150"/>
      <c r="T191" s="150"/>
      <c r="U191" s="150"/>
      <c r="V191" s="150"/>
    </row>
    <row r="192" spans="1:22" x14ac:dyDescent="0.2">
      <c r="A192" s="75"/>
      <c r="H192" s="171"/>
      <c r="I192" s="150">
        <f t="shared" si="76"/>
        <v>0</v>
      </c>
      <c r="L192" s="150"/>
      <c r="Q192" s="150"/>
      <c r="R192" s="150"/>
      <c r="S192" s="150"/>
      <c r="T192" s="150"/>
      <c r="U192" s="150"/>
      <c r="V192" s="150"/>
    </row>
    <row r="193" spans="1:22" x14ac:dyDescent="0.2">
      <c r="A193" s="75"/>
      <c r="H193" s="171"/>
      <c r="L193" s="150"/>
      <c r="Q193" s="150"/>
      <c r="R193" s="150"/>
      <c r="S193" s="150"/>
      <c r="T193" s="150"/>
      <c r="U193" s="150"/>
      <c r="V193" s="150"/>
    </row>
    <row r="194" spans="1:22" x14ac:dyDescent="0.2">
      <c r="A194" s="75"/>
      <c r="H194" s="171"/>
      <c r="L194" s="150"/>
      <c r="Q194" s="150"/>
      <c r="R194" s="150"/>
      <c r="S194" s="150"/>
      <c r="T194" s="150"/>
      <c r="U194" s="150"/>
      <c r="V194" s="150"/>
    </row>
    <row r="195" spans="1:22" x14ac:dyDescent="0.2">
      <c r="A195" s="75"/>
      <c r="C195" s="150"/>
      <c r="H195" s="171"/>
      <c r="L195" s="150"/>
      <c r="Q195" s="150"/>
      <c r="R195" s="150"/>
      <c r="S195" s="150"/>
      <c r="T195" s="150"/>
      <c r="U195" s="150"/>
      <c r="V195" s="150"/>
    </row>
    <row r="196" spans="1:22" x14ac:dyDescent="0.2">
      <c r="A196" s="75"/>
      <c r="H196" s="171"/>
      <c r="Q196" s="150"/>
      <c r="R196" s="150"/>
      <c r="S196" s="150"/>
      <c r="T196" s="150"/>
      <c r="U196" s="150"/>
      <c r="V196" s="150"/>
    </row>
    <row r="197" spans="1:22" ht="13.2" thickBot="1" x14ac:dyDescent="0.25">
      <c r="A197" s="75"/>
      <c r="H197" s="171"/>
      <c r="Q197" s="150"/>
      <c r="R197" s="150"/>
      <c r="S197" s="150"/>
      <c r="T197" s="150"/>
      <c r="U197" s="150"/>
      <c r="V197" s="150"/>
    </row>
    <row r="198" spans="1:22" ht="13.8" thickBot="1" x14ac:dyDescent="0.3">
      <c r="A198" s="502" t="s">
        <v>148</v>
      </c>
      <c r="B198" s="503" t="s">
        <v>338</v>
      </c>
      <c r="C198" s="504">
        <f t="shared" ref="C198:H198" si="83">+(C188+C161+C134+C107+C79+C52+C25)/1000000</f>
        <v>292.11220083000006</v>
      </c>
      <c r="D198" s="504">
        <f t="shared" si="83"/>
        <v>392.18136622000003</v>
      </c>
      <c r="E198" s="504">
        <f t="shared" si="83"/>
        <v>323.82497883000002</v>
      </c>
      <c r="F198" s="504">
        <f>+(F188+F161+F134+F107+F79+F52+F25)/1000000</f>
        <v>370.75710390125084</v>
      </c>
      <c r="G198" s="504">
        <f t="shared" si="83"/>
        <v>370.46913590125087</v>
      </c>
      <c r="H198" s="505">
        <f t="shared" si="83"/>
        <v>370.17986190125083</v>
      </c>
      <c r="Q198" s="150"/>
      <c r="R198" s="150"/>
      <c r="S198" s="150"/>
      <c r="T198" s="150"/>
      <c r="U198" s="150"/>
      <c r="V198" s="150"/>
    </row>
    <row r="199" spans="1:22" ht="13.2" thickBot="1" x14ac:dyDescent="0.25">
      <c r="A199" s="75"/>
      <c r="H199" s="171"/>
      <c r="Q199" s="150"/>
      <c r="R199" s="150"/>
      <c r="S199" s="150"/>
      <c r="T199" s="150"/>
      <c r="U199" s="150"/>
      <c r="V199" s="150"/>
    </row>
    <row r="200" spans="1:22" ht="13.8" thickBot="1" x14ac:dyDescent="0.3">
      <c r="A200" s="149" t="s">
        <v>339</v>
      </c>
      <c r="B200" s="649" t="s">
        <v>39</v>
      </c>
      <c r="C200" s="650">
        <f>SUM(C26,C53,C80,C108,C135,C162,C189,)</f>
        <v>816.2</v>
      </c>
      <c r="D200" s="650">
        <f t="shared" ref="D200:H200" si="84">SUM(D26,D53,D80,D108,D135,D162,D189,)</f>
        <v>816.2</v>
      </c>
      <c r="E200" s="650">
        <f t="shared" si="84"/>
        <v>816.2</v>
      </c>
      <c r="F200" s="650">
        <f t="shared" si="84"/>
        <v>816.2</v>
      </c>
      <c r="G200" s="650">
        <f t="shared" si="84"/>
        <v>816.2</v>
      </c>
      <c r="H200" s="651">
        <f t="shared" si="84"/>
        <v>816.2</v>
      </c>
      <c r="L200" s="150"/>
      <c r="Q200" s="150"/>
      <c r="R200" s="150"/>
      <c r="S200" s="150"/>
      <c r="T200" s="150"/>
      <c r="U200" s="150"/>
      <c r="V200" s="150"/>
    </row>
    <row r="201" spans="1:22" x14ac:dyDescent="0.2">
      <c r="L201" s="150"/>
      <c r="Q201" s="150"/>
      <c r="R201" s="150"/>
      <c r="S201" s="150"/>
      <c r="T201" s="150"/>
      <c r="U201" s="150"/>
      <c r="V201" s="150"/>
    </row>
    <row r="202" spans="1:22" x14ac:dyDescent="0.2">
      <c r="C202" s="150">
        <f>+C11+C38+C65+C93+C120+C147+C174</f>
        <v>29128763.400000002</v>
      </c>
      <c r="D202" s="150">
        <f t="shared" ref="D202:H202" si="85">+D11+D38+D65+D93+D120+D147+D174</f>
        <v>29128763.400000002</v>
      </c>
      <c r="E202" s="150">
        <f t="shared" si="85"/>
        <v>29128763.400000002</v>
      </c>
      <c r="F202" s="150">
        <f t="shared" si="85"/>
        <v>29128763.400000002</v>
      </c>
      <c r="G202" s="150">
        <f t="shared" si="85"/>
        <v>29128763.400000002</v>
      </c>
      <c r="H202" s="150">
        <f t="shared" si="85"/>
        <v>29128763.400000002</v>
      </c>
      <c r="Q202" s="150"/>
      <c r="R202" s="150"/>
      <c r="S202" s="150"/>
      <c r="T202" s="150"/>
      <c r="U202" s="150"/>
      <c r="V202" s="150"/>
    </row>
    <row r="203" spans="1:22" x14ac:dyDescent="0.2">
      <c r="C203" s="150"/>
      <c r="I203" s="150"/>
      <c r="J203" s="150"/>
      <c r="K203" s="150"/>
      <c r="Q203" s="150"/>
      <c r="R203" s="150"/>
      <c r="S203" s="150"/>
      <c r="T203" s="150"/>
      <c r="U203" s="150"/>
      <c r="V203" s="150"/>
    </row>
    <row r="204" spans="1:22" x14ac:dyDescent="0.2">
      <c r="C204" s="402"/>
      <c r="D204" s="322"/>
      <c r="E204" s="322"/>
      <c r="F204" s="322"/>
      <c r="G204" s="322"/>
      <c r="H204" s="322"/>
      <c r="L204" s="241"/>
      <c r="Q204" s="150"/>
      <c r="R204" s="150"/>
      <c r="S204" s="150"/>
      <c r="T204" s="150"/>
      <c r="U204" s="150"/>
      <c r="V204" s="150"/>
    </row>
    <row r="205" spans="1:22" x14ac:dyDescent="0.2">
      <c r="C205" s="444"/>
      <c r="D205" s="444"/>
      <c r="E205" s="444"/>
      <c r="F205" s="444"/>
      <c r="G205" s="444"/>
      <c r="H205" s="444"/>
      <c r="L205" s="241"/>
      <c r="Q205" s="150"/>
      <c r="R205" s="150"/>
      <c r="S205" s="150"/>
      <c r="T205" s="150"/>
      <c r="U205" s="150"/>
      <c r="V205" s="150"/>
    </row>
    <row r="206" spans="1:22" x14ac:dyDescent="0.2">
      <c r="C206" s="445"/>
      <c r="D206" s="445"/>
      <c r="E206" s="445"/>
      <c r="F206" s="445"/>
      <c r="G206" s="445"/>
      <c r="H206" s="445"/>
      <c r="Q206" s="150"/>
      <c r="R206" s="150"/>
      <c r="S206" s="150"/>
      <c r="T206" s="150"/>
      <c r="U206" s="150"/>
      <c r="V206" s="150"/>
    </row>
    <row r="207" spans="1:22" x14ac:dyDescent="0.2">
      <c r="D207" s="241"/>
      <c r="Q207" s="150"/>
      <c r="R207" s="150"/>
      <c r="S207" s="150"/>
      <c r="T207" s="150"/>
      <c r="U207" s="150"/>
      <c r="V207" s="150"/>
    </row>
    <row r="210" spans="1:23" hidden="1" x14ac:dyDescent="0.2">
      <c r="A210" t="str">
        <f>+A169</f>
        <v xml:space="preserve">Fixed O&amp;M Charge Base </v>
      </c>
      <c r="B210" t="str">
        <f>+B169</f>
        <v>Rs/Month</v>
      </c>
      <c r="C210" s="150"/>
      <c r="D210" s="150"/>
      <c r="E210" s="150"/>
      <c r="F210" s="150"/>
      <c r="G210" s="150"/>
      <c r="H210" s="150"/>
      <c r="L210" s="281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316"/>
    </row>
    <row r="211" spans="1:23" hidden="1" x14ac:dyDescent="0.2">
      <c r="A211" t="str">
        <f t="shared" ref="A211:B212" si="86">+A179</f>
        <v>Corporate Costs CEB HQ</v>
      </c>
      <c r="B211" t="str">
        <f t="shared" si="86"/>
        <v>Rs/Month</v>
      </c>
      <c r="C211" s="150"/>
      <c r="D211" s="150"/>
      <c r="E211" s="150"/>
      <c r="F211" s="150"/>
      <c r="G211" s="150"/>
      <c r="H211" s="150"/>
      <c r="L211" s="281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316"/>
    </row>
    <row r="212" spans="1:23" hidden="1" x14ac:dyDescent="0.2">
      <c r="A212" t="str">
        <f t="shared" si="86"/>
        <v>Corporate Costs GL HQ</v>
      </c>
      <c r="B212" t="str">
        <f t="shared" si="86"/>
        <v>Rs/Month</v>
      </c>
      <c r="C212" s="150"/>
      <c r="D212" s="150"/>
      <c r="E212" s="150"/>
      <c r="F212" s="150"/>
      <c r="G212" s="150"/>
      <c r="H212" s="150"/>
      <c r="L212" s="281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316"/>
    </row>
    <row r="213" spans="1:23" hidden="1" x14ac:dyDescent="0.2">
      <c r="A213" t="s">
        <v>634</v>
      </c>
      <c r="B213"/>
      <c r="C213" s="150"/>
      <c r="D213" s="150"/>
      <c r="E213" s="150"/>
      <c r="F213" s="150"/>
      <c r="G213" s="150"/>
      <c r="H213" s="150"/>
    </row>
    <row r="214" spans="1:23" hidden="1" x14ac:dyDescent="0.2"/>
    <row r="215" spans="1:23" hidden="1" x14ac:dyDescent="0.2">
      <c r="C215" s="312"/>
      <c r="D215" s="312"/>
      <c r="E215" s="312"/>
      <c r="F215" s="312"/>
      <c r="G215" s="312"/>
      <c r="H215" s="312"/>
      <c r="L215" s="281"/>
    </row>
    <row r="216" spans="1:23" x14ac:dyDescent="0.2">
      <c r="C216" s="150">
        <f>+I17+I44+I71+I99+I126+I153+I180</f>
        <v>166724827.2384811</v>
      </c>
    </row>
    <row r="218" spans="1:23" x14ac:dyDescent="0.2">
      <c r="C218" s="1253">
        <f>+C216+LAXAPANA!G160+Samanala!F173+'Mannar wind'!J17+'DSP1'!I17+'DSP2'!I17+'GT16'!I17+'GT07'!I17+'CCKP 02'!J17+CCKP!I17+CPUT!J17+DNCHU!I17+'Island Gen'!I17+Barge!I17+'30MW-Hambantota'!I18+'20MW-Mathugama'!I18</f>
        <v>894227829.75150144</v>
      </c>
      <c r="D218" s="444"/>
      <c r="E218" s="444"/>
      <c r="F218" s="444"/>
      <c r="G218" s="444"/>
      <c r="H218" s="444"/>
    </row>
    <row r="221" spans="1:23" x14ac:dyDescent="0.2">
      <c r="D221" s="150"/>
    </row>
    <row r="224" spans="1:23" x14ac:dyDescent="0.2">
      <c r="D224" s="150"/>
    </row>
  </sheetData>
  <phoneticPr fontId="54" type="noConversion"/>
  <dataValidations count="3">
    <dataValidation type="list" allowBlank="1" showInputMessage="1" showErrorMessage="1" sqref="C32 C56 C25 B81" xr:uid="{00000000-0002-0000-0A00-000000000000}">
      <formula1>Currency</formula1>
    </dataValidation>
    <dataValidation type="list" allowBlank="1" showInputMessage="1" showErrorMessage="1" sqref="C30 C54 C47" xr:uid="{00000000-0002-0000-0A00-000001000000}">
      <formula1>Combustible</formula1>
    </dataValidation>
    <dataValidation type="list" allowBlank="1" showInputMessage="1" showErrorMessage="1" sqref="C31 C55 C48" xr:uid="{00000000-0002-0000-0A00-000002000000}">
      <formula1>Units</formula1>
    </dataValidation>
  </dataValidations>
  <pageMargins left="0.69" right="0" top="0.22" bottom="0" header="0.19684820647419074" footer="0.11810804899387577"/>
  <pageSetup paperSize="9" scale="8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B050"/>
    <pageSetUpPr fitToPage="1"/>
  </sheetPr>
  <dimension ref="A1:EA173"/>
  <sheetViews>
    <sheetView showGridLines="0" zoomScale="85" zoomScaleNormal="85" zoomScaleSheetLayoutView="90" workbookViewId="0">
      <selection activeCell="C1" sqref="C1:E1048576"/>
    </sheetView>
  </sheetViews>
  <sheetFormatPr defaultColWidth="11" defaultRowHeight="12.6" x14ac:dyDescent="0.2"/>
  <cols>
    <col min="1" max="1" width="29.90625" bestFit="1" customWidth="1"/>
    <col min="2" max="2" width="11.453125" style="2" customWidth="1"/>
    <col min="3" max="5" width="16.453125" hidden="1" customWidth="1"/>
    <col min="6" max="8" width="16.453125" bestFit="1" customWidth="1"/>
    <col min="9" max="9" width="15.90625" customWidth="1"/>
    <col min="10" max="10" width="18.36328125" bestFit="1" customWidth="1"/>
    <col min="11" max="11" width="20.7265625" style="403" customWidth="1"/>
    <col min="12" max="12" width="16.26953125" bestFit="1" customWidth="1"/>
    <col min="13" max="13" width="13.6328125" bestFit="1" customWidth="1"/>
  </cols>
  <sheetData>
    <row r="1" spans="1:12" ht="17.399999999999999" x14ac:dyDescent="0.3">
      <c r="A1" s="53" t="s">
        <v>762</v>
      </c>
      <c r="B1" s="131" t="s">
        <v>355</v>
      </c>
      <c r="K1" s="1340"/>
    </row>
    <row r="2" spans="1:12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12" x14ac:dyDescent="0.2">
      <c r="A3" s="22" t="s">
        <v>27</v>
      </c>
      <c r="B3" s="23" t="s">
        <v>36</v>
      </c>
      <c r="C3" s="2139">
        <f>DispatchSchedule!F3</f>
        <v>46023</v>
      </c>
      <c r="D3" s="2139">
        <f>DispatchSchedule!G3</f>
        <v>46054</v>
      </c>
      <c r="E3" s="2139">
        <f>DispatchSchedule!H3</f>
        <v>46082</v>
      </c>
      <c r="F3" s="2139">
        <f>DispatchSchedule!I3</f>
        <v>46113</v>
      </c>
      <c r="G3" s="2139">
        <f>DispatchSchedule!J3</f>
        <v>46143</v>
      </c>
      <c r="H3" s="2140">
        <f>DispatchSchedule!K3</f>
        <v>46174</v>
      </c>
      <c r="K3" s="398"/>
    </row>
    <row r="4" spans="1:12" ht="13.2" x14ac:dyDescent="0.25">
      <c r="A4" s="147" t="s">
        <v>356</v>
      </c>
      <c r="B4" s="1135">
        <v>841</v>
      </c>
      <c r="C4" s="1125"/>
      <c r="D4" s="1125"/>
      <c r="E4" s="1125"/>
      <c r="F4" s="1125"/>
      <c r="G4" s="90"/>
      <c r="H4" s="48"/>
    </row>
    <row r="5" spans="1:12" ht="13.2" x14ac:dyDescent="0.25">
      <c r="A5" s="2046" t="s">
        <v>310</v>
      </c>
      <c r="B5" s="1133"/>
      <c r="C5" s="1125"/>
      <c r="D5" s="1125"/>
      <c r="E5" s="1125"/>
      <c r="F5" s="1125"/>
      <c r="G5" s="90"/>
      <c r="H5" s="48"/>
      <c r="K5" s="155"/>
    </row>
    <row r="6" spans="1:12" ht="13.2" thickBot="1" x14ac:dyDescent="0.25">
      <c r="A6" s="2037" t="s">
        <v>311</v>
      </c>
      <c r="B6" s="90" t="s">
        <v>312</v>
      </c>
      <c r="C6" s="1126">
        <f>SUM(C7:C15)</f>
        <v>67341840.647058815</v>
      </c>
      <c r="D6" s="1126">
        <f t="shared" ref="D6:H6" si="0">SUM(D7:D15)</f>
        <v>74169271.647058815</v>
      </c>
      <c r="E6" s="1126">
        <f t="shared" si="0"/>
        <v>78914202.647058815</v>
      </c>
      <c r="F6" s="1126">
        <f t="shared" si="0"/>
        <v>83387861.313725486</v>
      </c>
      <c r="G6" s="1126">
        <f t="shared" si="0"/>
        <v>83181965.313725486</v>
      </c>
      <c r="H6" s="2047">
        <f t="shared" si="0"/>
        <v>82974710.313725486</v>
      </c>
      <c r="I6" s="150">
        <f>SUM(C6:H6)</f>
        <v>469969851.88235289</v>
      </c>
      <c r="J6" s="2696">
        <f>+I6+I33+I60+I88+I115</f>
        <v>1657644164.4352939</v>
      </c>
      <c r="K6" s="155"/>
    </row>
    <row r="7" spans="1:12" x14ac:dyDescent="0.2">
      <c r="A7" s="2048" t="s">
        <v>753</v>
      </c>
      <c r="B7" s="90"/>
      <c r="C7" s="2725">
        <f>51479882/2.125</f>
        <v>24225826.823529411</v>
      </c>
      <c r="D7" s="2725">
        <f t="shared" ref="D7:E7" si="1">51479882/2.125</f>
        <v>24225826.823529411</v>
      </c>
      <c r="E7" s="2725">
        <f t="shared" si="1"/>
        <v>24225826.823529411</v>
      </c>
      <c r="F7" s="2725">
        <f>51479882/2.125+4678206.66666667</f>
        <v>28904033.490196079</v>
      </c>
      <c r="G7" s="2725">
        <f t="shared" ref="G7:H7" si="2">51479882/2.125+4678206.66666667</f>
        <v>28904033.490196079</v>
      </c>
      <c r="H7" s="2725">
        <f t="shared" si="2"/>
        <v>28904033.490196079</v>
      </c>
      <c r="I7" s="150">
        <f>SUM(C7:H7)</f>
        <v>159389580.94117647</v>
      </c>
      <c r="J7" s="2696">
        <f>+I7+I34+I61+I89+I116</f>
        <v>527130903.23529404</v>
      </c>
      <c r="K7" s="2627">
        <f>+H7+H34+H61+H89+H116</f>
        <v>92367712.372548997</v>
      </c>
      <c r="L7" s="403"/>
    </row>
    <row r="8" spans="1:12" x14ac:dyDescent="0.2">
      <c r="A8" s="2048" t="s">
        <v>758</v>
      </c>
      <c r="B8" s="90"/>
      <c r="C8" s="2725">
        <v>6284485</v>
      </c>
      <c r="D8" s="2725">
        <v>6284485</v>
      </c>
      <c r="E8" s="2725">
        <v>6284485</v>
      </c>
      <c r="F8" s="2725">
        <v>6284485</v>
      </c>
      <c r="G8" s="2725">
        <v>6284485</v>
      </c>
      <c r="H8" s="2725">
        <v>6284485</v>
      </c>
      <c r="I8" s="150">
        <f t="shared" ref="I8:I28" si="3">SUM(C8:H8)</f>
        <v>37706910</v>
      </c>
      <c r="J8" s="2696">
        <f t="shared" ref="J8:J28" si="4">+I8+I35+I62+I90+I117</f>
        <v>207169524</v>
      </c>
      <c r="K8" s="2628">
        <f>8901.877425*1000</f>
        <v>8901877.4250000007</v>
      </c>
      <c r="L8" s="403"/>
    </row>
    <row r="9" spans="1:12" x14ac:dyDescent="0.2">
      <c r="A9" s="2048" t="s">
        <v>754</v>
      </c>
      <c r="B9" s="90"/>
      <c r="C9" s="2725">
        <f>5351638/2.125</f>
        <v>2518417.8823529412</v>
      </c>
      <c r="D9" s="2725">
        <f t="shared" ref="D9:H9" si="5">5351638/2.125</f>
        <v>2518417.8823529412</v>
      </c>
      <c r="E9" s="2725">
        <f t="shared" si="5"/>
        <v>2518417.8823529412</v>
      </c>
      <c r="F9" s="2725">
        <f t="shared" si="5"/>
        <v>2518417.8823529412</v>
      </c>
      <c r="G9" s="2725">
        <f t="shared" si="5"/>
        <v>2518417.8823529412</v>
      </c>
      <c r="H9" s="2725">
        <f t="shared" si="5"/>
        <v>2518417.8823529412</v>
      </c>
      <c r="I9" s="150">
        <f t="shared" si="3"/>
        <v>15110507.294117646</v>
      </c>
      <c r="J9" s="2696">
        <f t="shared" si="4"/>
        <v>73637867.294117644</v>
      </c>
      <c r="K9" s="2629">
        <f>SUM(K7:K8)</f>
        <v>101269589.79754899</v>
      </c>
      <c r="L9" s="403"/>
    </row>
    <row r="10" spans="1:12" ht="13.2" thickBot="1" x14ac:dyDescent="0.25">
      <c r="A10" s="2048" t="s">
        <v>755</v>
      </c>
      <c r="B10" s="90"/>
      <c r="C10" s="2725">
        <f>5166387/2.125</f>
        <v>2431240.9411764704</v>
      </c>
      <c r="D10" s="2725">
        <f t="shared" ref="D10:H10" si="6">5166387/2.125</f>
        <v>2431240.9411764704</v>
      </c>
      <c r="E10" s="2725">
        <f t="shared" si="6"/>
        <v>2431240.9411764704</v>
      </c>
      <c r="F10" s="2725">
        <f t="shared" si="6"/>
        <v>2431240.9411764704</v>
      </c>
      <c r="G10" s="2725">
        <f t="shared" si="6"/>
        <v>2431240.9411764704</v>
      </c>
      <c r="H10" s="2725">
        <f t="shared" si="6"/>
        <v>2431240.9411764704</v>
      </c>
      <c r="I10" s="150">
        <f t="shared" si="3"/>
        <v>14587445.647058822</v>
      </c>
      <c r="J10" s="2696">
        <f t="shared" si="4"/>
        <v>44311744.941176474</v>
      </c>
      <c r="K10" s="2630">
        <f>+K9*12</f>
        <v>1215235077.5705879</v>
      </c>
      <c r="L10" s="403"/>
    </row>
    <row r="11" spans="1:12" x14ac:dyDescent="0.2">
      <c r="A11" s="2048" t="s">
        <v>752</v>
      </c>
      <c r="B11" s="90"/>
      <c r="C11" s="2725">
        <f>184611375*0.2/2.125</f>
        <v>17375188.235294119</v>
      </c>
      <c r="D11" s="2725">
        <f t="shared" ref="D11:H11" si="7">184611375*0.2/2.125</f>
        <v>17375188.235294119</v>
      </c>
      <c r="E11" s="2725">
        <f t="shared" si="7"/>
        <v>17375188.235294119</v>
      </c>
      <c r="F11" s="2725">
        <f t="shared" si="7"/>
        <v>17375188.235294119</v>
      </c>
      <c r="G11" s="2725">
        <f t="shared" si="7"/>
        <v>17375188.235294119</v>
      </c>
      <c r="H11" s="2725">
        <f t="shared" si="7"/>
        <v>17375188.235294119</v>
      </c>
      <c r="I11" s="150">
        <f t="shared" si="3"/>
        <v>104251129.41176471</v>
      </c>
      <c r="J11" s="2696">
        <f t="shared" si="4"/>
        <v>138382096.3764706</v>
      </c>
      <c r="K11" s="155"/>
      <c r="L11" s="403"/>
    </row>
    <row r="12" spans="1:12" x14ac:dyDescent="0.2">
      <c r="A12" s="2048" t="s">
        <v>757</v>
      </c>
      <c r="B12" s="90"/>
      <c r="C12" s="2805">
        <f>9724654/2.125</f>
        <v>4576307.7647058824</v>
      </c>
      <c r="D12" s="2805">
        <f t="shared" ref="D12:H12" si="8">9724654/2.125</f>
        <v>4576307.7647058824</v>
      </c>
      <c r="E12" s="2805">
        <f t="shared" si="8"/>
        <v>4576307.7647058824</v>
      </c>
      <c r="F12" s="2805">
        <f t="shared" si="8"/>
        <v>4576307.7647058824</v>
      </c>
      <c r="G12" s="2805">
        <f t="shared" si="8"/>
        <v>4576307.7647058824</v>
      </c>
      <c r="H12" s="2805">
        <f t="shared" si="8"/>
        <v>4576307.7647058824</v>
      </c>
      <c r="I12" s="150">
        <f t="shared" si="3"/>
        <v>27457846.588235293</v>
      </c>
      <c r="J12" s="2696">
        <f t="shared" si="4"/>
        <v>108299638.5882353</v>
      </c>
      <c r="K12" s="155"/>
      <c r="L12" s="403"/>
    </row>
    <row r="13" spans="1:12" x14ac:dyDescent="0.2">
      <c r="A13" s="2048" t="s">
        <v>756</v>
      </c>
      <c r="B13" s="90"/>
      <c r="C13" s="2725">
        <f>26167+3338489</f>
        <v>3364656</v>
      </c>
      <c r="D13" s="2725">
        <f>26167+10165920</f>
        <v>10192087</v>
      </c>
      <c r="E13" s="2725">
        <f>26167+14910851</f>
        <v>14937018</v>
      </c>
      <c r="F13" s="2725">
        <f>26167+14706303</f>
        <v>14732470</v>
      </c>
      <c r="G13" s="2725">
        <f>26167+14500407</f>
        <v>14526574</v>
      </c>
      <c r="H13" s="2725">
        <f>26167+14293152</f>
        <v>14319319</v>
      </c>
      <c r="I13" s="150">
        <f t="shared" si="3"/>
        <v>72072124</v>
      </c>
      <c r="J13" s="2696">
        <f t="shared" si="4"/>
        <v>450312388</v>
      </c>
      <c r="K13" s="155"/>
      <c r="L13" s="403"/>
    </row>
    <row r="14" spans="1:12" x14ac:dyDescent="0.2">
      <c r="A14" s="2048" t="s">
        <v>814</v>
      </c>
      <c r="B14" s="90"/>
      <c r="C14" s="2725">
        <v>6565718</v>
      </c>
      <c r="D14" s="2725">
        <v>6565718</v>
      </c>
      <c r="E14" s="2725">
        <v>6565718</v>
      </c>
      <c r="F14" s="2725">
        <v>6565718</v>
      </c>
      <c r="G14" s="2725">
        <v>6565718</v>
      </c>
      <c r="H14" s="2725">
        <v>6565718</v>
      </c>
      <c r="I14" s="150">
        <f t="shared" si="3"/>
        <v>39394308</v>
      </c>
      <c r="J14" s="2696">
        <f t="shared" si="4"/>
        <v>108400002</v>
      </c>
      <c r="K14" s="134"/>
      <c r="L14" s="403"/>
    </row>
    <row r="15" spans="1:12" x14ac:dyDescent="0.2">
      <c r="A15" s="2048" t="s">
        <v>815</v>
      </c>
      <c r="B15" s="90"/>
      <c r="C15" s="2725">
        <v>0</v>
      </c>
      <c r="D15" s="2725">
        <v>0</v>
      </c>
      <c r="E15" s="2725">
        <v>0</v>
      </c>
      <c r="F15" s="2725">
        <v>0</v>
      </c>
      <c r="G15" s="2725">
        <v>0</v>
      </c>
      <c r="H15" s="2725">
        <v>0</v>
      </c>
      <c r="I15" s="150">
        <f t="shared" si="3"/>
        <v>0</v>
      </c>
      <c r="J15" s="2696">
        <f t="shared" si="4"/>
        <v>0</v>
      </c>
      <c r="K15" s="134"/>
      <c r="L15" s="403"/>
    </row>
    <row r="16" spans="1:12" x14ac:dyDescent="0.2">
      <c r="A16" s="2037" t="s">
        <v>313</v>
      </c>
      <c r="B16" s="90" t="s">
        <v>312</v>
      </c>
      <c r="C16" s="2725">
        <v>1955891</v>
      </c>
      <c r="D16" s="2725">
        <v>1955891</v>
      </c>
      <c r="E16" s="2725">
        <v>1955891</v>
      </c>
      <c r="F16" s="2725">
        <f>4514198.35+553055.229368859</f>
        <v>5067253.5793688586</v>
      </c>
      <c r="G16" s="2725">
        <f t="shared" ref="G16:H16" si="9">4514198.35+553055.229368859</f>
        <v>5067253.5793688586</v>
      </c>
      <c r="H16" s="2725">
        <f t="shared" si="9"/>
        <v>5067253.5793688586</v>
      </c>
      <c r="I16" s="150">
        <f t="shared" si="3"/>
        <v>21069433.738106579</v>
      </c>
      <c r="J16" s="2696">
        <f t="shared" si="4"/>
        <v>57976058.308439933</v>
      </c>
      <c r="K16" s="134">
        <v>9500000</v>
      </c>
      <c r="L16" s="403"/>
    </row>
    <row r="17" spans="1:12" x14ac:dyDescent="0.2">
      <c r="A17" s="2037" t="s">
        <v>314</v>
      </c>
      <c r="B17" s="90" t="s">
        <v>312</v>
      </c>
      <c r="C17" s="2726">
        <v>11112142.77</v>
      </c>
      <c r="D17" s="2726">
        <v>11112142.77</v>
      </c>
      <c r="E17" s="2726">
        <v>11112142.77</v>
      </c>
      <c r="F17" s="2726">
        <f>11112142.77+893476.000894027</f>
        <v>12005618.770894026</v>
      </c>
      <c r="G17" s="2726">
        <f t="shared" ref="G17:H17" si="10">11112142.77+893476.000894027</f>
        <v>12005618.770894026</v>
      </c>
      <c r="H17" s="2726">
        <f t="shared" si="10"/>
        <v>12005618.770894026</v>
      </c>
      <c r="I17" s="150">
        <f t="shared" si="3"/>
        <v>69353284.62268208</v>
      </c>
      <c r="J17" s="2696">
        <f t="shared" si="4"/>
        <v>190837121.54738018</v>
      </c>
      <c r="K17" s="134">
        <v>9500000</v>
      </c>
      <c r="L17" s="403"/>
    </row>
    <row r="18" spans="1:12" x14ac:dyDescent="0.2">
      <c r="A18" s="2037" t="s">
        <v>315</v>
      </c>
      <c r="B18" s="90"/>
      <c r="C18" s="1139"/>
      <c r="D18" s="1139"/>
      <c r="E18" s="1139"/>
      <c r="F18" s="1139"/>
      <c r="G18" s="1139"/>
      <c r="H18" s="2070"/>
      <c r="I18" s="150">
        <f t="shared" si="3"/>
        <v>0</v>
      </c>
      <c r="J18" s="2696">
        <f t="shared" si="4"/>
        <v>0</v>
      </c>
      <c r="K18" s="135">
        <v>9500000</v>
      </c>
      <c r="L18" s="403"/>
    </row>
    <row r="19" spans="1:12" x14ac:dyDescent="0.2">
      <c r="A19" s="2037" t="s">
        <v>316</v>
      </c>
      <c r="B19" s="90"/>
      <c r="C19" s="1137"/>
      <c r="D19" s="1137"/>
      <c r="E19" s="1137"/>
      <c r="F19" s="1137"/>
      <c r="G19" s="1137"/>
      <c r="H19" s="2071"/>
      <c r="I19" s="150">
        <f t="shared" si="3"/>
        <v>0</v>
      </c>
      <c r="J19" s="2696">
        <f t="shared" si="4"/>
        <v>0</v>
      </c>
      <c r="K19" s="135">
        <v>9500000</v>
      </c>
      <c r="L19" s="403"/>
    </row>
    <row r="20" spans="1:12" x14ac:dyDescent="0.2">
      <c r="A20" s="2037"/>
      <c r="B20" s="90"/>
      <c r="C20" s="1125"/>
      <c r="D20" s="1125"/>
      <c r="E20" s="1125"/>
      <c r="F20" s="1125"/>
      <c r="G20" s="90"/>
      <c r="H20" s="2053"/>
      <c r="I20" s="150">
        <f t="shared" si="3"/>
        <v>0</v>
      </c>
      <c r="J20" s="2696">
        <f t="shared" si="4"/>
        <v>0</v>
      </c>
      <c r="K20" s="403">
        <v>14500000</v>
      </c>
      <c r="L20" s="403"/>
    </row>
    <row r="21" spans="1:12" ht="13.2" x14ac:dyDescent="0.25">
      <c r="A21" s="2046" t="s">
        <v>317</v>
      </c>
      <c r="B21" s="1133"/>
      <c r="C21" s="1125"/>
      <c r="D21" s="1125"/>
      <c r="E21" s="1125"/>
      <c r="F21" s="1125"/>
      <c r="G21" s="90"/>
      <c r="H21" s="48"/>
      <c r="I21" s="150">
        <f t="shared" si="3"/>
        <v>0</v>
      </c>
      <c r="J21" s="2696">
        <f t="shared" si="4"/>
        <v>0</v>
      </c>
      <c r="K21" s="403">
        <v>23333333</v>
      </c>
      <c r="L21" s="348">
        <f>+D25-4779417</f>
        <v>106089781.41705881</v>
      </c>
    </row>
    <row r="22" spans="1:12" x14ac:dyDescent="0.2">
      <c r="A22" s="2037" t="s">
        <v>318</v>
      </c>
      <c r="B22" s="90" t="s">
        <v>312</v>
      </c>
      <c r="C22" s="1129">
        <v>6999263</v>
      </c>
      <c r="D22" s="1129">
        <v>23631893</v>
      </c>
      <c r="E22" s="1129">
        <v>28249263</v>
      </c>
      <c r="F22" s="1129">
        <v>28249263</v>
      </c>
      <c r="G22" s="1129">
        <v>28249263</v>
      </c>
      <c r="H22" s="1129">
        <v>28249263</v>
      </c>
      <c r="I22" s="150">
        <f t="shared" si="3"/>
        <v>143628208</v>
      </c>
      <c r="J22" s="2696">
        <f t="shared" si="4"/>
        <v>740850430.22222221</v>
      </c>
    </row>
    <row r="23" spans="1:12" x14ac:dyDescent="0.2">
      <c r="A23" s="2037"/>
      <c r="B23" s="90"/>
      <c r="C23" s="47"/>
      <c r="D23" s="1125"/>
      <c r="E23" s="1125"/>
      <c r="F23" s="1125"/>
      <c r="G23" s="90"/>
      <c r="H23" s="48"/>
      <c r="I23" s="150">
        <f t="shared" si="3"/>
        <v>0</v>
      </c>
      <c r="J23" s="2696">
        <f t="shared" si="4"/>
        <v>0</v>
      </c>
    </row>
    <row r="24" spans="1:12" x14ac:dyDescent="0.2">
      <c r="A24" s="2037"/>
      <c r="B24" s="90"/>
      <c r="C24" s="1125"/>
      <c r="D24" s="1125"/>
      <c r="E24" s="1125"/>
      <c r="F24" s="1125"/>
      <c r="G24" s="90"/>
      <c r="H24" s="2060"/>
      <c r="I24" s="150">
        <f t="shared" si="3"/>
        <v>0</v>
      </c>
      <c r="J24" s="2696">
        <f t="shared" si="4"/>
        <v>0</v>
      </c>
    </row>
    <row r="25" spans="1:12" ht="13.2" x14ac:dyDescent="0.25">
      <c r="A25" s="2037" t="s">
        <v>357</v>
      </c>
      <c r="B25" s="151" t="s">
        <v>320</v>
      </c>
      <c r="C25" s="1125">
        <f t="shared" ref="C25:H25" si="11">C6+C16+C17+C22</f>
        <v>87409137.417058811</v>
      </c>
      <c r="D25" s="1125">
        <f t="shared" si="11"/>
        <v>110869198.41705881</v>
      </c>
      <c r="E25" s="1125">
        <f t="shared" si="11"/>
        <v>120231499.41705881</v>
      </c>
      <c r="F25" s="1125">
        <f t="shared" si="11"/>
        <v>128709996.66398837</v>
      </c>
      <c r="G25" s="1125">
        <f t="shared" si="11"/>
        <v>128504100.66398837</v>
      </c>
      <c r="H25" s="2123">
        <f t="shared" si="11"/>
        <v>128296845.66398837</v>
      </c>
      <c r="I25" s="150">
        <f t="shared" si="3"/>
        <v>704020778.24314153</v>
      </c>
      <c r="J25" s="2696">
        <f t="shared" si="4"/>
        <v>2647307774.5133362</v>
      </c>
    </row>
    <row r="26" spans="1:12" ht="13.2" x14ac:dyDescent="0.25">
      <c r="A26" s="2037" t="s">
        <v>150</v>
      </c>
      <c r="B26" s="151" t="s">
        <v>39</v>
      </c>
      <c r="C26" s="1129">
        <v>120</v>
      </c>
      <c r="D26" s="1129">
        <v>120</v>
      </c>
      <c r="E26" s="1129">
        <v>120</v>
      </c>
      <c r="F26" s="1129">
        <v>120</v>
      </c>
      <c r="G26" s="1129">
        <v>120</v>
      </c>
      <c r="H26" s="2050">
        <v>120</v>
      </c>
      <c r="I26" s="150">
        <f t="shared" si="3"/>
        <v>720</v>
      </c>
      <c r="J26" s="2696">
        <f t="shared" si="4"/>
        <v>1981.2</v>
      </c>
    </row>
    <row r="27" spans="1:12" ht="13.2" x14ac:dyDescent="0.25">
      <c r="A27" s="55"/>
      <c r="B27" s="151"/>
      <c r="C27" s="143"/>
      <c r="D27" s="143"/>
      <c r="E27" s="143"/>
      <c r="F27" s="143"/>
      <c r="G27" s="143"/>
      <c r="H27" s="2062"/>
      <c r="I27" s="150">
        <f t="shared" si="3"/>
        <v>0</v>
      </c>
      <c r="J27" s="2696">
        <f t="shared" si="4"/>
        <v>0</v>
      </c>
      <c r="L27" s="403"/>
    </row>
    <row r="28" spans="1:12" ht="13.2" x14ac:dyDescent="0.25">
      <c r="A28" s="55" t="s">
        <v>358</v>
      </c>
      <c r="B28" s="151" t="s">
        <v>322</v>
      </c>
      <c r="C28" s="145">
        <f t="shared" ref="C28:H28" si="12">C25/(C26*1000)</f>
        <v>728.40947847549012</v>
      </c>
      <c r="D28" s="145">
        <f t="shared" si="12"/>
        <v>923.90998680882342</v>
      </c>
      <c r="E28" s="145">
        <f t="shared" si="12"/>
        <v>1001.9291618088234</v>
      </c>
      <c r="F28" s="145">
        <f t="shared" si="12"/>
        <v>1072.5833055332364</v>
      </c>
      <c r="G28" s="145">
        <f t="shared" si="12"/>
        <v>1070.8675055332365</v>
      </c>
      <c r="H28" s="2034">
        <f t="shared" si="12"/>
        <v>1069.1403805332363</v>
      </c>
      <c r="I28" s="150">
        <f t="shared" si="3"/>
        <v>5866.8398186928462</v>
      </c>
      <c r="J28" s="2696">
        <f t="shared" si="4"/>
        <v>48845.335035626151</v>
      </c>
      <c r="L28" s="403"/>
    </row>
    <row r="29" spans="1:12" ht="13.2" x14ac:dyDescent="0.25">
      <c r="A29" s="75"/>
      <c r="B29" s="82"/>
      <c r="H29" s="171"/>
      <c r="L29" s="403"/>
    </row>
    <row r="30" spans="1:12" s="1" customFormat="1" ht="13.2" x14ac:dyDescent="0.25">
      <c r="A30" s="2141"/>
      <c r="B30" s="82"/>
      <c r="C30" s="146"/>
      <c r="D30" s="146"/>
      <c r="E30" s="146"/>
      <c r="F30" s="146"/>
      <c r="G30" s="146"/>
      <c r="H30" s="2142"/>
      <c r="K30" s="281"/>
      <c r="L30" s="403"/>
    </row>
    <row r="31" spans="1:12" ht="13.2" x14ac:dyDescent="0.25">
      <c r="A31" s="147" t="s">
        <v>359</v>
      </c>
      <c r="B31" s="1333">
        <v>843</v>
      </c>
      <c r="C31" s="1125"/>
      <c r="D31" s="1125"/>
      <c r="E31" s="1125"/>
      <c r="F31" s="1125"/>
      <c r="G31" s="90"/>
      <c r="H31" s="48"/>
      <c r="L31" s="403"/>
    </row>
    <row r="32" spans="1:12" ht="13.2" x14ac:dyDescent="0.25">
      <c r="A32" s="2046" t="s">
        <v>310</v>
      </c>
      <c r="B32" s="1133"/>
      <c r="C32" s="1125"/>
      <c r="D32" s="1125"/>
      <c r="E32" s="1125"/>
      <c r="F32" s="1125"/>
      <c r="G32" s="90"/>
      <c r="H32" s="48"/>
      <c r="K32" s="155"/>
      <c r="L32" s="403">
        <f>+C25+C16</f>
        <v>89365028.417058811</v>
      </c>
    </row>
    <row r="33" spans="1:12" x14ac:dyDescent="0.2">
      <c r="A33" s="2037" t="s">
        <v>311</v>
      </c>
      <c r="B33" s="90" t="s">
        <v>312</v>
      </c>
      <c r="C33" s="1126">
        <f>SUM(C34:C42)</f>
        <v>50230594.729411758</v>
      </c>
      <c r="D33" s="1126">
        <f t="shared" ref="D33" si="13">SUM(D34:D42)</f>
        <v>50230594.729411758</v>
      </c>
      <c r="E33" s="1126">
        <f t="shared" ref="E33" si="14">SUM(E34:E42)</f>
        <v>50230594.729411758</v>
      </c>
      <c r="F33" s="1126">
        <f t="shared" ref="F33" si="15">SUM(F34:F42)</f>
        <v>51655802.562745087</v>
      </c>
      <c r="G33" s="1126">
        <f t="shared" ref="G33" si="16">SUM(G34:G42)</f>
        <v>51655802.562745087</v>
      </c>
      <c r="H33" s="2047">
        <f t="shared" ref="H33" si="17">SUM(H34:H42)</f>
        <v>51655802.562745087</v>
      </c>
      <c r="I33" s="150">
        <f>SUM(C33:H33)</f>
        <v>305659191.87647057</v>
      </c>
      <c r="J33" s="150"/>
      <c r="K33" s="155"/>
      <c r="L33" s="403"/>
    </row>
    <row r="34" spans="1:12" x14ac:dyDescent="0.2">
      <c r="A34" s="2048" t="s">
        <v>753</v>
      </c>
      <c r="B34" s="90"/>
      <c r="C34" s="2725">
        <f>37883781/2.125</f>
        <v>17827661.647058822</v>
      </c>
      <c r="D34" s="2725">
        <f t="shared" ref="D34:E34" si="18">37883781/2.125</f>
        <v>17827661.647058822</v>
      </c>
      <c r="E34" s="2725">
        <f t="shared" si="18"/>
        <v>17827661.647058822</v>
      </c>
      <c r="F34" s="2725">
        <f>37883781/2.125+1425207.83333333</f>
        <v>19252869.480392151</v>
      </c>
      <c r="G34" s="2725">
        <f t="shared" ref="G34:H34" si="19">37883781/2.125+1425207.83333333</f>
        <v>19252869.480392151</v>
      </c>
      <c r="H34" s="2725">
        <f t="shared" si="19"/>
        <v>19252869.480392151</v>
      </c>
      <c r="I34" s="150">
        <f>SUM(C34:H34)</f>
        <v>111241593.38235292</v>
      </c>
      <c r="J34" s="150"/>
      <c r="K34" s="155"/>
      <c r="L34" s="403"/>
    </row>
    <row r="35" spans="1:12" x14ac:dyDescent="0.2">
      <c r="A35" s="2048" t="s">
        <v>758</v>
      </c>
      <c r="B35" s="90"/>
      <c r="C35" s="2725">
        <v>15875275</v>
      </c>
      <c r="D35" s="2725">
        <v>15875275</v>
      </c>
      <c r="E35" s="2725">
        <v>15875275</v>
      </c>
      <c r="F35" s="2725">
        <v>15875275</v>
      </c>
      <c r="G35" s="2725">
        <v>15875275</v>
      </c>
      <c r="H35" s="2725">
        <v>15875275</v>
      </c>
      <c r="I35" s="150">
        <f t="shared" ref="I35:I55" si="20">SUM(C35:H35)</f>
        <v>95251650</v>
      </c>
      <c r="J35" s="150"/>
      <c r="K35" s="155"/>
      <c r="L35" s="403"/>
    </row>
    <row r="36" spans="1:12" x14ac:dyDescent="0.2">
      <c r="A36" s="2048" t="s">
        <v>754</v>
      </c>
      <c r="B36" s="90"/>
      <c r="C36" s="2725">
        <f>4360328/2.125</f>
        <v>2051919.0588235294</v>
      </c>
      <c r="D36" s="2725">
        <f t="shared" ref="D36:H36" si="21">4360328/2.125</f>
        <v>2051919.0588235294</v>
      </c>
      <c r="E36" s="2725">
        <f t="shared" si="21"/>
        <v>2051919.0588235294</v>
      </c>
      <c r="F36" s="2725">
        <f t="shared" si="21"/>
        <v>2051919.0588235294</v>
      </c>
      <c r="G36" s="2725">
        <f t="shared" si="21"/>
        <v>2051919.0588235294</v>
      </c>
      <c r="H36" s="2725">
        <f t="shared" si="21"/>
        <v>2051919.0588235294</v>
      </c>
      <c r="I36" s="150">
        <f t="shared" si="20"/>
        <v>12311514.352941176</v>
      </c>
      <c r="J36" s="150"/>
      <c r="K36" s="155"/>
      <c r="L36" s="403"/>
    </row>
    <row r="37" spans="1:12" x14ac:dyDescent="0.2">
      <c r="A37" s="2048" t="s">
        <v>755</v>
      </c>
      <c r="B37" s="90"/>
      <c r="C37" s="2725">
        <f>3226302/2.125</f>
        <v>1518259.7647058824</v>
      </c>
      <c r="D37" s="2725">
        <f t="shared" ref="D37:H37" si="22">3226302/2.125</f>
        <v>1518259.7647058824</v>
      </c>
      <c r="E37" s="2725">
        <f t="shared" si="22"/>
        <v>1518259.7647058824</v>
      </c>
      <c r="F37" s="2725">
        <f t="shared" si="22"/>
        <v>1518259.7647058824</v>
      </c>
      <c r="G37" s="2725">
        <f t="shared" si="22"/>
        <v>1518259.7647058824</v>
      </c>
      <c r="H37" s="2725">
        <f t="shared" si="22"/>
        <v>1518259.7647058824</v>
      </c>
      <c r="I37" s="150">
        <f t="shared" si="20"/>
        <v>9109558.5882352944</v>
      </c>
      <c r="J37" s="150"/>
      <c r="K37" s="155"/>
      <c r="L37" s="403"/>
    </row>
    <row r="38" spans="1:12" x14ac:dyDescent="0.2">
      <c r="A38" s="2048" t="s">
        <v>752</v>
      </c>
      <c r="B38" s="90"/>
      <c r="C38" s="2725">
        <f>57650589*0.2/2.125</f>
        <v>5425937.7882352946</v>
      </c>
      <c r="D38" s="2725">
        <f t="shared" ref="D38:H38" si="23">57650589*0.2/2.125</f>
        <v>5425937.7882352946</v>
      </c>
      <c r="E38" s="2725">
        <f t="shared" si="23"/>
        <v>5425937.7882352946</v>
      </c>
      <c r="F38" s="2725">
        <f t="shared" si="23"/>
        <v>5425937.7882352946</v>
      </c>
      <c r="G38" s="2725">
        <f t="shared" si="23"/>
        <v>5425937.7882352946</v>
      </c>
      <c r="H38" s="2725">
        <f t="shared" si="23"/>
        <v>5425937.7882352946</v>
      </c>
      <c r="I38" s="150">
        <f t="shared" si="20"/>
        <v>32555626.72941177</v>
      </c>
      <c r="J38" s="150"/>
      <c r="K38" s="155"/>
      <c r="L38" s="403"/>
    </row>
    <row r="39" spans="1:12" x14ac:dyDescent="0.2">
      <c r="A39" s="2048" t="s">
        <v>757</v>
      </c>
      <c r="B39" s="90"/>
      <c r="C39" s="2725">
        <f>7228826/2.125</f>
        <v>3401800.4705882352</v>
      </c>
      <c r="D39" s="2725">
        <f t="shared" ref="D39:H39" si="24">7228826/2.125</f>
        <v>3401800.4705882352</v>
      </c>
      <c r="E39" s="2725">
        <f t="shared" si="24"/>
        <v>3401800.4705882352</v>
      </c>
      <c r="F39" s="2725">
        <f t="shared" si="24"/>
        <v>3401800.4705882352</v>
      </c>
      <c r="G39" s="2725">
        <f t="shared" si="24"/>
        <v>3401800.4705882352</v>
      </c>
      <c r="H39" s="2725">
        <f t="shared" si="24"/>
        <v>3401800.4705882352</v>
      </c>
      <c r="I39" s="150">
        <f t="shared" si="20"/>
        <v>20410802.823529415</v>
      </c>
      <c r="J39" s="150"/>
      <c r="K39" s="155"/>
      <c r="L39" s="403"/>
    </row>
    <row r="40" spans="1:12" x14ac:dyDescent="0.2">
      <c r="A40" s="2048" t="s">
        <v>756</v>
      </c>
      <c r="B40" s="90"/>
      <c r="C40" s="2725">
        <v>26167</v>
      </c>
      <c r="D40" s="2725">
        <v>26167</v>
      </c>
      <c r="E40" s="2725">
        <v>26167</v>
      </c>
      <c r="F40" s="2725">
        <v>26167</v>
      </c>
      <c r="G40" s="2725">
        <v>26167</v>
      </c>
      <c r="H40" s="2725">
        <v>26167</v>
      </c>
      <c r="I40" s="150">
        <f t="shared" si="20"/>
        <v>157002</v>
      </c>
      <c r="J40" s="150"/>
      <c r="K40" s="155"/>
      <c r="L40" s="403"/>
    </row>
    <row r="41" spans="1:12" x14ac:dyDescent="0.2">
      <c r="A41" s="2048" t="s">
        <v>814</v>
      </c>
      <c r="B41" s="90"/>
      <c r="C41" s="2725">
        <v>4103574</v>
      </c>
      <c r="D41" s="2725">
        <v>4103574</v>
      </c>
      <c r="E41" s="2725">
        <v>4103574</v>
      </c>
      <c r="F41" s="2725">
        <v>4103574</v>
      </c>
      <c r="G41" s="2725">
        <v>4103574</v>
      </c>
      <c r="H41" s="2725">
        <v>4103574</v>
      </c>
      <c r="I41" s="150">
        <f t="shared" si="20"/>
        <v>24621444</v>
      </c>
      <c r="J41" s="150"/>
      <c r="K41" s="155"/>
      <c r="L41" s="403"/>
    </row>
    <row r="42" spans="1:12" x14ac:dyDescent="0.2">
      <c r="A42" s="2048" t="s">
        <v>815</v>
      </c>
      <c r="B42" s="90"/>
      <c r="C42" s="2725">
        <v>0</v>
      </c>
      <c r="D42" s="2725">
        <v>0</v>
      </c>
      <c r="E42" s="2725">
        <v>0</v>
      </c>
      <c r="F42" s="2725">
        <v>0</v>
      </c>
      <c r="G42" s="2725">
        <v>0</v>
      </c>
      <c r="H42" s="2725">
        <v>0</v>
      </c>
      <c r="I42" s="150">
        <f t="shared" si="20"/>
        <v>0</v>
      </c>
      <c r="J42" s="150"/>
      <c r="K42" s="155"/>
      <c r="L42" s="403"/>
    </row>
    <row r="43" spans="1:12" x14ac:dyDescent="0.2">
      <c r="A43" s="2037" t="s">
        <v>313</v>
      </c>
      <c r="B43" s="90" t="s">
        <v>312</v>
      </c>
      <c r="C43" s="2725">
        <v>1222432</v>
      </c>
      <c r="D43" s="2725">
        <v>1222432</v>
      </c>
      <c r="E43" s="2725">
        <v>1222432</v>
      </c>
      <c r="F43" s="2725">
        <f>2821373.97+345659.518355537</f>
        <v>3167033.4883555369</v>
      </c>
      <c r="G43" s="2725">
        <f t="shared" ref="G43:H43" si="25">2821373.97+345659.518355537</f>
        <v>3167033.4883555369</v>
      </c>
      <c r="H43" s="2725">
        <f t="shared" si="25"/>
        <v>3167033.4883555369</v>
      </c>
      <c r="I43" s="150">
        <f t="shared" si="20"/>
        <v>13168396.465066612</v>
      </c>
      <c r="J43" s="150"/>
      <c r="K43" s="155"/>
      <c r="L43" s="403"/>
    </row>
    <row r="44" spans="1:12" x14ac:dyDescent="0.2">
      <c r="A44" s="2037" t="s">
        <v>314</v>
      </c>
      <c r="B44" s="90" t="s">
        <v>312</v>
      </c>
      <c r="C44" s="2726">
        <v>6945089.2300000004</v>
      </c>
      <c r="D44" s="2726">
        <v>6945089.2300000004</v>
      </c>
      <c r="E44" s="2726">
        <v>6945089.2300000004</v>
      </c>
      <c r="F44" s="2726">
        <f>6945089.23+558422.500558767</f>
        <v>7503511.7305587679</v>
      </c>
      <c r="G44" s="2726">
        <f t="shared" ref="G44:H44" si="26">6945089.23+558422.500558767</f>
        <v>7503511.7305587679</v>
      </c>
      <c r="H44" s="2726">
        <f t="shared" si="26"/>
        <v>7503511.7305587679</v>
      </c>
      <c r="I44" s="150">
        <f t="shared" si="20"/>
        <v>43345802.881676301</v>
      </c>
      <c r="J44" s="150"/>
      <c r="L44" s="403"/>
    </row>
    <row r="45" spans="1:12" x14ac:dyDescent="0.2">
      <c r="A45" s="2037" t="s">
        <v>315</v>
      </c>
      <c r="B45" s="90"/>
      <c r="C45" s="1136"/>
      <c r="D45" s="1136"/>
      <c r="E45" s="1136"/>
      <c r="F45" s="1136"/>
      <c r="G45" s="1136"/>
      <c r="H45" s="2143"/>
      <c r="I45" s="150">
        <f t="shared" si="20"/>
        <v>0</v>
      </c>
      <c r="J45" s="150"/>
      <c r="L45" s="403"/>
    </row>
    <row r="46" spans="1:12" x14ac:dyDescent="0.2">
      <c r="A46" s="2037" t="s">
        <v>316</v>
      </c>
      <c r="B46" s="90"/>
      <c r="C46" s="1137">
        <f t="shared" ref="C46:H46" si="27">C19</f>
        <v>0</v>
      </c>
      <c r="D46" s="1137">
        <f t="shared" si="27"/>
        <v>0</v>
      </c>
      <c r="E46" s="1137">
        <f t="shared" si="27"/>
        <v>0</v>
      </c>
      <c r="F46" s="1137">
        <f t="shared" si="27"/>
        <v>0</v>
      </c>
      <c r="G46" s="1137">
        <f t="shared" si="27"/>
        <v>0</v>
      </c>
      <c r="H46" s="2071">
        <f t="shared" si="27"/>
        <v>0</v>
      </c>
      <c r="I46" s="150">
        <f t="shared" si="20"/>
        <v>0</v>
      </c>
      <c r="J46" s="150"/>
      <c r="L46" s="403"/>
    </row>
    <row r="47" spans="1:12" x14ac:dyDescent="0.2">
      <c r="A47" s="2037"/>
      <c r="B47" s="90"/>
      <c r="C47" s="1125"/>
      <c r="D47" s="1125"/>
      <c r="E47" s="1125"/>
      <c r="F47" s="1125"/>
      <c r="G47" s="90"/>
      <c r="H47" s="2053"/>
      <c r="I47" s="150">
        <f t="shared" si="20"/>
        <v>0</v>
      </c>
      <c r="J47" s="150"/>
      <c r="L47" s="403"/>
    </row>
    <row r="48" spans="1:12" ht="13.2" x14ac:dyDescent="0.25">
      <c r="A48" s="2046" t="s">
        <v>317</v>
      </c>
      <c r="B48" s="1133"/>
      <c r="C48" s="1125"/>
      <c r="D48" s="1125"/>
      <c r="E48" s="1125"/>
      <c r="F48" s="1125"/>
      <c r="G48" s="90"/>
      <c r="H48" s="48"/>
      <c r="I48" s="150">
        <f t="shared" si="20"/>
        <v>0</v>
      </c>
      <c r="J48" s="150"/>
      <c r="L48" s="403"/>
    </row>
    <row r="49" spans="1:13" x14ac:dyDescent="0.2">
      <c r="A49" s="2037" t="s">
        <v>318</v>
      </c>
      <c r="B49" s="90" t="s">
        <v>312</v>
      </c>
      <c r="C49" s="2725">
        <v>0</v>
      </c>
      <c r="D49" s="2725">
        <v>0</v>
      </c>
      <c r="E49" s="2725">
        <v>0</v>
      </c>
      <c r="F49" s="2725">
        <v>0</v>
      </c>
      <c r="G49" s="2725">
        <v>0</v>
      </c>
      <c r="H49" s="2725">
        <v>0</v>
      </c>
      <c r="I49" s="150">
        <f t="shared" si="20"/>
        <v>0</v>
      </c>
      <c r="J49" s="150"/>
      <c r="K49" s="155"/>
      <c r="L49" s="403"/>
    </row>
    <row r="50" spans="1:13" x14ac:dyDescent="0.2">
      <c r="A50" s="2037"/>
      <c r="B50" s="90"/>
      <c r="C50" s="47"/>
      <c r="D50" s="1125"/>
      <c r="E50" s="1125"/>
      <c r="F50" s="1125"/>
      <c r="G50" s="90"/>
      <c r="H50" s="48"/>
      <c r="I50" s="150">
        <f t="shared" si="20"/>
        <v>0</v>
      </c>
      <c r="J50" s="150"/>
      <c r="L50" s="403"/>
    </row>
    <row r="51" spans="1:13" x14ac:dyDescent="0.2">
      <c r="A51" s="2037"/>
      <c r="B51" s="90"/>
      <c r="C51" s="1125"/>
      <c r="D51" s="1125"/>
      <c r="E51" s="1125"/>
      <c r="F51" s="1125"/>
      <c r="G51" s="90"/>
      <c r="H51" s="2060"/>
      <c r="I51" s="150">
        <f t="shared" si="20"/>
        <v>0</v>
      </c>
      <c r="J51" s="150"/>
      <c r="L51" s="403"/>
    </row>
    <row r="52" spans="1:13" ht="13.2" x14ac:dyDescent="0.25">
      <c r="A52" s="2037" t="s">
        <v>360</v>
      </c>
      <c r="B52" s="151" t="s">
        <v>320</v>
      </c>
      <c r="C52" s="1125">
        <f t="shared" ref="C52:H52" si="28">C33+C43+C44+C49</f>
        <v>58398115.959411755</v>
      </c>
      <c r="D52" s="1125">
        <f t="shared" si="28"/>
        <v>58398115.959411755</v>
      </c>
      <c r="E52" s="1125">
        <f t="shared" si="28"/>
        <v>58398115.959411755</v>
      </c>
      <c r="F52" s="1125">
        <f t="shared" si="28"/>
        <v>62326347.781659395</v>
      </c>
      <c r="G52" s="1125">
        <f t="shared" si="28"/>
        <v>62326347.781659395</v>
      </c>
      <c r="H52" s="2123">
        <f t="shared" si="28"/>
        <v>62326347.781659395</v>
      </c>
      <c r="I52" s="150">
        <f t="shared" si="20"/>
        <v>362173391.22321343</v>
      </c>
      <c r="J52" s="150"/>
      <c r="L52" s="403"/>
    </row>
    <row r="53" spans="1:13" ht="13.2" x14ac:dyDescent="0.25">
      <c r="A53" s="2037" t="s">
        <v>150</v>
      </c>
      <c r="B53" s="151" t="s">
        <v>39</v>
      </c>
      <c r="C53" s="1129">
        <v>75</v>
      </c>
      <c r="D53" s="1129">
        <v>75</v>
      </c>
      <c r="E53" s="1129">
        <v>75</v>
      </c>
      <c r="F53" s="1129">
        <v>75</v>
      </c>
      <c r="G53" s="1129">
        <v>75</v>
      </c>
      <c r="H53" s="2050">
        <v>75</v>
      </c>
      <c r="I53" s="150">
        <f t="shared" si="20"/>
        <v>450</v>
      </c>
      <c r="J53" s="150"/>
      <c r="L53" s="403"/>
    </row>
    <row r="54" spans="1:13" ht="13.2" x14ac:dyDescent="0.25">
      <c r="A54" s="55"/>
      <c r="B54" s="151"/>
      <c r="C54" s="143"/>
      <c r="D54" s="143"/>
      <c r="E54" s="143"/>
      <c r="F54" s="143"/>
      <c r="G54" s="143"/>
      <c r="H54" s="2062"/>
      <c r="I54" s="150">
        <f t="shared" si="20"/>
        <v>0</v>
      </c>
      <c r="J54" s="150"/>
      <c r="L54" s="403"/>
    </row>
    <row r="55" spans="1:13" ht="13.8" thickBot="1" x14ac:dyDescent="0.3">
      <c r="A55" s="153" t="s">
        <v>361</v>
      </c>
      <c r="B55" s="511" t="s">
        <v>322</v>
      </c>
      <c r="C55" s="1141">
        <f t="shared" ref="C55:H55" si="29">C52/(C53*1000)</f>
        <v>778.64154612549009</v>
      </c>
      <c r="D55" s="1142">
        <f t="shared" si="29"/>
        <v>778.64154612549009</v>
      </c>
      <c r="E55" s="1142">
        <f t="shared" si="29"/>
        <v>778.64154612549009</v>
      </c>
      <c r="F55" s="1142">
        <f t="shared" si="29"/>
        <v>831.01797042212525</v>
      </c>
      <c r="G55" s="1142">
        <f t="shared" si="29"/>
        <v>831.01797042212525</v>
      </c>
      <c r="H55" s="2144">
        <f t="shared" si="29"/>
        <v>831.01797042212525</v>
      </c>
      <c r="I55" s="150">
        <f t="shared" si="20"/>
        <v>4828.9785496428467</v>
      </c>
      <c r="J55" s="150"/>
      <c r="L55" s="403">
        <f>+C52+C43</f>
        <v>59620547.959411755</v>
      </c>
      <c r="M55" s="348">
        <f>+D52-2987136</f>
        <v>55410979.959411755</v>
      </c>
    </row>
    <row r="56" spans="1:13" x14ac:dyDescent="0.2">
      <c r="A56" s="75"/>
      <c r="H56" s="171"/>
      <c r="L56" s="403"/>
    </row>
    <row r="57" spans="1:13" x14ac:dyDescent="0.2">
      <c r="A57" s="75"/>
      <c r="H57" s="171"/>
      <c r="L57" s="403"/>
    </row>
    <row r="58" spans="1:13" ht="13.2" x14ac:dyDescent="0.25">
      <c r="A58" s="2145" t="s">
        <v>1040</v>
      </c>
      <c r="B58" s="1135">
        <v>846</v>
      </c>
      <c r="C58" s="1125"/>
      <c r="D58" s="1125"/>
      <c r="E58" s="1125"/>
      <c r="F58" s="1125"/>
      <c r="G58" s="90"/>
      <c r="H58" s="48"/>
      <c r="L58" s="403"/>
    </row>
    <row r="59" spans="1:13" ht="13.2" x14ac:dyDescent="0.25">
      <c r="A59" s="2046" t="s">
        <v>310</v>
      </c>
      <c r="B59" s="1133"/>
      <c r="C59" s="1125"/>
      <c r="D59" s="1125"/>
      <c r="E59" s="1125"/>
      <c r="F59" s="1125"/>
      <c r="G59" s="90"/>
      <c r="H59" s="48"/>
      <c r="K59" s="155"/>
      <c r="L59" s="403"/>
    </row>
    <row r="60" spans="1:13" x14ac:dyDescent="0.2">
      <c r="A60" s="2037" t="s">
        <v>311</v>
      </c>
      <c r="B60" s="90" t="s">
        <v>312</v>
      </c>
      <c r="C60" s="1126">
        <f>SUM(C61:C69)</f>
        <v>79902139.65882352</v>
      </c>
      <c r="D60" s="1126">
        <f t="shared" ref="D60:H60" si="30">SUM(D61:D69)</f>
        <v>93402139.65882352</v>
      </c>
      <c r="E60" s="1126">
        <f t="shared" si="30"/>
        <v>121568806.65882352</v>
      </c>
      <c r="F60" s="1126">
        <f t="shared" si="30"/>
        <v>121280025.49215686</v>
      </c>
      <c r="G60" s="1126">
        <f t="shared" si="30"/>
        <v>120737470.49215686</v>
      </c>
      <c r="H60" s="2047">
        <f t="shared" si="30"/>
        <v>120190394.49215686</v>
      </c>
      <c r="I60" s="150">
        <f>SUM(C60:H60)</f>
        <v>657080976.45294118</v>
      </c>
      <c r="J60" s="150"/>
      <c r="K60" s="155"/>
      <c r="L60" s="403"/>
    </row>
    <row r="61" spans="1:13" x14ac:dyDescent="0.2">
      <c r="A61" s="2048" t="s">
        <v>753</v>
      </c>
      <c r="B61" s="90"/>
      <c r="C61" s="1129">
        <f>35915706/2.125</f>
        <v>16901508.705882352</v>
      </c>
      <c r="D61" s="1129">
        <f t="shared" ref="D61:E61" si="31">35915706/2.125</f>
        <v>16901508.705882352</v>
      </c>
      <c r="E61" s="1129">
        <f t="shared" si="31"/>
        <v>16901508.705882352</v>
      </c>
      <c r="F61" s="1129">
        <f>35915706/2.125+249290.833333333</f>
        <v>17150799.539215684</v>
      </c>
      <c r="G61" s="1129">
        <f t="shared" ref="G61:H61" si="32">35915706/2.125+249290.833333333</f>
        <v>17150799.539215684</v>
      </c>
      <c r="H61" s="1129">
        <f t="shared" si="32"/>
        <v>17150799.539215684</v>
      </c>
      <c r="I61" s="150">
        <f>SUM(C61:H61)</f>
        <v>102156924.7352941</v>
      </c>
      <c r="J61" s="150"/>
      <c r="K61" s="155"/>
      <c r="L61" s="403"/>
    </row>
    <row r="62" spans="1:13" x14ac:dyDescent="0.2">
      <c r="A62" s="2048" t="s">
        <v>758</v>
      </c>
      <c r="B62" s="90"/>
      <c r="C62" s="1129">
        <v>6249245</v>
      </c>
      <c r="D62" s="1129">
        <v>6249245</v>
      </c>
      <c r="E62" s="1129">
        <v>6249245</v>
      </c>
      <c r="F62" s="1129">
        <v>6249245</v>
      </c>
      <c r="G62" s="1129">
        <v>6249245</v>
      </c>
      <c r="H62" s="1129">
        <v>6249245</v>
      </c>
      <c r="I62" s="150">
        <f t="shared" ref="I62:I125" si="33">SUM(C62:H62)</f>
        <v>37495470</v>
      </c>
      <c r="J62" s="150"/>
      <c r="K62" s="155"/>
      <c r="L62" s="403"/>
    </row>
    <row r="63" spans="1:13" x14ac:dyDescent="0.2">
      <c r="A63" s="2048" t="s">
        <v>754</v>
      </c>
      <c r="B63" s="90"/>
      <c r="C63" s="1129">
        <f>11321050/2.125</f>
        <v>5327552.9411764704</v>
      </c>
      <c r="D63" s="1129">
        <f t="shared" ref="D63:H63" si="34">11321050/2.125</f>
        <v>5327552.9411764704</v>
      </c>
      <c r="E63" s="1129">
        <f t="shared" si="34"/>
        <v>5327552.9411764704</v>
      </c>
      <c r="F63" s="1129">
        <f t="shared" si="34"/>
        <v>5327552.9411764704</v>
      </c>
      <c r="G63" s="1129">
        <f t="shared" si="34"/>
        <v>5327552.9411764704</v>
      </c>
      <c r="H63" s="1129">
        <f t="shared" si="34"/>
        <v>5327552.9411764704</v>
      </c>
      <c r="I63" s="150">
        <f t="shared" si="33"/>
        <v>31965317.647058822</v>
      </c>
      <c r="J63" s="150"/>
      <c r="K63" s="155"/>
      <c r="L63" s="403"/>
    </row>
    <row r="64" spans="1:13" x14ac:dyDescent="0.2">
      <c r="A64" s="2048" t="s">
        <v>755</v>
      </c>
      <c r="B64" s="90"/>
      <c r="C64" s="1129">
        <f>4794235/2.125</f>
        <v>2256110.588235294</v>
      </c>
      <c r="D64" s="1129">
        <f t="shared" ref="D64:H64" si="35">4794235/2.125</f>
        <v>2256110.588235294</v>
      </c>
      <c r="E64" s="1129">
        <f t="shared" si="35"/>
        <v>2256110.588235294</v>
      </c>
      <c r="F64" s="1129">
        <f t="shared" si="35"/>
        <v>2256110.588235294</v>
      </c>
      <c r="G64" s="1129">
        <f t="shared" si="35"/>
        <v>2256110.588235294</v>
      </c>
      <c r="H64" s="1129">
        <f t="shared" si="35"/>
        <v>2256110.588235294</v>
      </c>
      <c r="I64" s="150">
        <f t="shared" si="33"/>
        <v>13536663.529411765</v>
      </c>
      <c r="J64" s="150"/>
      <c r="K64" s="155"/>
      <c r="L64" s="403"/>
    </row>
    <row r="65" spans="1:13" x14ac:dyDescent="0.2">
      <c r="A65" s="2048" t="s">
        <v>752</v>
      </c>
      <c r="B65" s="90"/>
      <c r="C65" s="1129">
        <f>599887*0.2/2.125</f>
        <v>56459.952941176474</v>
      </c>
      <c r="D65" s="1129">
        <f t="shared" ref="D65:H65" si="36">599887*0.2/2.125</f>
        <v>56459.952941176474</v>
      </c>
      <c r="E65" s="1129">
        <f t="shared" si="36"/>
        <v>56459.952941176474</v>
      </c>
      <c r="F65" s="1129">
        <f t="shared" si="36"/>
        <v>56459.952941176474</v>
      </c>
      <c r="G65" s="1129">
        <f t="shared" si="36"/>
        <v>56459.952941176474</v>
      </c>
      <c r="H65" s="1129">
        <f t="shared" si="36"/>
        <v>56459.952941176474</v>
      </c>
      <c r="I65" s="150">
        <f t="shared" si="33"/>
        <v>338759.71764705883</v>
      </c>
      <c r="J65" s="150"/>
      <c r="K65" s="155"/>
      <c r="L65" s="403"/>
    </row>
    <row r="66" spans="1:13" x14ac:dyDescent="0.2">
      <c r="A66" s="2048" t="s">
        <v>757</v>
      </c>
      <c r="B66" s="90"/>
      <c r="C66" s="1129">
        <f>19221782/2.125</f>
        <v>9045544.4705882352</v>
      </c>
      <c r="D66" s="1129">
        <f t="shared" ref="D66:H66" si="37">19221782/2.125</f>
        <v>9045544.4705882352</v>
      </c>
      <c r="E66" s="1129">
        <f t="shared" si="37"/>
        <v>9045544.4705882352</v>
      </c>
      <c r="F66" s="1129">
        <f t="shared" si="37"/>
        <v>9045544.4705882352</v>
      </c>
      <c r="G66" s="1129">
        <f t="shared" si="37"/>
        <v>9045544.4705882352</v>
      </c>
      <c r="H66" s="1129">
        <f t="shared" si="37"/>
        <v>9045544.4705882352</v>
      </c>
      <c r="I66" s="150">
        <f t="shared" si="33"/>
        <v>54273266.823529415</v>
      </c>
      <c r="J66" s="150"/>
      <c r="K66" s="155"/>
      <c r="L66" s="403"/>
    </row>
    <row r="67" spans="1:13" x14ac:dyDescent="0.2">
      <c r="A67" s="2048" t="s">
        <v>756</v>
      </c>
      <c r="B67" s="90"/>
      <c r="C67" s="1129">
        <v>33500000</v>
      </c>
      <c r="D67" s="1129">
        <f>33500000+13500000</f>
        <v>47000000</v>
      </c>
      <c r="E67" s="1129">
        <f>33500000+41666667</f>
        <v>75166667</v>
      </c>
      <c r="F67" s="1129">
        <f>33500000+41128595</f>
        <v>74628595</v>
      </c>
      <c r="G67" s="1129">
        <f>33500000+40586040</f>
        <v>74086040</v>
      </c>
      <c r="H67" s="1129">
        <f>33500000+40038964</f>
        <v>73538964</v>
      </c>
      <c r="I67" s="150">
        <f t="shared" si="33"/>
        <v>377920266</v>
      </c>
      <c r="J67" s="150"/>
      <c r="K67" s="155"/>
      <c r="L67" s="403"/>
    </row>
    <row r="68" spans="1:13" x14ac:dyDescent="0.2">
      <c r="A68" s="2048" t="s">
        <v>814</v>
      </c>
      <c r="B68" s="90"/>
      <c r="C68" s="1129">
        <v>6565718</v>
      </c>
      <c r="D68" s="1129">
        <v>6565718</v>
      </c>
      <c r="E68" s="1129">
        <v>6565718</v>
      </c>
      <c r="F68" s="1129">
        <v>6565718</v>
      </c>
      <c r="G68" s="1129">
        <v>6565718</v>
      </c>
      <c r="H68" s="1129">
        <v>6565718</v>
      </c>
      <c r="I68" s="150">
        <f t="shared" si="33"/>
        <v>39394308</v>
      </c>
      <c r="J68" s="150"/>
      <c r="K68" s="155"/>
      <c r="L68" s="403"/>
    </row>
    <row r="69" spans="1:13" x14ac:dyDescent="0.2">
      <c r="A69" s="2048" t="s">
        <v>815</v>
      </c>
      <c r="B69" s="90"/>
      <c r="C69" s="1129">
        <v>0</v>
      </c>
      <c r="D69" s="1129">
        <v>0</v>
      </c>
      <c r="E69" s="1129">
        <v>0</v>
      </c>
      <c r="F69" s="1129">
        <v>0</v>
      </c>
      <c r="G69" s="1129">
        <v>0</v>
      </c>
      <c r="H69" s="1129">
        <v>0</v>
      </c>
      <c r="I69" s="150">
        <f t="shared" si="33"/>
        <v>0</v>
      </c>
      <c r="J69" s="150"/>
      <c r="K69" s="155"/>
      <c r="L69" s="403"/>
    </row>
    <row r="70" spans="1:13" x14ac:dyDescent="0.2">
      <c r="A70" s="2037" t="s">
        <v>313</v>
      </c>
      <c r="B70" s="90" t="s">
        <v>312</v>
      </c>
      <c r="C70" s="1169">
        <v>1955891</v>
      </c>
      <c r="D70" s="1169">
        <v>1955891</v>
      </c>
      <c r="E70" s="1169">
        <v>1955891</v>
      </c>
      <c r="F70" s="1169">
        <f>4514198.35+553055.229368859</f>
        <v>5067253.5793688586</v>
      </c>
      <c r="G70" s="1169">
        <f t="shared" ref="G70:H70" si="38">4514198.35+553055.229368859</f>
        <v>5067253.5793688586</v>
      </c>
      <c r="H70" s="1169">
        <f t="shared" si="38"/>
        <v>5067253.5793688586</v>
      </c>
      <c r="I70" s="150">
        <f t="shared" si="33"/>
        <v>21069433.738106579</v>
      </c>
      <c r="J70" s="150"/>
      <c r="K70" s="155"/>
      <c r="L70" s="403"/>
    </row>
    <row r="71" spans="1:13" x14ac:dyDescent="0.2">
      <c r="A71" s="2037" t="s">
        <v>314</v>
      </c>
      <c r="B71" s="90" t="s">
        <v>312</v>
      </c>
      <c r="C71" s="1127">
        <v>11112142.77</v>
      </c>
      <c r="D71" s="1127">
        <v>11112142.77</v>
      </c>
      <c r="E71" s="1127">
        <v>11112142.77</v>
      </c>
      <c r="F71" s="1127">
        <f>11112142.77+893476.000894027</f>
        <v>12005618.770894026</v>
      </c>
      <c r="G71" s="1127">
        <f t="shared" ref="G71:H71" si="39">11112142.77+893476.000894027</f>
        <v>12005618.770894026</v>
      </c>
      <c r="H71" s="1127">
        <f t="shared" si="39"/>
        <v>12005618.770894026</v>
      </c>
      <c r="I71" s="150">
        <f t="shared" si="33"/>
        <v>69353284.62268208</v>
      </c>
      <c r="J71" s="150"/>
      <c r="K71" s="155"/>
      <c r="L71" s="403"/>
    </row>
    <row r="72" spans="1:13" x14ac:dyDescent="0.2">
      <c r="A72" s="2037" t="s">
        <v>315</v>
      </c>
      <c r="B72" s="90"/>
      <c r="C72" s="1136"/>
      <c r="D72" s="1136"/>
      <c r="E72" s="1136"/>
      <c r="F72" s="1136"/>
      <c r="G72" s="1136"/>
      <c r="H72" s="2143"/>
      <c r="I72" s="150">
        <f t="shared" si="33"/>
        <v>0</v>
      </c>
      <c r="J72" s="150"/>
      <c r="L72" s="403"/>
    </row>
    <row r="73" spans="1:13" x14ac:dyDescent="0.2">
      <c r="A73" s="2037" t="s">
        <v>316</v>
      </c>
      <c r="B73" s="90"/>
      <c r="C73" s="1137"/>
      <c r="D73" s="1137"/>
      <c r="E73" s="1137"/>
      <c r="F73" s="1137"/>
      <c r="G73" s="1137"/>
      <c r="H73" s="2071"/>
      <c r="I73" s="150">
        <f t="shared" si="33"/>
        <v>0</v>
      </c>
      <c r="J73" s="150"/>
      <c r="L73" s="403"/>
    </row>
    <row r="74" spans="1:13" x14ac:dyDescent="0.2">
      <c r="A74" s="2037"/>
      <c r="B74" s="90"/>
      <c r="C74" s="1125"/>
      <c r="D74" s="1125"/>
      <c r="E74" s="1125"/>
      <c r="F74" s="1125"/>
      <c r="G74" s="90"/>
      <c r="H74" s="2053"/>
      <c r="I74" s="150">
        <f t="shared" si="33"/>
        <v>0</v>
      </c>
      <c r="J74" s="150"/>
      <c r="L74" s="403"/>
    </row>
    <row r="75" spans="1:13" ht="13.2" x14ac:dyDescent="0.25">
      <c r="A75" s="2046" t="s">
        <v>317</v>
      </c>
      <c r="B75" s="1133"/>
      <c r="C75" s="1125"/>
      <c r="D75" s="1125"/>
      <c r="E75" s="1125"/>
      <c r="F75" s="1125"/>
      <c r="G75" s="90"/>
      <c r="H75" s="48"/>
      <c r="I75" s="150">
        <f t="shared" si="33"/>
        <v>0</v>
      </c>
      <c r="J75" s="150"/>
      <c r="L75" s="403">
        <f>+C79+C70</f>
        <v>94926064.428823516</v>
      </c>
      <c r="M75" s="348">
        <f>+D79-4779417</f>
        <v>143357423.09549019</v>
      </c>
    </row>
    <row r="76" spans="1:13" x14ac:dyDescent="0.2">
      <c r="A76" s="2037" t="s">
        <v>318</v>
      </c>
      <c r="B76" s="90" t="s">
        <v>312</v>
      </c>
      <c r="C76" s="1129">
        <v>0</v>
      </c>
      <c r="D76" s="1129">
        <v>41666666.666666664</v>
      </c>
      <c r="E76" s="1129">
        <v>138888888.8888889</v>
      </c>
      <c r="F76" s="1129">
        <v>138888888.8888889</v>
      </c>
      <c r="G76" s="1129">
        <v>138888888.8888889</v>
      </c>
      <c r="H76" s="1129">
        <v>138888888.8888889</v>
      </c>
      <c r="I76" s="150">
        <f t="shared" si="33"/>
        <v>597222222.22222221</v>
      </c>
      <c r="J76" s="150"/>
      <c r="K76" s="155"/>
      <c r="L76" s="403"/>
    </row>
    <row r="77" spans="1:13" x14ac:dyDescent="0.2">
      <c r="A77" s="2037"/>
      <c r="B77" s="90"/>
      <c r="C77" s="47"/>
      <c r="D77" s="1125"/>
      <c r="E77" s="1125"/>
      <c r="F77" s="1125"/>
      <c r="G77" s="90"/>
      <c r="H77" s="48"/>
      <c r="I77" s="150">
        <f t="shared" si="33"/>
        <v>0</v>
      </c>
      <c r="J77" s="150"/>
      <c r="L77" s="403"/>
    </row>
    <row r="78" spans="1:13" x14ac:dyDescent="0.2">
      <c r="A78" s="2037"/>
      <c r="B78" s="90"/>
      <c r="C78" s="1125"/>
      <c r="D78" s="1125"/>
      <c r="E78" s="1125"/>
      <c r="F78" s="1125"/>
      <c r="G78" s="90"/>
      <c r="H78" s="2060"/>
      <c r="I78" s="150">
        <f t="shared" si="33"/>
        <v>0</v>
      </c>
      <c r="J78" s="150"/>
      <c r="L78" s="403"/>
    </row>
    <row r="79" spans="1:13" ht="13.2" x14ac:dyDescent="0.25">
      <c r="A79" s="2037" t="s">
        <v>148</v>
      </c>
      <c r="B79" s="151" t="s">
        <v>320</v>
      </c>
      <c r="C79" s="1125">
        <f>+C60+C70+C71+C76</f>
        <v>92970173.428823516</v>
      </c>
      <c r="D79" s="1125">
        <f t="shared" ref="D79:H79" si="40">+D60+D70+D71+D76</f>
        <v>148136840.09549019</v>
      </c>
      <c r="E79" s="1125">
        <f t="shared" si="40"/>
        <v>273525729.31771243</v>
      </c>
      <c r="F79" s="1125">
        <f t="shared" si="40"/>
        <v>277241786.73130864</v>
      </c>
      <c r="G79" s="1125">
        <f t="shared" si="40"/>
        <v>276699231.73130864</v>
      </c>
      <c r="H79" s="2123">
        <f t="shared" si="40"/>
        <v>276152155.73130864</v>
      </c>
      <c r="I79" s="150">
        <f t="shared" si="33"/>
        <v>1344725917.0359521</v>
      </c>
      <c r="J79" s="150"/>
      <c r="L79" s="403"/>
    </row>
    <row r="80" spans="1:13" ht="13.2" x14ac:dyDescent="0.25">
      <c r="A80" s="2037" t="s">
        <v>150</v>
      </c>
      <c r="B80" s="151" t="s">
        <v>39</v>
      </c>
      <c r="C80" s="1129">
        <v>120</v>
      </c>
      <c r="D80" s="1129">
        <v>120</v>
      </c>
      <c r="E80" s="1129">
        <v>120</v>
      </c>
      <c r="F80" s="1129">
        <v>120</v>
      </c>
      <c r="G80" s="1129">
        <v>120</v>
      </c>
      <c r="H80" s="2050">
        <v>120</v>
      </c>
      <c r="I80" s="150">
        <f t="shared" si="33"/>
        <v>720</v>
      </c>
      <c r="J80" s="150"/>
      <c r="L80" s="403"/>
    </row>
    <row r="81" spans="1:12" ht="13.8" thickBot="1" x14ac:dyDescent="0.3">
      <c r="A81" s="153"/>
      <c r="B81" s="511"/>
      <c r="C81" s="1143"/>
      <c r="D81" s="1144"/>
      <c r="E81" s="1144"/>
      <c r="F81" s="1144"/>
      <c r="G81" s="1144"/>
      <c r="H81" s="2146"/>
      <c r="I81" s="150"/>
      <c r="J81" s="150"/>
      <c r="L81" s="403"/>
    </row>
    <row r="82" spans="1:12" ht="13.8" thickBot="1" x14ac:dyDescent="0.3">
      <c r="A82" s="153" t="s">
        <v>1092</v>
      </c>
      <c r="B82" s="151" t="s">
        <v>322</v>
      </c>
      <c r="C82" s="144"/>
      <c r="D82" s="145"/>
      <c r="E82" s="145"/>
      <c r="F82" s="145"/>
      <c r="G82" s="145"/>
      <c r="H82" s="2034"/>
      <c r="I82" s="150"/>
      <c r="J82" s="150"/>
      <c r="K82" s="135"/>
      <c r="L82" s="403"/>
    </row>
    <row r="83" spans="1:12" x14ac:dyDescent="0.2">
      <c r="A83" s="75"/>
      <c r="H83" s="171"/>
      <c r="I83" s="150"/>
      <c r="J83" s="150"/>
      <c r="L83" s="403"/>
    </row>
    <row r="84" spans="1:12" x14ac:dyDescent="0.2">
      <c r="A84" s="75"/>
      <c r="H84" s="171"/>
      <c r="I84" s="150"/>
      <c r="J84" s="150"/>
      <c r="L84" s="403"/>
    </row>
    <row r="85" spans="1:12" x14ac:dyDescent="0.2">
      <c r="A85" s="75"/>
      <c r="H85" s="171"/>
      <c r="I85" s="150"/>
      <c r="J85" s="150"/>
      <c r="L85" s="403"/>
    </row>
    <row r="86" spans="1:12" ht="13.2" x14ac:dyDescent="0.25">
      <c r="A86" s="147" t="s">
        <v>362</v>
      </c>
      <c r="B86" s="1135">
        <v>844</v>
      </c>
      <c r="C86" s="1125"/>
      <c r="D86" s="1125"/>
      <c r="E86" s="1125"/>
      <c r="F86" s="1125"/>
      <c r="G86" s="90"/>
      <c r="H86" s="48"/>
      <c r="I86" s="150"/>
      <c r="J86" s="150"/>
      <c r="K86" s="155"/>
      <c r="L86" s="403"/>
    </row>
    <row r="87" spans="1:12" ht="13.2" x14ac:dyDescent="0.25">
      <c r="A87" s="2046" t="s">
        <v>310</v>
      </c>
      <c r="B87" s="1133"/>
      <c r="C87" s="1125"/>
      <c r="D87" s="1125"/>
      <c r="E87" s="1125"/>
      <c r="F87" s="1125"/>
      <c r="G87" s="90"/>
      <c r="H87" s="48"/>
      <c r="I87" s="150"/>
      <c r="J87" s="150"/>
      <c r="L87" s="403"/>
    </row>
    <row r="88" spans="1:12" x14ac:dyDescent="0.2">
      <c r="A88" s="2037" t="s">
        <v>311</v>
      </c>
      <c r="B88" s="90" t="s">
        <v>312</v>
      </c>
      <c r="C88" s="1126">
        <f>SUM(C89:C97)</f>
        <v>19688459.035294116</v>
      </c>
      <c r="D88" s="1126">
        <f t="shared" ref="D88" si="41">SUM(D89:D97)</f>
        <v>19688459.035294116</v>
      </c>
      <c r="E88" s="1126">
        <f t="shared" ref="E88" si="42">SUM(E89:E97)</f>
        <v>19688459.035294116</v>
      </c>
      <c r="F88" s="1126">
        <f t="shared" ref="F88" si="43">SUM(F89:F97)</f>
        <v>20944859.868627448</v>
      </c>
      <c r="G88" s="1126">
        <f t="shared" ref="G88" si="44">SUM(G89:G97)</f>
        <v>20944859.868627448</v>
      </c>
      <c r="H88" s="2047">
        <f t="shared" ref="H88" si="45">SUM(H89:H97)</f>
        <v>20944859.868627448</v>
      </c>
      <c r="I88" s="150">
        <f t="shared" si="33"/>
        <v>121899956.71176468</v>
      </c>
      <c r="J88" s="150"/>
      <c r="L88" s="403"/>
    </row>
    <row r="89" spans="1:12" x14ac:dyDescent="0.2">
      <c r="A89" s="2048" t="s">
        <v>753</v>
      </c>
      <c r="B89" s="90"/>
      <c r="C89" s="1129">
        <f>26895355/2.125</f>
        <v>12656637.647058824</v>
      </c>
      <c r="D89" s="1129">
        <f t="shared" ref="D89:E89" si="46">26895355/2.125</f>
        <v>12656637.647058824</v>
      </c>
      <c r="E89" s="1129">
        <f t="shared" si="46"/>
        <v>12656637.647058824</v>
      </c>
      <c r="F89" s="1129">
        <f>26895355/2.125+1256400.83333333</f>
        <v>13913038.480392154</v>
      </c>
      <c r="G89" s="1129">
        <f t="shared" ref="G89:H89" si="47">26895355/2.125+1256400.83333333</f>
        <v>13913038.480392154</v>
      </c>
      <c r="H89" s="1129">
        <f t="shared" si="47"/>
        <v>13913038.480392154</v>
      </c>
      <c r="I89" s="150">
        <f t="shared" si="33"/>
        <v>79709028.382352948</v>
      </c>
      <c r="J89" s="150"/>
      <c r="L89" s="403"/>
    </row>
    <row r="90" spans="1:12" x14ac:dyDescent="0.2">
      <c r="A90" s="2048" t="s">
        <v>758</v>
      </c>
      <c r="B90" s="90"/>
      <c r="C90" s="1129">
        <v>4506035</v>
      </c>
      <c r="D90" s="1129">
        <v>4506035</v>
      </c>
      <c r="E90" s="1129">
        <v>4506035</v>
      </c>
      <c r="F90" s="1129">
        <v>4506035</v>
      </c>
      <c r="G90" s="1129">
        <v>4506035</v>
      </c>
      <c r="H90" s="1129">
        <v>4506035</v>
      </c>
      <c r="I90" s="150">
        <f t="shared" si="33"/>
        <v>27036210</v>
      </c>
      <c r="J90" s="150"/>
      <c r="L90" s="403"/>
    </row>
    <row r="91" spans="1:12" x14ac:dyDescent="0.2">
      <c r="A91" s="2048" t="s">
        <v>754</v>
      </c>
      <c r="B91" s="90"/>
      <c r="C91" s="1129">
        <f>1882771/2.125</f>
        <v>886009.8823529412</v>
      </c>
      <c r="D91" s="1129">
        <f t="shared" ref="D91:H91" si="48">1882771/2.125</f>
        <v>886009.8823529412</v>
      </c>
      <c r="E91" s="1129">
        <f t="shared" si="48"/>
        <v>886009.8823529412</v>
      </c>
      <c r="F91" s="1129">
        <f t="shared" si="48"/>
        <v>886009.8823529412</v>
      </c>
      <c r="G91" s="1129">
        <f t="shared" si="48"/>
        <v>886009.8823529412</v>
      </c>
      <c r="H91" s="1129">
        <f t="shared" si="48"/>
        <v>886009.8823529412</v>
      </c>
      <c r="I91" s="150">
        <f t="shared" si="33"/>
        <v>5316059.2941176463</v>
      </c>
      <c r="J91" s="150"/>
      <c r="L91" s="403"/>
    </row>
    <row r="92" spans="1:12" x14ac:dyDescent="0.2">
      <c r="A92" s="2048" t="s">
        <v>755</v>
      </c>
      <c r="B92" s="90"/>
      <c r="C92" s="1129">
        <f>1012309/2.125</f>
        <v>476380.70588235295</v>
      </c>
      <c r="D92" s="1129">
        <f t="shared" ref="D92:H92" si="49">1012309/2.125</f>
        <v>476380.70588235295</v>
      </c>
      <c r="E92" s="1129">
        <f t="shared" si="49"/>
        <v>476380.70588235295</v>
      </c>
      <c r="F92" s="1129">
        <f t="shared" si="49"/>
        <v>476380.70588235295</v>
      </c>
      <c r="G92" s="1129">
        <f t="shared" si="49"/>
        <v>476380.70588235295</v>
      </c>
      <c r="H92" s="1129">
        <f t="shared" si="49"/>
        <v>476380.70588235295</v>
      </c>
      <c r="I92" s="150">
        <f t="shared" si="33"/>
        <v>2858284.2352941176</v>
      </c>
      <c r="J92" s="150"/>
      <c r="L92" s="403"/>
    </row>
    <row r="93" spans="1:12" x14ac:dyDescent="0.2">
      <c r="A93" s="2048" t="s">
        <v>752</v>
      </c>
      <c r="B93" s="90"/>
      <c r="C93" s="1129">
        <f>451651*0.2/2.125</f>
        <v>42508.329411764709</v>
      </c>
      <c r="D93" s="1129">
        <f t="shared" ref="D93:H93" si="50">451651*0.2/2.125</f>
        <v>42508.329411764709</v>
      </c>
      <c r="E93" s="1129">
        <f t="shared" si="50"/>
        <v>42508.329411764709</v>
      </c>
      <c r="F93" s="1129">
        <f t="shared" si="50"/>
        <v>42508.329411764709</v>
      </c>
      <c r="G93" s="1129">
        <f t="shared" si="50"/>
        <v>42508.329411764709</v>
      </c>
      <c r="H93" s="1129">
        <f t="shared" si="50"/>
        <v>42508.329411764709</v>
      </c>
      <c r="I93" s="150">
        <f t="shared" si="33"/>
        <v>255049.97647058827</v>
      </c>
      <c r="J93" s="150"/>
      <c r="L93" s="403"/>
    </row>
    <row r="94" spans="1:12" x14ac:dyDescent="0.2">
      <c r="A94" s="2048" t="s">
        <v>757</v>
      </c>
      <c r="B94" s="90"/>
      <c r="C94" s="1129">
        <f>1050822/2.125</f>
        <v>494504.4705882353</v>
      </c>
      <c r="D94" s="1129">
        <f t="shared" ref="D94:H94" si="51">1050822/2.125</f>
        <v>494504.4705882353</v>
      </c>
      <c r="E94" s="1129">
        <f t="shared" si="51"/>
        <v>494504.4705882353</v>
      </c>
      <c r="F94" s="1129">
        <f t="shared" si="51"/>
        <v>494504.4705882353</v>
      </c>
      <c r="G94" s="1129">
        <f t="shared" si="51"/>
        <v>494504.4705882353</v>
      </c>
      <c r="H94" s="1129">
        <f t="shared" si="51"/>
        <v>494504.4705882353</v>
      </c>
      <c r="I94" s="150">
        <f t="shared" si="33"/>
        <v>2967026.8235294116</v>
      </c>
      <c r="J94" s="150"/>
      <c r="L94" s="403"/>
    </row>
    <row r="95" spans="1:12" x14ac:dyDescent="0.2">
      <c r="A95" s="2048" t="s">
        <v>756</v>
      </c>
      <c r="B95" s="90"/>
      <c r="C95" s="1169">
        <v>13583</v>
      </c>
      <c r="D95" s="1169">
        <v>13583</v>
      </c>
      <c r="E95" s="1169">
        <v>13583</v>
      </c>
      <c r="F95" s="1169">
        <v>13583</v>
      </c>
      <c r="G95" s="1169">
        <v>13583</v>
      </c>
      <c r="H95" s="1169">
        <v>13583</v>
      </c>
      <c r="I95" s="150">
        <f t="shared" si="33"/>
        <v>81498</v>
      </c>
      <c r="J95" s="150"/>
      <c r="L95" s="403"/>
    </row>
    <row r="96" spans="1:12" x14ac:dyDescent="0.2">
      <c r="A96" s="2048" t="s">
        <v>814</v>
      </c>
      <c r="B96" s="90"/>
      <c r="C96" s="1129">
        <v>612800</v>
      </c>
      <c r="D96" s="1129">
        <v>612800</v>
      </c>
      <c r="E96" s="1129">
        <v>612800</v>
      </c>
      <c r="F96" s="1129">
        <v>612800</v>
      </c>
      <c r="G96" s="1129">
        <v>612800</v>
      </c>
      <c r="H96" s="1129">
        <v>612800</v>
      </c>
      <c r="I96" s="150">
        <f t="shared" si="33"/>
        <v>3676800</v>
      </c>
      <c r="J96" s="150"/>
      <c r="L96" s="403"/>
    </row>
    <row r="97" spans="1:131" s="185" customFormat="1" x14ac:dyDescent="0.2">
      <c r="A97" s="2048" t="s">
        <v>815</v>
      </c>
      <c r="B97" s="90"/>
      <c r="C97" s="1129">
        <v>0</v>
      </c>
      <c r="D97" s="1129">
        <v>0</v>
      </c>
      <c r="E97" s="1129">
        <v>0</v>
      </c>
      <c r="F97" s="1129">
        <v>0</v>
      </c>
      <c r="G97" s="1129">
        <v>0</v>
      </c>
      <c r="H97" s="1129">
        <v>0</v>
      </c>
      <c r="I97" s="150">
        <f t="shared" si="33"/>
        <v>0</v>
      </c>
      <c r="J97" s="150"/>
      <c r="K97" s="403"/>
      <c r="L97" s="403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</row>
    <row r="98" spans="1:131" x14ac:dyDescent="0.2">
      <c r="A98" s="2048" t="s">
        <v>313</v>
      </c>
      <c r="B98" s="90" t="s">
        <v>312</v>
      </c>
      <c r="C98" s="1169">
        <v>182550</v>
      </c>
      <c r="D98" s="1169">
        <v>182550</v>
      </c>
      <c r="E98" s="1169">
        <v>182550</v>
      </c>
      <c r="F98" s="1169">
        <f>421325.18+51618.4880744268</f>
        <v>472943.66807442682</v>
      </c>
      <c r="G98" s="1169">
        <f t="shared" ref="G98:H98" si="52">421325.18+51618.4880744268</f>
        <v>472943.66807442682</v>
      </c>
      <c r="H98" s="1169">
        <f t="shared" si="52"/>
        <v>472943.66807442682</v>
      </c>
      <c r="I98" s="150">
        <f t="shared" si="33"/>
        <v>1966481.0042232806</v>
      </c>
      <c r="J98" s="150"/>
      <c r="L98" s="403"/>
    </row>
    <row r="99" spans="1:131" x14ac:dyDescent="0.2">
      <c r="A99" s="2037" t="s">
        <v>314</v>
      </c>
      <c r="B99" s="90" t="s">
        <v>312</v>
      </c>
      <c r="C99" s="1127">
        <v>1037133.33</v>
      </c>
      <c r="D99" s="1127">
        <v>1037133.33</v>
      </c>
      <c r="E99" s="1127">
        <v>1037133.33</v>
      </c>
      <c r="F99" s="1127">
        <f>1037133.33+83391.0934167758</f>
        <v>1120524.4234167757</v>
      </c>
      <c r="G99" s="1127">
        <f t="shared" ref="G99:H99" si="53">1037133.33+83391.0934167758</f>
        <v>1120524.4234167757</v>
      </c>
      <c r="H99" s="1127">
        <f t="shared" si="53"/>
        <v>1120524.4234167757</v>
      </c>
      <c r="I99" s="150">
        <f t="shared" si="33"/>
        <v>6472973.2602503262</v>
      </c>
      <c r="J99" s="150"/>
      <c r="L99" s="403"/>
    </row>
    <row r="100" spans="1:131" x14ac:dyDescent="0.2">
      <c r="A100" s="2037" t="s">
        <v>315</v>
      </c>
      <c r="B100" s="90"/>
      <c r="C100" s="1136"/>
      <c r="D100" s="1136"/>
      <c r="E100" s="1136"/>
      <c r="F100" s="1136"/>
      <c r="G100" s="1136"/>
      <c r="H100" s="2143"/>
      <c r="I100" s="150">
        <f t="shared" si="33"/>
        <v>0</v>
      </c>
      <c r="J100" s="150"/>
      <c r="L100" s="403"/>
    </row>
    <row r="101" spans="1:131" x14ac:dyDescent="0.2">
      <c r="A101" s="2037" t="s">
        <v>316</v>
      </c>
      <c r="B101" s="90"/>
      <c r="C101" s="1137">
        <f t="shared" ref="C101" si="54">C19</f>
        <v>0</v>
      </c>
      <c r="D101" s="1137"/>
      <c r="E101" s="1137"/>
      <c r="F101" s="1137"/>
      <c r="G101" s="1137"/>
      <c r="H101" s="2071"/>
      <c r="I101" s="150">
        <f t="shared" si="33"/>
        <v>0</v>
      </c>
      <c r="J101" s="150"/>
      <c r="L101" s="403"/>
    </row>
    <row r="102" spans="1:131" x14ac:dyDescent="0.2">
      <c r="A102" s="2037"/>
      <c r="B102" s="90"/>
      <c r="C102" s="1125"/>
      <c r="D102" s="1125"/>
      <c r="E102" s="1125"/>
      <c r="F102" s="1125"/>
      <c r="G102" s="90"/>
      <c r="H102" s="2053"/>
      <c r="I102" s="150">
        <f t="shared" si="33"/>
        <v>0</v>
      </c>
      <c r="J102" s="150"/>
      <c r="L102" s="403"/>
    </row>
    <row r="103" spans="1:131" ht="13.2" x14ac:dyDescent="0.25">
      <c r="A103" s="2046" t="s">
        <v>317</v>
      </c>
      <c r="B103" s="1133"/>
      <c r="C103" s="1125"/>
      <c r="D103" s="1125"/>
      <c r="E103" s="1125"/>
      <c r="F103" s="1125"/>
      <c r="G103" s="90"/>
      <c r="H103" s="48"/>
      <c r="I103" s="150">
        <f t="shared" si="33"/>
        <v>0</v>
      </c>
      <c r="J103" s="150"/>
      <c r="L103" s="403"/>
    </row>
    <row r="104" spans="1:131" x14ac:dyDescent="0.2">
      <c r="A104" s="2037" t="s">
        <v>318</v>
      </c>
      <c r="B104" s="90" t="s">
        <v>312</v>
      </c>
      <c r="C104" s="1169">
        <v>0</v>
      </c>
      <c r="D104" s="1169">
        <v>0</v>
      </c>
      <c r="E104" s="1169"/>
      <c r="F104" s="1169"/>
      <c r="G104" s="1169"/>
      <c r="H104" s="1169"/>
      <c r="I104" s="150">
        <f t="shared" si="33"/>
        <v>0</v>
      </c>
      <c r="J104" s="150"/>
      <c r="L104" s="403"/>
    </row>
    <row r="105" spans="1:131" x14ac:dyDescent="0.2">
      <c r="A105" s="2037"/>
      <c r="B105" s="90"/>
      <c r="C105" s="47"/>
      <c r="D105" s="1125"/>
      <c r="E105" s="1125"/>
      <c r="F105" s="1125"/>
      <c r="G105" s="90"/>
      <c r="H105" s="48"/>
      <c r="I105" s="150">
        <f t="shared" si="33"/>
        <v>0</v>
      </c>
      <c r="J105" s="150"/>
      <c r="L105" s="403">
        <f>+C107+C98</f>
        <v>21090692.365294114</v>
      </c>
      <c r="M105" s="348">
        <f>+D107-446079</f>
        <v>20462063.365294114</v>
      </c>
    </row>
    <row r="106" spans="1:131" x14ac:dyDescent="0.2">
      <c r="A106" s="2037"/>
      <c r="B106" s="90"/>
      <c r="C106" s="1125"/>
      <c r="D106" s="1125"/>
      <c r="E106" s="1125"/>
      <c r="F106" s="1125"/>
      <c r="G106" s="90"/>
      <c r="H106" s="2060"/>
      <c r="I106" s="150">
        <f t="shared" si="33"/>
        <v>0</v>
      </c>
      <c r="J106" s="150"/>
      <c r="L106" s="403"/>
    </row>
    <row r="107" spans="1:131" ht="13.2" x14ac:dyDescent="0.25">
      <c r="A107" s="2037" t="s">
        <v>363</v>
      </c>
      <c r="B107" s="151" t="s">
        <v>320</v>
      </c>
      <c r="C107" s="1125">
        <f>C88+C98+C99+C104</f>
        <v>20908142.365294114</v>
      </c>
      <c r="D107" s="1125">
        <f t="shared" ref="D107:H107" si="55">D88+D98+D99+D104</f>
        <v>20908142.365294114</v>
      </c>
      <c r="E107" s="1125">
        <f t="shared" si="55"/>
        <v>20908142.365294114</v>
      </c>
      <c r="F107" s="1125">
        <f t="shared" si="55"/>
        <v>22538327.960118648</v>
      </c>
      <c r="G107" s="1125">
        <f t="shared" si="55"/>
        <v>22538327.960118648</v>
      </c>
      <c r="H107" s="2123">
        <f t="shared" si="55"/>
        <v>22538327.960118648</v>
      </c>
      <c r="I107" s="150">
        <f t="shared" si="33"/>
        <v>130339410.9762383</v>
      </c>
      <c r="J107" s="150"/>
      <c r="L107" s="403"/>
    </row>
    <row r="108" spans="1:131" ht="13.2" x14ac:dyDescent="0.25">
      <c r="A108" s="2037" t="s">
        <v>150</v>
      </c>
      <c r="B108" s="151" t="s">
        <v>39</v>
      </c>
      <c r="C108" s="1139">
        <v>11.2</v>
      </c>
      <c r="D108" s="1139">
        <v>11.2</v>
      </c>
      <c r="E108" s="1139">
        <v>11.2</v>
      </c>
      <c r="F108" s="1139">
        <v>11.2</v>
      </c>
      <c r="G108" s="1139">
        <v>11.2</v>
      </c>
      <c r="H108" s="2070">
        <v>11.2</v>
      </c>
      <c r="I108" s="150">
        <f t="shared" si="33"/>
        <v>67.2</v>
      </c>
      <c r="J108" s="150"/>
      <c r="L108" s="403"/>
    </row>
    <row r="109" spans="1:131" ht="13.8" thickBot="1" x14ac:dyDescent="0.3">
      <c r="A109" s="153"/>
      <c r="B109" s="511"/>
      <c r="C109" s="1143"/>
      <c r="D109" s="1144"/>
      <c r="E109" s="1144"/>
      <c r="F109" s="1144"/>
      <c r="G109" s="1144"/>
      <c r="H109" s="2146"/>
      <c r="I109" s="150">
        <f t="shared" si="33"/>
        <v>0</v>
      </c>
      <c r="J109" s="150"/>
      <c r="L109" s="403"/>
    </row>
    <row r="110" spans="1:131" ht="13.8" thickBot="1" x14ac:dyDescent="0.3">
      <c r="A110" s="153" t="s">
        <v>364</v>
      </c>
      <c r="B110" s="151" t="s">
        <v>322</v>
      </c>
      <c r="C110" s="144">
        <f t="shared" ref="C110:H110" si="56">C107/(C108*1000)</f>
        <v>1866.7984254726887</v>
      </c>
      <c r="D110" s="145">
        <f t="shared" si="56"/>
        <v>1866.7984254726887</v>
      </c>
      <c r="E110" s="145">
        <f t="shared" si="56"/>
        <v>1866.7984254726887</v>
      </c>
      <c r="F110" s="145">
        <f t="shared" si="56"/>
        <v>2012.3507107248793</v>
      </c>
      <c r="G110" s="145">
        <f t="shared" si="56"/>
        <v>2012.3507107248793</v>
      </c>
      <c r="H110" s="2034">
        <f t="shared" si="56"/>
        <v>2012.3507107248793</v>
      </c>
      <c r="I110" s="150">
        <f t="shared" si="33"/>
        <v>11637.447408592703</v>
      </c>
      <c r="J110" s="150"/>
      <c r="L110" s="403"/>
    </row>
    <row r="111" spans="1:131" x14ac:dyDescent="0.2">
      <c r="A111" s="75"/>
      <c r="H111" s="171"/>
      <c r="I111" s="150"/>
      <c r="J111" s="150"/>
      <c r="L111" s="403"/>
    </row>
    <row r="112" spans="1:131" x14ac:dyDescent="0.2">
      <c r="A112" s="75"/>
      <c r="H112" s="171"/>
      <c r="I112" s="150"/>
      <c r="J112" s="150"/>
      <c r="L112" s="403"/>
    </row>
    <row r="113" spans="1:12" ht="13.2" x14ac:dyDescent="0.25">
      <c r="A113" s="147" t="s">
        <v>365</v>
      </c>
      <c r="B113" s="1135">
        <v>845</v>
      </c>
      <c r="C113" s="1125"/>
      <c r="D113" s="1125"/>
      <c r="E113" s="1125"/>
      <c r="F113" s="1125"/>
      <c r="G113" s="90"/>
      <c r="H113" s="48"/>
      <c r="I113" s="150"/>
      <c r="J113" s="150"/>
      <c r="L113" s="403"/>
    </row>
    <row r="114" spans="1:12" ht="13.2" x14ac:dyDescent="0.25">
      <c r="A114" s="2046" t="s">
        <v>310</v>
      </c>
      <c r="B114" s="1133"/>
      <c r="C114" s="1125"/>
      <c r="D114" s="1125"/>
      <c r="E114" s="1125"/>
      <c r="F114" s="1125"/>
      <c r="G114" s="90"/>
      <c r="H114" s="48"/>
      <c r="I114" s="150"/>
      <c r="J114" s="150"/>
      <c r="L114" s="403"/>
    </row>
    <row r="115" spans="1:12" x14ac:dyDescent="0.2">
      <c r="A115" s="2037" t="s">
        <v>311</v>
      </c>
      <c r="B115" s="90" t="s">
        <v>312</v>
      </c>
      <c r="C115" s="1126">
        <f>SUM(C116:C124)</f>
        <v>16464355.835294118</v>
      </c>
      <c r="D115" s="1126">
        <f t="shared" ref="D115" si="57">SUM(D116:D124)</f>
        <v>16464355.835294118</v>
      </c>
      <c r="E115" s="1126">
        <f t="shared" ref="E115" si="58">SUM(E116:E124)</f>
        <v>16464355.835294118</v>
      </c>
      <c r="F115" s="1126">
        <f t="shared" ref="F115" si="59">SUM(F116:F124)</f>
        <v>17880373.335294116</v>
      </c>
      <c r="G115" s="1126">
        <f t="shared" ref="G115" si="60">SUM(G116:G124)</f>
        <v>17880373.335294116</v>
      </c>
      <c r="H115" s="2047">
        <f t="shared" ref="H115" si="61">SUM(H116:H124)</f>
        <v>17880373.335294116</v>
      </c>
      <c r="I115" s="150">
        <f t="shared" si="33"/>
        <v>103034187.51176469</v>
      </c>
      <c r="J115" s="150"/>
      <c r="L115" s="403"/>
    </row>
    <row r="116" spans="1:12" x14ac:dyDescent="0.2">
      <c r="A116" s="2048" t="s">
        <v>753</v>
      </c>
      <c r="B116" s="90"/>
      <c r="C116" s="1129">
        <f>24928277/2.125</f>
        <v>11730953.882352941</v>
      </c>
      <c r="D116" s="1129">
        <f t="shared" ref="D116:E116" si="62">24928277/2.125</f>
        <v>11730953.882352941</v>
      </c>
      <c r="E116" s="1129">
        <f t="shared" si="62"/>
        <v>11730953.882352941</v>
      </c>
      <c r="F116" s="1129">
        <f>24928277/2.125+1416017.5</f>
        <v>13146971.382352941</v>
      </c>
      <c r="G116" s="1129">
        <f t="shared" ref="G116:H116" si="63">24928277/2.125+1416017.5</f>
        <v>13146971.382352941</v>
      </c>
      <c r="H116" s="1129">
        <f t="shared" si="63"/>
        <v>13146971.382352941</v>
      </c>
      <c r="I116" s="150">
        <f t="shared" si="33"/>
        <v>74633775.794117644</v>
      </c>
      <c r="J116" s="150"/>
      <c r="L116" s="403"/>
    </row>
    <row r="117" spans="1:12" x14ac:dyDescent="0.2">
      <c r="A117" s="2048" t="s">
        <v>758</v>
      </c>
      <c r="B117" s="90"/>
      <c r="C117" s="1129">
        <v>1613214</v>
      </c>
      <c r="D117" s="1129">
        <v>1613214</v>
      </c>
      <c r="E117" s="1129">
        <v>1613214</v>
      </c>
      <c r="F117" s="1129">
        <v>1613214</v>
      </c>
      <c r="G117" s="1129">
        <v>1613214</v>
      </c>
      <c r="H117" s="1129">
        <v>1613214</v>
      </c>
      <c r="I117" s="150">
        <f t="shared" si="33"/>
        <v>9679284</v>
      </c>
      <c r="J117" s="150"/>
      <c r="L117" s="403"/>
    </row>
    <row r="118" spans="1:12" x14ac:dyDescent="0.2">
      <c r="A118" s="2048" t="s">
        <v>754</v>
      </c>
      <c r="B118" s="90"/>
      <c r="C118" s="1129">
        <f>3164291/2.125</f>
        <v>1489078.1176470588</v>
      </c>
      <c r="D118" s="1129">
        <f t="shared" ref="D118:H118" si="64">3164291/2.125</f>
        <v>1489078.1176470588</v>
      </c>
      <c r="E118" s="1129">
        <f t="shared" si="64"/>
        <v>1489078.1176470588</v>
      </c>
      <c r="F118" s="1129">
        <f t="shared" si="64"/>
        <v>1489078.1176470588</v>
      </c>
      <c r="G118" s="1129">
        <f t="shared" si="64"/>
        <v>1489078.1176470588</v>
      </c>
      <c r="H118" s="1129">
        <f t="shared" si="64"/>
        <v>1489078.1176470588</v>
      </c>
      <c r="I118" s="150">
        <f t="shared" si="33"/>
        <v>8934468.7058823537</v>
      </c>
      <c r="J118" s="150"/>
      <c r="L118" s="403"/>
    </row>
    <row r="119" spans="1:12" x14ac:dyDescent="0.2">
      <c r="A119" s="2048" t="s">
        <v>755</v>
      </c>
      <c r="B119" s="90"/>
      <c r="C119" s="1129">
        <f>1494510/2.125</f>
        <v>703298.82352941181</v>
      </c>
      <c r="D119" s="1129">
        <f t="shared" ref="D119:H119" si="65">1494510/2.125</f>
        <v>703298.82352941181</v>
      </c>
      <c r="E119" s="1129">
        <f t="shared" si="65"/>
        <v>703298.82352941181</v>
      </c>
      <c r="F119" s="1129">
        <f t="shared" si="65"/>
        <v>703298.82352941181</v>
      </c>
      <c r="G119" s="1129">
        <f t="shared" si="65"/>
        <v>703298.82352941181</v>
      </c>
      <c r="H119" s="1129">
        <f t="shared" si="65"/>
        <v>703298.82352941181</v>
      </c>
      <c r="I119" s="150">
        <f t="shared" si="33"/>
        <v>4219792.9411764713</v>
      </c>
      <c r="J119" s="150"/>
      <c r="L119" s="403"/>
    </row>
    <row r="120" spans="1:12" x14ac:dyDescent="0.2">
      <c r="A120" s="2048" t="s">
        <v>752</v>
      </c>
      <c r="B120" s="90"/>
      <c r="C120" s="1129">
        <f>1738127*0.2/2.125</f>
        <v>163588.42352941178</v>
      </c>
      <c r="D120" s="1129">
        <f t="shared" ref="D120:H120" si="66">1738127*0.2/2.125</f>
        <v>163588.42352941178</v>
      </c>
      <c r="E120" s="1129">
        <f t="shared" si="66"/>
        <v>163588.42352941178</v>
      </c>
      <c r="F120" s="1129">
        <f t="shared" si="66"/>
        <v>163588.42352941178</v>
      </c>
      <c r="G120" s="1129">
        <f t="shared" si="66"/>
        <v>163588.42352941178</v>
      </c>
      <c r="H120" s="1129">
        <f t="shared" si="66"/>
        <v>163588.42352941178</v>
      </c>
      <c r="I120" s="150">
        <f t="shared" si="33"/>
        <v>981530.5411764707</v>
      </c>
      <c r="J120" s="150"/>
      <c r="L120" s="403"/>
    </row>
    <row r="121" spans="1:12" x14ac:dyDescent="0.2">
      <c r="A121" s="2048" t="s">
        <v>757</v>
      </c>
      <c r="B121" s="90"/>
      <c r="C121" s="1129">
        <f>1130038/2.125</f>
        <v>531782.5882352941</v>
      </c>
      <c r="D121" s="1129">
        <f t="shared" ref="D121:H121" si="67">1130038/2.125</f>
        <v>531782.5882352941</v>
      </c>
      <c r="E121" s="1129">
        <f t="shared" si="67"/>
        <v>531782.5882352941</v>
      </c>
      <c r="F121" s="1129">
        <f t="shared" si="67"/>
        <v>531782.5882352941</v>
      </c>
      <c r="G121" s="1129">
        <f t="shared" si="67"/>
        <v>531782.5882352941</v>
      </c>
      <c r="H121" s="1129">
        <f t="shared" si="67"/>
        <v>531782.5882352941</v>
      </c>
      <c r="I121" s="150">
        <f t="shared" si="33"/>
        <v>3190695.5294117643</v>
      </c>
      <c r="J121" s="150"/>
      <c r="L121" s="403"/>
    </row>
    <row r="122" spans="1:12" x14ac:dyDescent="0.2">
      <c r="A122" s="2048" t="s">
        <v>756</v>
      </c>
      <c r="B122" s="90"/>
      <c r="C122" s="1129">
        <v>13583</v>
      </c>
      <c r="D122" s="1129">
        <v>13583</v>
      </c>
      <c r="E122" s="1129">
        <v>13583</v>
      </c>
      <c r="F122" s="1129">
        <v>13583</v>
      </c>
      <c r="G122" s="1129">
        <v>13583</v>
      </c>
      <c r="H122" s="1129">
        <v>13583</v>
      </c>
      <c r="I122" s="150">
        <f t="shared" si="33"/>
        <v>81498</v>
      </c>
      <c r="J122" s="150"/>
      <c r="L122" s="403"/>
    </row>
    <row r="123" spans="1:12" x14ac:dyDescent="0.2">
      <c r="A123" s="2048" t="s">
        <v>814</v>
      </c>
      <c r="B123" s="90"/>
      <c r="C123" s="1129">
        <v>218857</v>
      </c>
      <c r="D123" s="1129">
        <v>218857</v>
      </c>
      <c r="E123" s="1129">
        <v>218857</v>
      </c>
      <c r="F123" s="1129">
        <v>218857</v>
      </c>
      <c r="G123" s="1129">
        <v>218857</v>
      </c>
      <c r="H123" s="1129">
        <v>218857</v>
      </c>
      <c r="I123" s="150">
        <f t="shared" si="33"/>
        <v>1313142</v>
      </c>
      <c r="J123" s="150"/>
      <c r="L123" s="403"/>
    </row>
    <row r="124" spans="1:12" x14ac:dyDescent="0.2">
      <c r="A124" s="2048" t="s">
        <v>815</v>
      </c>
      <c r="B124" s="90"/>
      <c r="C124" s="1129">
        <v>0</v>
      </c>
      <c r="D124" s="1129">
        <v>0</v>
      </c>
      <c r="E124" s="1129">
        <v>0</v>
      </c>
      <c r="F124" s="1129">
        <v>0</v>
      </c>
      <c r="G124" s="1129">
        <v>0</v>
      </c>
      <c r="H124" s="1129">
        <v>0</v>
      </c>
      <c r="I124" s="150">
        <f t="shared" si="33"/>
        <v>0</v>
      </c>
      <c r="J124" s="150"/>
      <c r="L124" s="403"/>
    </row>
    <row r="125" spans="1:12" x14ac:dyDescent="0.2">
      <c r="A125" s="2037" t="s">
        <v>313</v>
      </c>
      <c r="B125" s="90" t="s">
        <v>312</v>
      </c>
      <c r="C125" s="1169">
        <v>65196</v>
      </c>
      <c r="D125" s="1169">
        <v>65196</v>
      </c>
      <c r="E125" s="1169">
        <v>65196</v>
      </c>
      <c r="F125" s="1169">
        <f>150473.28+18435.1743122953</f>
        <v>168908.4543122953</v>
      </c>
      <c r="G125" s="1169">
        <f t="shared" ref="G125:H125" si="68">150473.28+18435.1743122953</f>
        <v>168908.4543122953</v>
      </c>
      <c r="H125" s="1169">
        <f t="shared" si="68"/>
        <v>168908.4543122953</v>
      </c>
      <c r="I125" s="150">
        <f t="shared" si="33"/>
        <v>702313.36293688591</v>
      </c>
      <c r="J125" s="150"/>
      <c r="L125" s="403"/>
    </row>
    <row r="126" spans="1:12" x14ac:dyDescent="0.2">
      <c r="A126" s="2037" t="s">
        <v>314</v>
      </c>
      <c r="B126" s="90" t="s">
        <v>312</v>
      </c>
      <c r="C126" s="1127">
        <v>370404.76</v>
      </c>
      <c r="D126" s="1127">
        <v>370404.76</v>
      </c>
      <c r="E126" s="1127">
        <v>370404.76</v>
      </c>
      <c r="F126" s="1127">
        <f>370404.76+29782.5333631342</f>
        <v>400187.2933631342</v>
      </c>
      <c r="G126" s="1127">
        <f t="shared" ref="G126:H126" si="69">370404.76+29782.5333631342</f>
        <v>400187.2933631342</v>
      </c>
      <c r="H126" s="1127">
        <f t="shared" si="69"/>
        <v>400187.2933631342</v>
      </c>
      <c r="I126" s="150">
        <f t="shared" ref="I126:I142" si="70">SUM(C126:H126)</f>
        <v>2311776.1600894025</v>
      </c>
      <c r="J126" s="150"/>
      <c r="L126" s="403"/>
    </row>
    <row r="127" spans="1:12" x14ac:dyDescent="0.2">
      <c r="A127" s="2037" t="s">
        <v>315</v>
      </c>
      <c r="B127" s="90"/>
      <c r="C127" s="1136"/>
      <c r="D127" s="1136"/>
      <c r="E127" s="1136"/>
      <c r="F127" s="1136"/>
      <c r="G127" s="1136"/>
      <c r="H127" s="2143"/>
      <c r="I127" s="150">
        <f t="shared" si="70"/>
        <v>0</v>
      </c>
      <c r="J127" s="150"/>
      <c r="L127" s="403"/>
    </row>
    <row r="128" spans="1:12" x14ac:dyDescent="0.2">
      <c r="A128" s="2037" t="s">
        <v>316</v>
      </c>
      <c r="B128" s="90"/>
      <c r="C128" s="1137">
        <f t="shared" ref="C128:H128" si="71">C19</f>
        <v>0</v>
      </c>
      <c r="D128" s="1137">
        <f t="shared" si="71"/>
        <v>0</v>
      </c>
      <c r="E128" s="1137">
        <f t="shared" si="71"/>
        <v>0</v>
      </c>
      <c r="F128" s="1137">
        <f t="shared" si="71"/>
        <v>0</v>
      </c>
      <c r="G128" s="1137">
        <f t="shared" si="71"/>
        <v>0</v>
      </c>
      <c r="H128" s="2071">
        <f t="shared" si="71"/>
        <v>0</v>
      </c>
      <c r="I128" s="150">
        <f t="shared" si="70"/>
        <v>0</v>
      </c>
      <c r="J128" s="150"/>
      <c r="L128" s="403"/>
    </row>
    <row r="129" spans="1:13" x14ac:dyDescent="0.2">
      <c r="A129" s="2037"/>
      <c r="B129" s="90"/>
      <c r="C129" s="1125"/>
      <c r="D129" s="1125"/>
      <c r="E129" s="1125"/>
      <c r="F129" s="1125"/>
      <c r="G129" s="90"/>
      <c r="H129" s="2053"/>
      <c r="I129" s="150">
        <f t="shared" si="70"/>
        <v>0</v>
      </c>
      <c r="J129" s="150"/>
      <c r="L129" s="403"/>
    </row>
    <row r="130" spans="1:13" ht="13.2" x14ac:dyDescent="0.25">
      <c r="A130" s="2046" t="s">
        <v>317</v>
      </c>
      <c r="B130" s="1133"/>
      <c r="C130" s="1125"/>
      <c r="D130" s="1125"/>
      <c r="E130" s="1125"/>
      <c r="F130" s="1125"/>
      <c r="G130" s="90"/>
      <c r="H130" s="48"/>
      <c r="I130" s="150">
        <f t="shared" si="70"/>
        <v>0</v>
      </c>
      <c r="J130" s="150"/>
      <c r="L130" s="403"/>
    </row>
    <row r="131" spans="1:13" x14ac:dyDescent="0.2">
      <c r="A131" s="2037" t="s">
        <v>318</v>
      </c>
      <c r="B131" s="90" t="s">
        <v>312</v>
      </c>
      <c r="C131" s="1169">
        <v>0</v>
      </c>
      <c r="D131" s="1169">
        <v>0</v>
      </c>
      <c r="E131" s="1169">
        <v>0</v>
      </c>
      <c r="F131" s="1169">
        <v>0</v>
      </c>
      <c r="G131" s="1169">
        <v>0</v>
      </c>
      <c r="H131" s="1169">
        <v>0</v>
      </c>
      <c r="I131" s="150">
        <f t="shared" si="70"/>
        <v>0</v>
      </c>
      <c r="J131" s="150"/>
      <c r="L131" s="403"/>
    </row>
    <row r="132" spans="1:13" x14ac:dyDescent="0.2">
      <c r="A132" s="2037"/>
      <c r="B132" s="90"/>
      <c r="C132" s="47"/>
      <c r="D132" s="1125"/>
      <c r="E132" s="1125"/>
      <c r="F132" s="1125"/>
      <c r="G132" s="90"/>
      <c r="H132" s="48"/>
      <c r="I132" s="150">
        <f t="shared" si="70"/>
        <v>0</v>
      </c>
      <c r="J132" s="150"/>
      <c r="L132" s="403"/>
    </row>
    <row r="133" spans="1:13" x14ac:dyDescent="0.2">
      <c r="A133" s="2037"/>
      <c r="B133" s="90"/>
      <c r="C133" s="1125"/>
      <c r="D133" s="1125"/>
      <c r="E133" s="1125"/>
      <c r="F133" s="1125"/>
      <c r="G133" s="90"/>
      <c r="H133" s="2060"/>
      <c r="I133" s="150">
        <f t="shared" si="70"/>
        <v>0</v>
      </c>
      <c r="J133" s="150"/>
      <c r="L133" s="403"/>
    </row>
    <row r="134" spans="1:13" ht="13.2" x14ac:dyDescent="0.25">
      <c r="A134" s="2037" t="s">
        <v>366</v>
      </c>
      <c r="B134" s="151" t="s">
        <v>320</v>
      </c>
      <c r="C134" s="1125">
        <f t="shared" ref="C134:H134" si="72">C115+C125+C126+C131</f>
        <v>16899956.595294118</v>
      </c>
      <c r="D134" s="1125">
        <f t="shared" si="72"/>
        <v>16899956.595294118</v>
      </c>
      <c r="E134" s="1125">
        <f t="shared" si="72"/>
        <v>16899956.595294118</v>
      </c>
      <c r="F134" s="1125">
        <f t="shared" si="72"/>
        <v>18449469.082969546</v>
      </c>
      <c r="G134" s="1125">
        <f t="shared" si="72"/>
        <v>18449469.082969546</v>
      </c>
      <c r="H134" s="2123">
        <f t="shared" si="72"/>
        <v>18449469.082969546</v>
      </c>
      <c r="I134" s="150">
        <f t="shared" si="70"/>
        <v>106048277.03479099</v>
      </c>
      <c r="J134" s="150"/>
      <c r="L134" s="403">
        <f>+C134+C125</f>
        <v>16965152.595294118</v>
      </c>
      <c r="M134" s="348">
        <f>+D134-159314</f>
        <v>16740642.595294118</v>
      </c>
    </row>
    <row r="135" spans="1:13" ht="13.2" x14ac:dyDescent="0.25">
      <c r="A135" s="2037" t="s">
        <v>150</v>
      </c>
      <c r="B135" s="151" t="s">
        <v>39</v>
      </c>
      <c r="C135" s="1129">
        <v>4</v>
      </c>
      <c r="D135" s="1129">
        <v>4</v>
      </c>
      <c r="E135" s="1129">
        <v>4</v>
      </c>
      <c r="F135" s="1129">
        <v>4</v>
      </c>
      <c r="G135" s="1129">
        <v>4</v>
      </c>
      <c r="H135" s="2050">
        <v>4</v>
      </c>
      <c r="I135" s="150">
        <f t="shared" si="70"/>
        <v>24</v>
      </c>
      <c r="J135" s="150"/>
      <c r="L135" s="403"/>
    </row>
    <row r="136" spans="1:13" ht="13.8" thickBot="1" x14ac:dyDescent="0.3">
      <c r="A136" s="153"/>
      <c r="B136" s="511"/>
      <c r="C136" s="1143"/>
      <c r="D136" s="1144"/>
      <c r="E136" s="1144"/>
      <c r="F136" s="1144"/>
      <c r="G136" s="1144"/>
      <c r="H136" s="2146"/>
      <c r="I136" s="150">
        <f t="shared" si="70"/>
        <v>0</v>
      </c>
      <c r="J136" s="150"/>
      <c r="L136" s="403"/>
    </row>
    <row r="137" spans="1:13" ht="13.8" thickBot="1" x14ac:dyDescent="0.3">
      <c r="A137" s="153" t="s">
        <v>367</v>
      </c>
      <c r="B137" s="151" t="s">
        <v>322</v>
      </c>
      <c r="C137" s="144">
        <f t="shared" ref="C137:H137" si="73">C134/(C135*1000)</f>
        <v>4224.9891488235298</v>
      </c>
      <c r="D137" s="145">
        <f t="shared" si="73"/>
        <v>4224.9891488235298</v>
      </c>
      <c r="E137" s="145">
        <f t="shared" si="73"/>
        <v>4224.9891488235298</v>
      </c>
      <c r="F137" s="145">
        <f t="shared" si="73"/>
        <v>4612.3672707423866</v>
      </c>
      <c r="G137" s="145">
        <f t="shared" si="73"/>
        <v>4612.3672707423866</v>
      </c>
      <c r="H137" s="2034">
        <f t="shared" si="73"/>
        <v>4612.3672707423866</v>
      </c>
      <c r="I137" s="150">
        <f t="shared" si="70"/>
        <v>26512.069258697749</v>
      </c>
      <c r="J137" s="150"/>
      <c r="L137" s="403"/>
    </row>
    <row r="138" spans="1:13" x14ac:dyDescent="0.2">
      <c r="A138" s="75"/>
      <c r="H138" s="171"/>
      <c r="I138" s="150">
        <f t="shared" si="70"/>
        <v>0</v>
      </c>
      <c r="J138" s="150"/>
    </row>
    <row r="139" spans="1:13" ht="13.2" thickBot="1" x14ac:dyDescent="0.25">
      <c r="A139" s="75"/>
      <c r="H139" s="171"/>
      <c r="I139" s="150">
        <f t="shared" si="70"/>
        <v>0</v>
      </c>
      <c r="J139" s="150"/>
    </row>
    <row r="140" spans="1:13" ht="13.8" thickBot="1" x14ac:dyDescent="0.3">
      <c r="A140" s="502" t="s">
        <v>148</v>
      </c>
      <c r="B140" s="503" t="s">
        <v>338</v>
      </c>
      <c r="C140" s="504">
        <f t="shared" ref="C140:H140" si="74">+(C134+C107+C79+C52+C25)/1000000</f>
        <v>276.58552576588232</v>
      </c>
      <c r="D140" s="504">
        <f t="shared" si="74"/>
        <v>355.21225343254901</v>
      </c>
      <c r="E140" s="504">
        <f t="shared" si="74"/>
        <v>489.9634436547712</v>
      </c>
      <c r="F140" s="504">
        <f t="shared" si="74"/>
        <v>509.2659282200446</v>
      </c>
      <c r="G140" s="504">
        <f t="shared" si="74"/>
        <v>508.51747722004461</v>
      </c>
      <c r="H140" s="505">
        <f t="shared" si="74"/>
        <v>507.76314622004463</v>
      </c>
      <c r="I140" s="150">
        <f t="shared" si="70"/>
        <v>2647.3077745133364</v>
      </c>
      <c r="J140" s="150"/>
    </row>
    <row r="141" spans="1:13" ht="13.2" thickBot="1" x14ac:dyDescent="0.25">
      <c r="A141" s="75"/>
      <c r="H141" s="171"/>
      <c r="I141" s="150">
        <f t="shared" si="70"/>
        <v>0</v>
      </c>
      <c r="J141" s="150"/>
    </row>
    <row r="142" spans="1:13" ht="13.8" thickBot="1" x14ac:dyDescent="0.3">
      <c r="A142" s="149" t="s">
        <v>354</v>
      </c>
      <c r="B142" s="649" t="s">
        <v>39</v>
      </c>
      <c r="C142" s="650">
        <f t="shared" ref="C142:H142" si="75">SUM(C26,C53,C80,C108,C135,)</f>
        <v>330.2</v>
      </c>
      <c r="D142" s="650">
        <f t="shared" si="75"/>
        <v>330.2</v>
      </c>
      <c r="E142" s="650">
        <f t="shared" si="75"/>
        <v>330.2</v>
      </c>
      <c r="F142" s="650">
        <f t="shared" si="75"/>
        <v>330.2</v>
      </c>
      <c r="G142" s="650">
        <f t="shared" si="75"/>
        <v>330.2</v>
      </c>
      <c r="H142" s="651">
        <f t="shared" si="75"/>
        <v>330.2</v>
      </c>
      <c r="I142" s="150">
        <f t="shared" si="70"/>
        <v>1981.2</v>
      </c>
      <c r="J142" s="150"/>
      <c r="L142" s="414"/>
    </row>
    <row r="144" spans="1:13" x14ac:dyDescent="0.2">
      <c r="C144" s="150"/>
    </row>
    <row r="145" spans="1:11" x14ac:dyDescent="0.2">
      <c r="C145" s="150">
        <f>+C11+C38+C65+C93+C120</f>
        <v>23063682.729411766</v>
      </c>
      <c r="D145" s="150">
        <f t="shared" ref="D145:H145" si="76">+D11+D38+D65+D93+D120</f>
        <v>23063682.729411766</v>
      </c>
      <c r="E145" s="150">
        <f t="shared" si="76"/>
        <v>23063682.729411766</v>
      </c>
      <c r="F145" s="150">
        <f t="shared" si="76"/>
        <v>23063682.729411766</v>
      </c>
      <c r="G145" s="150">
        <f t="shared" si="76"/>
        <v>23063682.729411766</v>
      </c>
      <c r="H145" s="150">
        <f t="shared" si="76"/>
        <v>23063682.729411766</v>
      </c>
    </row>
    <row r="146" spans="1:11" x14ac:dyDescent="0.2">
      <c r="C146" s="150"/>
      <c r="D146" s="150"/>
      <c r="E146" s="150"/>
      <c r="F146" s="150"/>
      <c r="G146" s="150"/>
      <c r="H146" s="150"/>
      <c r="I146" s="150"/>
      <c r="J146" s="150"/>
      <c r="K146" s="150"/>
    </row>
    <row r="148" spans="1:11" hidden="1" x14ac:dyDescent="0.2">
      <c r="A148" t="str">
        <f>+A115</f>
        <v xml:space="preserve">Fixed O&amp;M Charge Base </v>
      </c>
      <c r="B148" t="str">
        <f>+B115</f>
        <v>Rs/Month</v>
      </c>
      <c r="C148" s="150"/>
      <c r="D148" s="150"/>
      <c r="E148" s="150"/>
      <c r="F148" s="150"/>
      <c r="G148" s="150"/>
      <c r="H148" s="150"/>
      <c r="K148" s="281"/>
    </row>
    <row r="149" spans="1:11" hidden="1" x14ac:dyDescent="0.2">
      <c r="A149" t="str">
        <f t="shared" ref="A149:B150" si="77">+A125</f>
        <v>Corporate Costs CEB HQ</v>
      </c>
      <c r="B149" t="str">
        <f t="shared" si="77"/>
        <v>Rs/Month</v>
      </c>
      <c r="C149" s="150"/>
      <c r="D149" s="150"/>
      <c r="E149" s="150"/>
      <c r="F149" s="150"/>
      <c r="G149" s="150"/>
      <c r="H149" s="150"/>
      <c r="K149" s="281"/>
    </row>
    <row r="150" spans="1:11" hidden="1" x14ac:dyDescent="0.2">
      <c r="A150" t="str">
        <f t="shared" si="77"/>
        <v>Corporate Costs GL HQ</v>
      </c>
      <c r="B150" t="str">
        <f t="shared" si="77"/>
        <v>Rs/Month</v>
      </c>
      <c r="C150" s="150"/>
      <c r="D150" s="150"/>
      <c r="E150" s="150"/>
      <c r="F150" s="150"/>
      <c r="G150" s="150"/>
      <c r="H150" s="150"/>
      <c r="K150" s="281"/>
    </row>
    <row r="151" spans="1:11" hidden="1" x14ac:dyDescent="0.2"/>
    <row r="152" spans="1:11" hidden="1" x14ac:dyDescent="0.2"/>
    <row r="153" spans="1:11" hidden="1" x14ac:dyDescent="0.2">
      <c r="C153" s="412"/>
      <c r="D153" s="412"/>
      <c r="E153" s="412"/>
      <c r="F153" s="412"/>
      <c r="G153" s="412"/>
      <c r="H153" s="412"/>
      <c r="K153" s="1341"/>
    </row>
    <row r="154" spans="1:11" hidden="1" x14ac:dyDescent="0.2"/>
    <row r="155" spans="1:11" hidden="1" x14ac:dyDescent="0.2"/>
    <row r="156" spans="1:11" hidden="1" x14ac:dyDescent="0.2">
      <c r="C156" s="150"/>
      <c r="D156" s="150"/>
      <c r="E156" s="150"/>
      <c r="F156" s="150"/>
      <c r="G156" s="150"/>
      <c r="H156" s="150"/>
    </row>
    <row r="157" spans="1:11" hidden="1" x14ac:dyDescent="0.2">
      <c r="C157" s="150"/>
      <c r="D157" s="150"/>
      <c r="E157" s="150"/>
      <c r="F157" s="150"/>
      <c r="G157" s="150"/>
      <c r="H157" s="150"/>
    </row>
    <row r="158" spans="1:11" hidden="1" x14ac:dyDescent="0.2">
      <c r="C158" s="150"/>
      <c r="D158" s="150"/>
      <c r="E158" s="150"/>
      <c r="F158" s="150"/>
      <c r="G158" s="150"/>
      <c r="H158" s="150"/>
    </row>
    <row r="159" spans="1:11" hidden="1" x14ac:dyDescent="0.2">
      <c r="C159" s="134"/>
      <c r="D159" s="134"/>
      <c r="E159" s="134"/>
      <c r="F159" s="134"/>
      <c r="G159" s="134"/>
      <c r="H159" s="134"/>
    </row>
    <row r="160" spans="1:11" hidden="1" x14ac:dyDescent="0.2"/>
    <row r="161" spans="3:10" hidden="1" x14ac:dyDescent="0.2">
      <c r="C161" s="150"/>
      <c r="D161" s="150"/>
      <c r="E161" s="150"/>
      <c r="F161" s="150"/>
      <c r="G161" s="150"/>
      <c r="H161" s="150"/>
    </row>
    <row r="164" spans="3:10" x14ac:dyDescent="0.2">
      <c r="C164" s="444"/>
      <c r="D164" s="444"/>
      <c r="E164" s="444"/>
      <c r="F164" s="444"/>
      <c r="G164" s="444"/>
      <c r="H164" s="444"/>
      <c r="I164" s="444"/>
      <c r="J164" s="444"/>
    </row>
    <row r="165" spans="3:10" x14ac:dyDescent="0.2">
      <c r="C165" t="s">
        <v>1302</v>
      </c>
    </row>
    <row r="173" spans="3:10" x14ac:dyDescent="0.2">
      <c r="F173" s="150">
        <f>+I17+I44+I71+I99+I126</f>
        <v>190837121.54738018</v>
      </c>
    </row>
  </sheetData>
  <phoneticPr fontId="54" type="noConversion"/>
  <dataValidations count="3">
    <dataValidation type="list" allowBlank="1" showInputMessage="1" showErrorMessage="1" sqref="C32 B81 C25 C56" xr:uid="{00000000-0002-0000-0B00-000000000000}">
      <formula1>Currency</formula1>
    </dataValidation>
    <dataValidation type="list" allowBlank="1" showInputMessage="1" showErrorMessage="1" sqref="C30 C47 C54" xr:uid="{00000000-0002-0000-0B00-000001000000}">
      <formula1>Combustible</formula1>
    </dataValidation>
    <dataValidation type="list" allowBlank="1" showInputMessage="1" showErrorMessage="1" sqref="C31 C48 C55" xr:uid="{00000000-0002-0000-0B00-000002000000}">
      <formula1>Units</formula1>
    </dataValidation>
  </dataValidations>
  <pageMargins left="0.69" right="0" top="0.22" bottom="0" header="0.19684820647419074" footer="0.11810804899387577"/>
  <pageSetup paperSize="9" scale="51" orientation="landscape" r:id="rId1"/>
  <headerFooter alignWithMargins="0"/>
  <rowBreaks count="2" manualBreakCount="2">
    <brk id="48" max="7" man="1"/>
    <brk id="110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M41"/>
  <sheetViews>
    <sheetView view="pageBreakPreview" zoomScaleNormal="100" zoomScaleSheetLayoutView="100" workbookViewId="0">
      <selection activeCell="J22" sqref="J22"/>
    </sheetView>
  </sheetViews>
  <sheetFormatPr defaultRowHeight="12.6" x14ac:dyDescent="0.2"/>
  <cols>
    <col min="1" max="1" width="30.453125" customWidth="1"/>
    <col min="3" max="3" width="17.453125" hidden="1" customWidth="1"/>
    <col min="4" max="4" width="15.90625" hidden="1" customWidth="1"/>
    <col min="5" max="5" width="19.26953125" hidden="1" customWidth="1"/>
    <col min="6" max="6" width="19.26953125" customWidth="1"/>
    <col min="7" max="7" width="17.26953125" customWidth="1"/>
    <col min="8" max="9" width="17.90625" customWidth="1"/>
    <col min="10" max="10" width="17.453125" style="740" customWidth="1"/>
    <col min="11" max="11" width="16.26953125" bestFit="1" customWidth="1"/>
    <col min="12" max="12" width="14.6328125" bestFit="1" customWidth="1"/>
  </cols>
  <sheetData>
    <row r="1" spans="1:39" ht="17.399999999999999" x14ac:dyDescent="0.3">
      <c r="A1" s="53" t="s">
        <v>1148</v>
      </c>
      <c r="B1" s="131"/>
    </row>
    <row r="2" spans="1:39" ht="18" thickBot="1" x14ac:dyDescent="0.35">
      <c r="A2" s="53"/>
      <c r="B2" s="131"/>
      <c r="C2" s="298"/>
      <c r="D2" s="298"/>
      <c r="E2" s="298"/>
      <c r="F2" s="298"/>
      <c r="G2" s="298"/>
      <c r="H2" s="298"/>
      <c r="I2" s="298"/>
    </row>
    <row r="3" spans="1:39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841">
        <f>DispatchSchedule!K3</f>
        <v>46174</v>
      </c>
      <c r="I3" s="2697"/>
    </row>
    <row r="4" spans="1:39" ht="13.2" x14ac:dyDescent="0.25">
      <c r="A4" s="132" t="s">
        <v>1068</v>
      </c>
      <c r="B4" s="133"/>
      <c r="C4" s="1125"/>
      <c r="D4" s="1125"/>
      <c r="E4" s="1125"/>
      <c r="F4" s="1125"/>
      <c r="G4" s="90"/>
      <c r="H4" s="47"/>
    </row>
    <row r="5" spans="1:39" ht="13.2" x14ac:dyDescent="0.25">
      <c r="A5" s="1132" t="s">
        <v>310</v>
      </c>
      <c r="B5" s="1133"/>
      <c r="C5" s="1125"/>
      <c r="D5" s="1125"/>
      <c r="E5" s="1125"/>
      <c r="F5" s="1125"/>
      <c r="G5" s="90"/>
      <c r="H5" s="47"/>
    </row>
    <row r="6" spans="1:39" x14ac:dyDescent="0.2">
      <c r="A6" s="47" t="s">
        <v>311</v>
      </c>
      <c r="B6" s="90" t="s">
        <v>312</v>
      </c>
      <c r="C6" s="1118">
        <f>+C7+C8+C9+C10+C11+C12+C13+C14+C15</f>
        <v>249335600</v>
      </c>
      <c r="D6" s="1118">
        <f t="shared" ref="D6:H6" si="0">+D7+D8+D9+D10+D11+D12+D13+D14+D15</f>
        <v>259132897.24000001</v>
      </c>
      <c r="E6" s="1118">
        <f t="shared" si="0"/>
        <v>249335600</v>
      </c>
      <c r="F6" s="1118">
        <f t="shared" si="0"/>
        <v>249961100</v>
      </c>
      <c r="G6" s="1118">
        <f t="shared" si="0"/>
        <v>249961100</v>
      </c>
      <c r="H6" s="1126">
        <f t="shared" si="0"/>
        <v>249961100</v>
      </c>
      <c r="I6" s="2004">
        <f>SUM(C6:H6)</f>
        <v>1507687397.24</v>
      </c>
    </row>
    <row r="7" spans="1:39" x14ac:dyDescent="0.2">
      <c r="A7" s="1134" t="s">
        <v>753</v>
      </c>
      <c r="B7" s="90"/>
      <c r="C7" s="1127">
        <v>9668827</v>
      </c>
      <c r="D7" s="1127">
        <v>9668827</v>
      </c>
      <c r="E7" s="1127">
        <v>9668827</v>
      </c>
      <c r="F7" s="1127">
        <f>9668827+625500</f>
        <v>10294327</v>
      </c>
      <c r="G7" s="1127">
        <f t="shared" ref="G7:H7" si="1">9668827+625500</f>
        <v>10294327</v>
      </c>
      <c r="H7" s="1127">
        <f t="shared" si="1"/>
        <v>10294327</v>
      </c>
      <c r="I7" s="2004">
        <f>SUM(C7:H7)</f>
        <v>59889462</v>
      </c>
    </row>
    <row r="8" spans="1:39" x14ac:dyDescent="0.2">
      <c r="A8" s="1134" t="s">
        <v>758</v>
      </c>
      <c r="B8" s="90"/>
      <c r="C8" s="1127">
        <v>21195730</v>
      </c>
      <c r="D8" s="1127">
        <v>21195730</v>
      </c>
      <c r="E8" s="1127">
        <v>21195730</v>
      </c>
      <c r="F8" s="1127">
        <v>21195730</v>
      </c>
      <c r="G8" s="1127">
        <v>21195730</v>
      </c>
      <c r="H8" s="1127">
        <v>21195730</v>
      </c>
      <c r="I8" s="2004">
        <f t="shared" ref="I8:I32" si="2">SUM(C8:H8)</f>
        <v>127174380</v>
      </c>
    </row>
    <row r="9" spans="1:39" x14ac:dyDescent="0.2">
      <c r="A9" s="1134" t="s">
        <v>754</v>
      </c>
      <c r="B9" s="90"/>
      <c r="C9" s="1127">
        <v>1809484</v>
      </c>
      <c r="D9" s="1127">
        <v>1809484</v>
      </c>
      <c r="E9" s="1127">
        <v>1809484</v>
      </c>
      <c r="F9" s="1127">
        <v>1809484</v>
      </c>
      <c r="G9" s="1127">
        <v>1809484</v>
      </c>
      <c r="H9" s="1127">
        <v>1809484</v>
      </c>
      <c r="I9" s="2004">
        <f t="shared" si="2"/>
        <v>10856904</v>
      </c>
    </row>
    <row r="10" spans="1:39" x14ac:dyDescent="0.2">
      <c r="A10" s="1134" t="s">
        <v>755</v>
      </c>
      <c r="B10" s="90"/>
      <c r="C10" s="1127">
        <v>1451225</v>
      </c>
      <c r="D10" s="1127">
        <v>1451225</v>
      </c>
      <c r="E10" s="1127">
        <v>1451225</v>
      </c>
      <c r="F10" s="1127">
        <v>1451225</v>
      </c>
      <c r="G10" s="1127">
        <v>1451225</v>
      </c>
      <c r="H10" s="1127">
        <v>1451225</v>
      </c>
      <c r="I10" s="2004">
        <f t="shared" si="2"/>
        <v>8707350</v>
      </c>
    </row>
    <row r="11" spans="1:39" s="185" customFormat="1" ht="15" customHeight="1" x14ac:dyDescent="0.2">
      <c r="A11" s="1134" t="s">
        <v>752</v>
      </c>
      <c r="B11" s="90"/>
      <c r="C11" s="1127">
        <f>84714525*0.2</f>
        <v>16942905</v>
      </c>
      <c r="D11" s="1127">
        <f t="shared" ref="D11:H11" si="3">84714525*0.2</f>
        <v>16942905</v>
      </c>
      <c r="E11" s="1127">
        <f t="shared" si="3"/>
        <v>16942905</v>
      </c>
      <c r="F11" s="1127">
        <f t="shared" si="3"/>
        <v>16942905</v>
      </c>
      <c r="G11" s="1127">
        <f t="shared" si="3"/>
        <v>16942905</v>
      </c>
      <c r="H11" s="1127">
        <f t="shared" si="3"/>
        <v>16942905</v>
      </c>
      <c r="I11" s="2004">
        <f t="shared" si="2"/>
        <v>101657430</v>
      </c>
      <c r="J11" s="1824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customHeight="1" x14ac:dyDescent="0.2">
      <c r="A12" s="1134" t="s">
        <v>757</v>
      </c>
      <c r="B12" s="90"/>
      <c r="C12" s="1127">
        <v>5621501</v>
      </c>
      <c r="D12" s="1127">
        <f>5621501+9797297.24</f>
        <v>15418798.24</v>
      </c>
      <c r="E12" s="1127">
        <v>5621501</v>
      </c>
      <c r="F12" s="1127">
        <v>5621501</v>
      </c>
      <c r="G12" s="1127">
        <v>5621501</v>
      </c>
      <c r="H12" s="1127">
        <v>5621501</v>
      </c>
      <c r="I12" s="2004">
        <f t="shared" si="2"/>
        <v>43526303.240000002</v>
      </c>
    </row>
    <row r="13" spans="1:39" s="185" customFormat="1" ht="15" customHeight="1" x14ac:dyDescent="0.2">
      <c r="A13" s="1134" t="s">
        <v>756</v>
      </c>
      <c r="B13" s="90"/>
      <c r="C13" s="1169">
        <v>187500000</v>
      </c>
      <c r="D13" s="1169">
        <v>187500000</v>
      </c>
      <c r="E13" s="1169">
        <v>187500000</v>
      </c>
      <c r="F13" s="1169">
        <v>187500000</v>
      </c>
      <c r="G13" s="1169">
        <v>187500000</v>
      </c>
      <c r="H13" s="1169">
        <v>187500000</v>
      </c>
      <c r="I13" s="2004">
        <f t="shared" si="2"/>
        <v>1125000000</v>
      </c>
      <c r="J13" s="2612">
        <f>SUM(C13:H13)</f>
        <v>1125000000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x14ac:dyDescent="0.2">
      <c r="A14" s="1134" t="s">
        <v>814</v>
      </c>
      <c r="B14" s="90"/>
      <c r="C14" s="1127">
        <v>5145928</v>
      </c>
      <c r="D14" s="1127">
        <v>5145928</v>
      </c>
      <c r="E14" s="1127">
        <v>5145928</v>
      </c>
      <c r="F14" s="1127">
        <v>5145928</v>
      </c>
      <c r="G14" s="1127">
        <v>5145928</v>
      </c>
      <c r="H14" s="1127">
        <v>5145928</v>
      </c>
      <c r="I14" s="2004">
        <f t="shared" si="2"/>
        <v>30875568</v>
      </c>
    </row>
    <row r="15" spans="1:39" x14ac:dyDescent="0.2">
      <c r="A15" s="1134" t="s">
        <v>815</v>
      </c>
      <c r="B15" s="90"/>
      <c r="C15" s="1127">
        <v>0</v>
      </c>
      <c r="D15" s="1127">
        <v>0</v>
      </c>
      <c r="E15" s="1127">
        <v>0</v>
      </c>
      <c r="F15" s="1127">
        <v>0</v>
      </c>
      <c r="G15" s="1127">
        <v>0</v>
      </c>
      <c r="H15" s="1127">
        <v>0</v>
      </c>
      <c r="I15" s="2004">
        <f t="shared" si="2"/>
        <v>0</v>
      </c>
    </row>
    <row r="16" spans="1:39" x14ac:dyDescent="0.2">
      <c r="A16" s="47" t="s">
        <v>313</v>
      </c>
      <c r="B16" s="90" t="s">
        <v>312</v>
      </c>
      <c r="C16" s="1169">
        <v>1686956</v>
      </c>
      <c r="D16" s="1169">
        <v>1686956</v>
      </c>
      <c r="E16" s="1169">
        <v>1686956</v>
      </c>
      <c r="F16" s="1169">
        <f>3893496.08+477010.135330641</f>
        <v>4370506.2153306408</v>
      </c>
      <c r="G16" s="1169">
        <f t="shared" ref="G16:H16" si="4">3893496.08+477010.135330641</f>
        <v>4370506.2153306408</v>
      </c>
      <c r="H16" s="1169">
        <f t="shared" si="4"/>
        <v>4370506.2153306408</v>
      </c>
      <c r="I16" s="2004">
        <f t="shared" si="2"/>
        <v>18172386.645991925</v>
      </c>
    </row>
    <row r="17" spans="1:39" x14ac:dyDescent="0.2">
      <c r="A17" s="47" t="s">
        <v>314</v>
      </c>
      <c r="B17" s="90" t="s">
        <v>312</v>
      </c>
      <c r="C17" s="1127">
        <v>3222278.29</v>
      </c>
      <c r="D17" s="1127">
        <v>3222278.29</v>
      </c>
      <c r="E17" s="1127">
        <v>3222278.29</v>
      </c>
      <c r="F17" s="1127">
        <f>3222278.29+602743.770788528</f>
        <v>3825022.0607885281</v>
      </c>
      <c r="G17" s="1127">
        <f t="shared" ref="G17:H17" si="5">3222278.29+602743.770788528</f>
        <v>3825022.0607885281</v>
      </c>
      <c r="H17" s="1127">
        <f t="shared" si="5"/>
        <v>3825022.0607885281</v>
      </c>
      <c r="I17" s="2004">
        <f t="shared" si="2"/>
        <v>21141901.052365582</v>
      </c>
      <c r="J17" s="2613">
        <f>SUM(C17:H17)</f>
        <v>21141901.052365582</v>
      </c>
    </row>
    <row r="18" spans="1:39" x14ac:dyDescent="0.2">
      <c r="A18" s="47" t="s">
        <v>315</v>
      </c>
      <c r="B18" s="90"/>
      <c r="C18" s="1128"/>
      <c r="D18" s="1128"/>
      <c r="E18" s="1128"/>
      <c r="F18" s="1128"/>
      <c r="G18" s="1128"/>
      <c r="H18" s="1128"/>
      <c r="I18" s="2004">
        <f t="shared" si="2"/>
        <v>0</v>
      </c>
    </row>
    <row r="19" spans="1:39" x14ac:dyDescent="0.2">
      <c r="A19" s="47" t="s">
        <v>316</v>
      </c>
      <c r="B19" s="90"/>
      <c r="C19" s="1128"/>
      <c r="D19" s="1128"/>
      <c r="E19" s="1128"/>
      <c r="F19" s="1128"/>
      <c r="G19" s="1128"/>
      <c r="H19" s="1128"/>
      <c r="I19" s="2004">
        <f t="shared" si="2"/>
        <v>0</v>
      </c>
    </row>
    <row r="20" spans="1:39" x14ac:dyDescent="0.2">
      <c r="A20" s="47"/>
      <c r="B20" s="90"/>
      <c r="C20" s="1125"/>
      <c r="D20" s="1125"/>
      <c r="E20" s="1125"/>
      <c r="F20" s="1125"/>
      <c r="G20" s="90"/>
      <c r="H20" s="90"/>
      <c r="I20" s="2004">
        <f t="shared" si="2"/>
        <v>0</v>
      </c>
      <c r="K20" s="402">
        <f>37.69*1000000</f>
        <v>37690000</v>
      </c>
    </row>
    <row r="21" spans="1:39" ht="13.2" x14ac:dyDescent="0.25">
      <c r="A21" s="1132" t="s">
        <v>317</v>
      </c>
      <c r="B21" s="1133"/>
      <c r="C21" s="1125"/>
      <c r="D21" s="1125"/>
      <c r="E21" s="1125"/>
      <c r="F21" s="1125"/>
      <c r="G21" s="90"/>
      <c r="H21" s="47"/>
      <c r="I21" s="2004">
        <f t="shared" si="2"/>
        <v>0</v>
      </c>
    </row>
    <row r="22" spans="1:39" x14ac:dyDescent="0.2">
      <c r="A22" s="47" t="s">
        <v>318</v>
      </c>
      <c r="B22" s="90" t="s">
        <v>312</v>
      </c>
      <c r="C22" s="1169">
        <v>266666666.66999999</v>
      </c>
      <c r="D22" s="1169">
        <v>266666666.66999999</v>
      </c>
      <c r="E22" s="1169">
        <v>266666666.66999999</v>
      </c>
      <c r="F22" s="1169">
        <v>266666666.66999999</v>
      </c>
      <c r="G22" s="1169">
        <v>266666666.66999999</v>
      </c>
      <c r="H22" s="1169">
        <v>266666666.66999999</v>
      </c>
      <c r="I22" s="2004">
        <f t="shared" si="2"/>
        <v>1600000000.02</v>
      </c>
      <c r="J22" s="2613">
        <f>SUM(C22:H22)</f>
        <v>1600000000.02</v>
      </c>
      <c r="K22" s="402">
        <f>+K20/6</f>
        <v>6281666.666666667</v>
      </c>
    </row>
    <row r="23" spans="1:39" x14ac:dyDescent="0.2">
      <c r="A23" s="47"/>
      <c r="B23" s="90"/>
      <c r="C23" s="47"/>
      <c r="D23" s="1125"/>
      <c r="E23" s="1125"/>
      <c r="F23" s="1125"/>
      <c r="G23" s="90"/>
      <c r="H23" s="47"/>
      <c r="I23" s="2004">
        <f t="shared" si="2"/>
        <v>0</v>
      </c>
    </row>
    <row r="24" spans="1:39" s="1814" customFormat="1" hidden="1" x14ac:dyDescent="0.2">
      <c r="A24" s="1818" t="s">
        <v>1072</v>
      </c>
      <c r="B24" s="1812" t="s">
        <v>388</v>
      </c>
      <c r="C24" s="1813"/>
      <c r="D24" s="1813"/>
      <c r="E24" s="1813"/>
      <c r="F24" s="1813"/>
      <c r="G24" s="1813"/>
      <c r="H24" s="1813"/>
      <c r="I24" s="2004">
        <f t="shared" si="2"/>
        <v>0</v>
      </c>
      <c r="J24" s="740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ht="13.2" x14ac:dyDescent="0.25">
      <c r="A25" s="512" t="s">
        <v>1070</v>
      </c>
      <c r="B25" s="151" t="s">
        <v>320</v>
      </c>
      <c r="C25" s="1131">
        <f t="shared" ref="C25:H25" si="6">C6+C16+C17+C22</f>
        <v>520911500.95999998</v>
      </c>
      <c r="D25" s="1131">
        <f t="shared" si="6"/>
        <v>530708798.19999999</v>
      </c>
      <c r="E25" s="1131">
        <f t="shared" si="6"/>
        <v>520911500.95999998</v>
      </c>
      <c r="F25" s="1131">
        <f t="shared" si="6"/>
        <v>524823294.94611919</v>
      </c>
      <c r="G25" s="1131">
        <f t="shared" si="6"/>
        <v>524823294.94611919</v>
      </c>
      <c r="H25" s="1131">
        <f t="shared" si="6"/>
        <v>524823294.94611919</v>
      </c>
      <c r="I25" s="2004">
        <f t="shared" si="2"/>
        <v>3147001684.9583578</v>
      </c>
      <c r="K25" s="150">
        <f>+I13-1125000000</f>
        <v>0</v>
      </c>
    </row>
    <row r="26" spans="1:39" ht="13.2" x14ac:dyDescent="0.25">
      <c r="A26" s="47" t="s">
        <v>150</v>
      </c>
      <c r="B26" s="139" t="s">
        <v>39</v>
      </c>
      <c r="C26" s="1140">
        <v>103.5</v>
      </c>
      <c r="D26" s="1140">
        <v>103.5</v>
      </c>
      <c r="E26" s="1140">
        <v>103.5</v>
      </c>
      <c r="F26" s="1140">
        <v>103.5</v>
      </c>
      <c r="G26" s="1140">
        <v>103.5</v>
      </c>
      <c r="H26" s="1140">
        <v>103.5</v>
      </c>
      <c r="I26" s="2004">
        <f t="shared" si="2"/>
        <v>621</v>
      </c>
      <c r="J26" s="1811"/>
    </row>
    <row r="27" spans="1:39" ht="13.2" x14ac:dyDescent="0.25">
      <c r="A27" s="140"/>
      <c r="B27" s="141"/>
      <c r="C27" s="143"/>
      <c r="D27" s="143"/>
      <c r="E27" s="143"/>
      <c r="F27" s="143"/>
      <c r="G27" s="143"/>
      <c r="H27" s="143"/>
      <c r="I27" s="2004">
        <f t="shared" si="2"/>
        <v>0</v>
      </c>
      <c r="K27" s="150">
        <f>+C25+C16</f>
        <v>522598456.95999998</v>
      </c>
      <c r="L27" s="348">
        <f>+D25-4122247</f>
        <v>526586551.19999999</v>
      </c>
    </row>
    <row r="28" spans="1:39" ht="13.2" x14ac:dyDescent="0.25">
      <c r="A28" s="140" t="s">
        <v>1071</v>
      </c>
      <c r="B28" s="141" t="s">
        <v>322</v>
      </c>
      <c r="C28" s="145">
        <f>C25/(C26*1000)</f>
        <v>5032.9613619323673</v>
      </c>
      <c r="D28" s="145">
        <f t="shared" ref="D28:H28" si="7">D25/(D26*1000)</f>
        <v>5127.6212386473426</v>
      </c>
      <c r="E28" s="145">
        <f t="shared" si="7"/>
        <v>5032.9613619323673</v>
      </c>
      <c r="F28" s="145">
        <f t="shared" si="7"/>
        <v>5070.7564729093638</v>
      </c>
      <c r="G28" s="145">
        <f t="shared" si="7"/>
        <v>5070.7564729093638</v>
      </c>
      <c r="H28" s="145">
        <f t="shared" si="7"/>
        <v>5070.7564729093638</v>
      </c>
      <c r="I28" s="2004">
        <f t="shared" si="2"/>
        <v>30405.813381240172</v>
      </c>
    </row>
    <row r="29" spans="1:39" s="1814" customFormat="1" ht="13.2" hidden="1" x14ac:dyDescent="0.25">
      <c r="A29" s="1815" t="s">
        <v>1071</v>
      </c>
      <c r="B29" s="1816" t="s">
        <v>214</v>
      </c>
      <c r="C29" s="1817"/>
      <c r="D29" s="1817"/>
      <c r="E29" s="1817"/>
      <c r="F29" s="1817"/>
      <c r="G29" s="1817"/>
      <c r="H29" s="1817"/>
      <c r="I29" s="2004">
        <f t="shared" si="2"/>
        <v>0</v>
      </c>
      <c r="J29" s="740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x14ac:dyDescent="0.2">
      <c r="I30" s="2004">
        <f t="shared" si="2"/>
        <v>0</v>
      </c>
    </row>
    <row r="31" spans="1:39" x14ac:dyDescent="0.2">
      <c r="I31" s="2004">
        <f t="shared" si="2"/>
        <v>0</v>
      </c>
    </row>
    <row r="32" spans="1:39" ht="13.2" x14ac:dyDescent="0.25">
      <c r="A32" s="507" t="s">
        <v>148</v>
      </c>
      <c r="B32" s="508" t="s">
        <v>460</v>
      </c>
      <c r="C32" s="1235">
        <f>C25/1000000</f>
        <v>520.91150096000001</v>
      </c>
      <c r="D32" s="1235">
        <f t="shared" ref="D32:H32" si="8">D25/1000000</f>
        <v>530.70879819999993</v>
      </c>
      <c r="E32" s="1235">
        <f t="shared" si="8"/>
        <v>520.91150096000001</v>
      </c>
      <c r="F32" s="1235">
        <f t="shared" si="8"/>
        <v>524.82329494611918</v>
      </c>
      <c r="G32" s="1235">
        <f t="shared" si="8"/>
        <v>524.82329494611918</v>
      </c>
      <c r="H32" s="1235">
        <f t="shared" si="8"/>
        <v>524.82329494611918</v>
      </c>
      <c r="I32" s="2004">
        <f t="shared" si="2"/>
        <v>3147.0016849583571</v>
      </c>
    </row>
    <row r="37" spans="3:9" x14ac:dyDescent="0.2">
      <c r="C37" s="150"/>
      <c r="D37" s="150"/>
      <c r="E37" s="150"/>
      <c r="F37" s="150"/>
      <c r="G37" s="150"/>
      <c r="H37" s="150"/>
      <c r="I37" s="150"/>
    </row>
    <row r="41" spans="3:9" x14ac:dyDescent="0.2">
      <c r="G41" s="150">
        <f>+J17</f>
        <v>21141901.052365582</v>
      </c>
    </row>
  </sheetData>
  <dataValidations disablePrompts="1" count="1">
    <dataValidation type="list" allowBlank="1" showInputMessage="1" showErrorMessage="1" sqref="C25" xr:uid="{00000000-0002-0000-0C00-000000000000}">
      <formula1>Currency</formula1>
    </dataValidation>
  </dataValidations>
  <pageMargins left="0.69" right="0" top="0.22" bottom="0" header="0.19684820647419074" footer="0.11810804899387577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7">
    <tabColor rgb="FFFFC000"/>
    <pageSetUpPr fitToPage="1"/>
  </sheetPr>
  <dimension ref="A1:T96"/>
  <sheetViews>
    <sheetView showGridLines="0" view="pageBreakPreview" zoomScale="85" zoomScaleNormal="85" zoomScaleSheetLayoutView="85" workbookViewId="0">
      <selection activeCell="C1" sqref="C1:E1048576"/>
    </sheetView>
  </sheetViews>
  <sheetFormatPr defaultRowHeight="12.6" x14ac:dyDescent="0.2"/>
  <cols>
    <col min="1" max="1" width="44.26953125" customWidth="1"/>
    <col min="2" max="2" width="10.08984375" style="2" customWidth="1"/>
    <col min="3" max="3" width="20.453125" hidden="1" customWidth="1"/>
    <col min="4" max="4" width="16.7265625" hidden="1" customWidth="1"/>
    <col min="5" max="5" width="16.90625" hidden="1" customWidth="1"/>
    <col min="6" max="8" width="16.90625" bestFit="1" customWidth="1"/>
    <col min="9" max="9" width="19.7265625" customWidth="1"/>
    <col min="10" max="10" width="19.08984375" bestFit="1" customWidth="1"/>
    <col min="11" max="11" width="17.36328125" bestFit="1" customWidth="1"/>
  </cols>
  <sheetData>
    <row r="1" spans="1:20" ht="17.399999999999999" x14ac:dyDescent="0.3">
      <c r="A1" s="53" t="s">
        <v>368</v>
      </c>
      <c r="B1" s="131">
        <v>813</v>
      </c>
      <c r="C1" s="154" t="s">
        <v>369</v>
      </c>
      <c r="E1" s="436"/>
      <c r="F1" s="257"/>
      <c r="I1" s="561"/>
    </row>
    <row r="2" spans="1:20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20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841">
        <f>DispatchSchedule!K3</f>
        <v>46174</v>
      </c>
    </row>
    <row r="4" spans="1:20" ht="13.2" x14ac:dyDescent="0.25">
      <c r="A4" s="132" t="s">
        <v>122</v>
      </c>
      <c r="B4" s="151"/>
      <c r="C4" s="1125"/>
      <c r="D4" s="1125"/>
      <c r="E4" s="1125"/>
      <c r="F4" s="1125"/>
      <c r="G4" s="90"/>
      <c r="H4" s="47"/>
    </row>
    <row r="5" spans="1:20" ht="13.2" x14ac:dyDescent="0.25">
      <c r="A5" s="1132" t="s">
        <v>310</v>
      </c>
      <c r="B5" s="1133"/>
      <c r="C5" s="1125"/>
      <c r="D5" s="1125"/>
      <c r="E5" s="1125"/>
      <c r="F5" s="1125"/>
      <c r="G5" s="90"/>
      <c r="H5" s="47"/>
      <c r="I5" s="2"/>
    </row>
    <row r="6" spans="1:20" x14ac:dyDescent="0.2">
      <c r="A6" s="47" t="s">
        <v>311</v>
      </c>
      <c r="B6" s="90" t="s">
        <v>312</v>
      </c>
      <c r="C6" s="1213">
        <f>SUM(C7:C15)</f>
        <v>33740317.107999995</v>
      </c>
      <c r="D6" s="1213">
        <f t="shared" ref="D6:H6" si="0">SUM(D7:D15)</f>
        <v>41270264.478</v>
      </c>
      <c r="E6" s="1213">
        <f t="shared" si="0"/>
        <v>35383509.107999995</v>
      </c>
      <c r="F6" s="1213">
        <f t="shared" si="0"/>
        <v>40420613.798140854</v>
      </c>
      <c r="G6" s="1213">
        <f t="shared" si="0"/>
        <v>40392199.798140854</v>
      </c>
      <c r="H6" s="1213">
        <f t="shared" si="0"/>
        <v>40363525.798140854</v>
      </c>
      <c r="I6" s="159">
        <f>SUM(C6:H6)</f>
        <v>231570430.08842254</v>
      </c>
      <c r="O6" s="150"/>
      <c r="P6" s="150"/>
      <c r="Q6" s="150"/>
      <c r="R6" s="150"/>
      <c r="S6" s="150"/>
      <c r="T6" s="150"/>
    </row>
    <row r="7" spans="1:20" x14ac:dyDescent="0.2">
      <c r="A7" s="1134" t="s">
        <v>753</v>
      </c>
      <c r="B7" s="90"/>
      <c r="C7" s="1214">
        <v>14484617.4</v>
      </c>
      <c r="D7" s="1214">
        <v>14484617.4</v>
      </c>
      <c r="E7" s="1214">
        <v>14484617.4</v>
      </c>
      <c r="F7" s="1214">
        <f>14484617.4+4420906.69014085</f>
        <v>18905524.090140849</v>
      </c>
      <c r="G7" s="1214">
        <f t="shared" ref="G7:H7" si="1">14484617.4+4420906.69014085</f>
        <v>18905524.090140849</v>
      </c>
      <c r="H7" s="1214">
        <f t="shared" si="1"/>
        <v>18905524.090140849</v>
      </c>
      <c r="I7" s="159">
        <f>SUM(C7:H7)</f>
        <v>100170424.47042255</v>
      </c>
      <c r="J7" s="150"/>
      <c r="O7" s="150"/>
      <c r="P7" s="150"/>
      <c r="Q7" s="150"/>
      <c r="R7" s="150"/>
      <c r="S7" s="150"/>
      <c r="T7" s="150"/>
    </row>
    <row r="8" spans="1:20" x14ac:dyDescent="0.2">
      <c r="A8" s="1134" t="s">
        <v>758</v>
      </c>
      <c r="B8" s="90"/>
      <c r="C8" s="1214">
        <v>4765258.22</v>
      </c>
      <c r="D8" s="1214">
        <v>4765258.22</v>
      </c>
      <c r="E8" s="1214">
        <v>4765258.22</v>
      </c>
      <c r="F8" s="1214">
        <v>4765258.22</v>
      </c>
      <c r="G8" s="1214">
        <v>4765258.22</v>
      </c>
      <c r="H8" s="1214">
        <v>4765258.22</v>
      </c>
      <c r="I8" s="159">
        <f t="shared" ref="I8:I68" si="2">SUM(C8:H8)</f>
        <v>28591549.319999997</v>
      </c>
      <c r="J8" s="150"/>
      <c r="O8" s="150"/>
      <c r="P8" s="150"/>
      <c r="Q8" s="150"/>
      <c r="R8" s="150"/>
      <c r="S8" s="150"/>
      <c r="T8" s="150"/>
    </row>
    <row r="9" spans="1:20" x14ac:dyDescent="0.2">
      <c r="A9" s="1134" t="s">
        <v>754</v>
      </c>
      <c r="B9" s="90"/>
      <c r="C9" s="1214">
        <v>1568661.53</v>
      </c>
      <c r="D9" s="1214">
        <v>1568661.53</v>
      </c>
      <c r="E9" s="1214">
        <v>1568661.53</v>
      </c>
      <c r="F9" s="1214">
        <v>1568661.53</v>
      </c>
      <c r="G9" s="1214">
        <v>1568661.53</v>
      </c>
      <c r="H9" s="1214">
        <v>1568661.53</v>
      </c>
      <c r="I9" s="159">
        <f t="shared" si="2"/>
        <v>9411969.1799999997</v>
      </c>
      <c r="J9" s="150"/>
      <c r="O9" s="150"/>
      <c r="P9" s="150"/>
      <c r="Q9" s="150"/>
      <c r="R9" s="150"/>
      <c r="S9" s="150"/>
      <c r="T9" s="150"/>
    </row>
    <row r="10" spans="1:20" x14ac:dyDescent="0.2">
      <c r="A10" s="1134" t="s">
        <v>755</v>
      </c>
      <c r="B10" s="90"/>
      <c r="C10" s="1214">
        <v>825232.64</v>
      </c>
      <c r="D10" s="1214">
        <v>825232.64</v>
      </c>
      <c r="E10" s="1214">
        <v>825232.64</v>
      </c>
      <c r="F10" s="1214">
        <v>825232.64</v>
      </c>
      <c r="G10" s="1214">
        <v>825232.64</v>
      </c>
      <c r="H10" s="1214">
        <v>825232.64</v>
      </c>
      <c r="I10" s="159">
        <f t="shared" si="2"/>
        <v>4951395.84</v>
      </c>
      <c r="J10" s="150"/>
      <c r="O10" s="150"/>
      <c r="P10" s="150"/>
      <c r="Q10" s="150"/>
      <c r="R10" s="150"/>
      <c r="S10" s="150"/>
      <c r="T10" s="150"/>
    </row>
    <row r="11" spans="1:20" x14ac:dyDescent="0.2">
      <c r="A11" s="1134" t="s">
        <v>752</v>
      </c>
      <c r="B11" s="90"/>
      <c r="C11" s="1214">
        <f>3547594.04*0.2</f>
        <v>709518.80800000008</v>
      </c>
      <c r="D11" s="1214">
        <f t="shared" ref="D11:H11" si="3">3547594.04*0.2</f>
        <v>709518.80800000008</v>
      </c>
      <c r="E11" s="1214">
        <f t="shared" si="3"/>
        <v>709518.80800000008</v>
      </c>
      <c r="F11" s="1214">
        <f t="shared" si="3"/>
        <v>709518.80800000008</v>
      </c>
      <c r="G11" s="1214">
        <f t="shared" si="3"/>
        <v>709518.80800000008</v>
      </c>
      <c r="H11" s="1214">
        <f t="shared" si="3"/>
        <v>709518.80800000008</v>
      </c>
      <c r="I11" s="159">
        <f t="shared" si="2"/>
        <v>4257112.8480000002</v>
      </c>
      <c r="J11" s="150"/>
      <c r="O11" s="150"/>
      <c r="P11" s="150"/>
      <c r="Q11" s="150"/>
      <c r="R11" s="150"/>
      <c r="S11" s="150"/>
      <c r="T11" s="150"/>
    </row>
    <row r="12" spans="1:20" x14ac:dyDescent="0.2">
      <c r="A12" s="1134" t="s">
        <v>757</v>
      </c>
      <c r="B12" s="90"/>
      <c r="C12" s="1214">
        <v>6207333.9900000002</v>
      </c>
      <c r="D12" s="1214">
        <f>6207333.99+6626191.37</f>
        <v>12833525.359999999</v>
      </c>
      <c r="E12" s="1214">
        <v>6207333.9900000002</v>
      </c>
      <c r="F12" s="1214">
        <v>6207333.9900000002</v>
      </c>
      <c r="G12" s="1214">
        <v>6207333.9900000002</v>
      </c>
      <c r="H12" s="1214">
        <v>6207333.9900000002</v>
      </c>
      <c r="I12" s="159">
        <f t="shared" si="2"/>
        <v>43870195.31000001</v>
      </c>
      <c r="J12" s="150" t="s">
        <v>1341</v>
      </c>
      <c r="O12" s="150"/>
      <c r="P12" s="150"/>
      <c r="Q12" s="150"/>
      <c r="R12" s="150"/>
      <c r="S12" s="150"/>
      <c r="T12" s="150"/>
    </row>
    <row r="13" spans="1:20" x14ac:dyDescent="0.2">
      <c r="A13" s="1825" t="s">
        <v>756</v>
      </c>
      <c r="B13" s="90"/>
      <c r="C13" s="1214">
        <v>0</v>
      </c>
      <c r="D13" s="1214">
        <v>903756</v>
      </c>
      <c r="E13" s="1214">
        <v>1643192</v>
      </c>
      <c r="F13" s="1214">
        <v>2259390</v>
      </c>
      <c r="G13" s="1214">
        <v>2230976</v>
      </c>
      <c r="H13" s="1214">
        <v>2202302</v>
      </c>
      <c r="I13" s="159">
        <f t="shared" si="2"/>
        <v>9239616</v>
      </c>
      <c r="J13" s="150">
        <v>6666667</v>
      </c>
      <c r="O13" s="150"/>
      <c r="P13" s="150"/>
      <c r="Q13" s="150"/>
      <c r="R13" s="150"/>
      <c r="S13" s="150"/>
      <c r="T13" s="150"/>
    </row>
    <row r="14" spans="1:20" x14ac:dyDescent="0.2">
      <c r="A14" s="1134" t="s">
        <v>814</v>
      </c>
      <c r="B14" s="90"/>
      <c r="C14" s="1214">
        <v>5179694.5199999996</v>
      </c>
      <c r="D14" s="1214">
        <v>5179694.5199999996</v>
      </c>
      <c r="E14" s="1214">
        <v>5179694.5199999996</v>
      </c>
      <c r="F14" s="1214">
        <v>5179694.5199999996</v>
      </c>
      <c r="G14" s="1214">
        <v>5179694.5199999996</v>
      </c>
      <c r="H14" s="1214">
        <v>5179694.5199999996</v>
      </c>
      <c r="I14" s="159">
        <f t="shared" si="2"/>
        <v>31078167.119999997</v>
      </c>
      <c r="J14" s="150">
        <v>6666667</v>
      </c>
      <c r="O14" s="150"/>
      <c r="P14" s="150"/>
      <c r="Q14" s="150"/>
      <c r="R14" s="150"/>
      <c r="S14" s="150"/>
      <c r="T14" s="150"/>
    </row>
    <row r="15" spans="1:20" x14ac:dyDescent="0.2">
      <c r="A15" s="1134" t="s">
        <v>815</v>
      </c>
      <c r="B15" s="90"/>
      <c r="C15" s="1214"/>
      <c r="D15" s="1214"/>
      <c r="E15" s="1214"/>
      <c r="F15" s="1214"/>
      <c r="G15" s="1214"/>
      <c r="H15" s="1214"/>
      <c r="I15" s="159">
        <f t="shared" si="2"/>
        <v>0</v>
      </c>
      <c r="J15" s="150">
        <v>13333333</v>
      </c>
      <c r="O15" s="150"/>
      <c r="P15" s="150"/>
      <c r="Q15" s="150"/>
      <c r="R15" s="150"/>
      <c r="S15" s="150"/>
      <c r="T15" s="150"/>
    </row>
    <row r="16" spans="1:20" x14ac:dyDescent="0.2">
      <c r="A16" s="47" t="s">
        <v>313</v>
      </c>
      <c r="B16" s="90" t="s">
        <v>312</v>
      </c>
      <c r="C16" s="1169">
        <v>1140936</v>
      </c>
      <c r="D16" s="1169">
        <v>1140936</v>
      </c>
      <c r="E16" s="1169">
        <v>1140936</v>
      </c>
      <c r="F16" s="1169">
        <f>2633282.37+322615.550465168</f>
        <v>2955897.9204651681</v>
      </c>
      <c r="G16" s="1169">
        <f t="shared" ref="G16:H16" si="4">2633282.37+322615.550465168</f>
        <v>2955897.9204651681</v>
      </c>
      <c r="H16" s="1169">
        <f t="shared" si="4"/>
        <v>2955897.9204651681</v>
      </c>
      <c r="I16" s="159">
        <f t="shared" si="2"/>
        <v>12290501.761395503</v>
      </c>
      <c r="J16" s="150">
        <v>13333333</v>
      </c>
      <c r="O16" s="150"/>
      <c r="P16" s="150"/>
      <c r="Q16" s="150"/>
      <c r="R16" s="150"/>
      <c r="S16" s="150"/>
      <c r="T16" s="150"/>
    </row>
    <row r="17" spans="1:20" x14ac:dyDescent="0.2">
      <c r="A17" s="47" t="s">
        <v>314</v>
      </c>
      <c r="B17" s="90" t="s">
        <v>312</v>
      </c>
      <c r="C17" s="2327">
        <v>1967756.16</v>
      </c>
      <c r="D17" s="2327">
        <v>1967756.16</v>
      </c>
      <c r="E17" s="2327">
        <v>1967756.16</v>
      </c>
      <c r="F17" s="2327">
        <f>1967756.16+349080.326380457</f>
        <v>2316836.4863804569</v>
      </c>
      <c r="G17" s="2327">
        <f t="shared" ref="G17:H17" si="5">1967756.16+349080.326380457</f>
        <v>2316836.4863804569</v>
      </c>
      <c r="H17" s="2327">
        <f t="shared" si="5"/>
        <v>2316836.4863804569</v>
      </c>
      <c r="I17" s="159">
        <f t="shared" si="2"/>
        <v>12853777.93914137</v>
      </c>
      <c r="J17" s="150">
        <v>13333333</v>
      </c>
      <c r="K17" s="1035"/>
      <c r="O17" s="150"/>
      <c r="P17" s="150"/>
      <c r="Q17" s="150"/>
      <c r="R17" s="150"/>
      <c r="S17" s="150"/>
      <c r="T17" s="150"/>
    </row>
    <row r="18" spans="1:20" x14ac:dyDescent="0.2">
      <c r="A18" s="47" t="s">
        <v>315</v>
      </c>
      <c r="B18" s="90"/>
      <c r="C18" s="1215"/>
      <c r="D18" s="1215"/>
      <c r="E18" s="1215"/>
      <c r="F18" s="1215"/>
      <c r="G18" s="1215"/>
      <c r="H18" s="1215"/>
      <c r="I18" s="159">
        <f t="shared" si="2"/>
        <v>0</v>
      </c>
      <c r="K18" s="241"/>
    </row>
    <row r="19" spans="1:20" x14ac:dyDescent="0.2">
      <c r="A19" s="47" t="s">
        <v>316</v>
      </c>
      <c r="B19" s="90"/>
      <c r="C19" s="1216"/>
      <c r="D19" s="1216"/>
      <c r="E19" s="1216"/>
      <c r="F19" s="1216"/>
      <c r="G19" s="1216"/>
      <c r="H19" s="1216"/>
      <c r="I19" s="159">
        <f t="shared" si="2"/>
        <v>0</v>
      </c>
    </row>
    <row r="20" spans="1:20" x14ac:dyDescent="0.2">
      <c r="A20" s="47"/>
      <c r="B20" s="90"/>
      <c r="C20" s="1211"/>
      <c r="D20" s="1211"/>
      <c r="E20" s="1211"/>
      <c r="F20" s="1211"/>
      <c r="G20" s="1212"/>
      <c r="H20" s="1212"/>
      <c r="I20" s="159">
        <f t="shared" si="2"/>
        <v>0</v>
      </c>
    </row>
    <row r="21" spans="1:20" ht="13.2" x14ac:dyDescent="0.25">
      <c r="A21" s="1132" t="s">
        <v>317</v>
      </c>
      <c r="B21" s="1133"/>
      <c r="C21" s="1211"/>
      <c r="D21" s="1211"/>
      <c r="E21" s="1211"/>
      <c r="F21" s="1211"/>
      <c r="G21" s="1212"/>
      <c r="H21" s="1212"/>
      <c r="I21" s="159">
        <f t="shared" si="2"/>
        <v>0</v>
      </c>
    </row>
    <row r="22" spans="1:20" x14ac:dyDescent="0.2">
      <c r="A22" s="47" t="s">
        <v>318</v>
      </c>
      <c r="B22" s="90" t="s">
        <v>312</v>
      </c>
      <c r="C22" s="2721">
        <v>0</v>
      </c>
      <c r="D22" s="2721">
        <v>1643992</v>
      </c>
      <c r="E22" s="2721">
        <v>3012520</v>
      </c>
      <c r="F22" s="2721">
        <v>4107981</v>
      </c>
      <c r="G22" s="2721">
        <v>4107981</v>
      </c>
      <c r="H22" s="2721">
        <v>4107981</v>
      </c>
      <c r="I22" s="159">
        <f t="shared" si="2"/>
        <v>16980455</v>
      </c>
    </row>
    <row r="23" spans="1:20" x14ac:dyDescent="0.2">
      <c r="A23" s="47"/>
      <c r="B23" s="90"/>
      <c r="C23" s="1212"/>
      <c r="D23" s="1211"/>
      <c r="E23" s="1211"/>
      <c r="F23" s="1211"/>
      <c r="G23" s="1212"/>
      <c r="H23" s="1212"/>
      <c r="I23" s="159">
        <f t="shared" si="2"/>
        <v>0</v>
      </c>
      <c r="J23" s="402">
        <f>26862795.39/142*70</f>
        <v>13242223.079577465</v>
      </c>
    </row>
    <row r="24" spans="1:20" ht="13.2" x14ac:dyDescent="0.25">
      <c r="A24" s="132" t="s">
        <v>24</v>
      </c>
      <c r="B24" s="151"/>
      <c r="C24" s="1211"/>
      <c r="D24" s="1211"/>
      <c r="E24" s="1211"/>
      <c r="F24" s="1211"/>
      <c r="G24" s="1212"/>
      <c r="H24" s="1212"/>
      <c r="I24" s="159">
        <f t="shared" si="2"/>
        <v>0</v>
      </c>
      <c r="J24" s="402">
        <f>26862795.39/142*72</f>
        <v>13620572.310422536</v>
      </c>
    </row>
    <row r="25" spans="1:20" x14ac:dyDescent="0.2">
      <c r="A25" s="484" t="s">
        <v>89</v>
      </c>
      <c r="B25" s="514" t="s">
        <v>370</v>
      </c>
      <c r="D25" s="1211"/>
      <c r="E25" s="1211"/>
      <c r="F25" s="1211"/>
      <c r="G25" s="1212"/>
      <c r="H25" s="1212"/>
      <c r="I25" s="159">
        <f t="shared" si="2"/>
        <v>0</v>
      </c>
      <c r="J25" s="402">
        <f>SUM(J23:J24)</f>
        <v>26862795.390000001</v>
      </c>
    </row>
    <row r="26" spans="1:20" x14ac:dyDescent="0.2">
      <c r="A26" s="126" t="s">
        <v>100</v>
      </c>
      <c r="B26" s="90" t="s">
        <v>371</v>
      </c>
      <c r="C26" s="1211"/>
      <c r="D26" s="1211"/>
      <c r="E26" s="1211"/>
      <c r="F26" s="1211"/>
      <c r="G26" s="1212"/>
      <c r="H26" s="1212"/>
      <c r="I26" s="159">
        <f t="shared" si="2"/>
        <v>0</v>
      </c>
    </row>
    <row r="27" spans="1:20" x14ac:dyDescent="0.2">
      <c r="A27" s="126" t="s">
        <v>99</v>
      </c>
      <c r="B27" s="90" t="s">
        <v>372</v>
      </c>
      <c r="C27" s="1211"/>
      <c r="D27" s="1211"/>
      <c r="E27" s="1211"/>
      <c r="F27" s="1211"/>
      <c r="G27" s="1212"/>
      <c r="H27" s="1212"/>
      <c r="I27" s="159">
        <f t="shared" si="2"/>
        <v>0</v>
      </c>
    </row>
    <row r="28" spans="1:20" x14ac:dyDescent="0.2">
      <c r="A28" s="1826" t="s">
        <v>816</v>
      </c>
      <c r="B28" s="90" t="s">
        <v>373</v>
      </c>
      <c r="C28" s="2710">
        <v>0.22839999999999999</v>
      </c>
      <c r="D28" s="2710">
        <v>0.22839999999999999</v>
      </c>
      <c r="E28" s="2710">
        <v>0.22839999999999999</v>
      </c>
      <c r="F28" s="2710">
        <v>0.22839999999999999</v>
      </c>
      <c r="G28" s="2710">
        <v>0.22839999999999999</v>
      </c>
      <c r="H28" s="2710">
        <v>0.22839999999999999</v>
      </c>
      <c r="I28" s="159">
        <f t="shared" si="2"/>
        <v>1.3703999999999998</v>
      </c>
    </row>
    <row r="29" spans="1:20" x14ac:dyDescent="0.2">
      <c r="A29" s="47" t="s">
        <v>87</v>
      </c>
      <c r="B29" s="90" t="s">
        <v>374</v>
      </c>
      <c r="C29" s="1217">
        <f>Inputs!C76</f>
        <v>177</v>
      </c>
      <c r="D29" s="1217">
        <f>Inputs!D76</f>
        <v>168</v>
      </c>
      <c r="E29" s="1217">
        <f>Inputs!E76</f>
        <v>168</v>
      </c>
      <c r="F29" s="1217">
        <f>Inputs!F76</f>
        <v>168</v>
      </c>
      <c r="G29" s="1217">
        <f>Inputs!G76</f>
        <v>168</v>
      </c>
      <c r="H29" s="1217">
        <f>Inputs!H76</f>
        <v>168</v>
      </c>
      <c r="I29" s="159">
        <f t="shared" si="2"/>
        <v>1017</v>
      </c>
      <c r="J29" s="402">
        <f>199962147/142*70</f>
        <v>98572889.366197184</v>
      </c>
    </row>
    <row r="30" spans="1:20" x14ac:dyDescent="0.2">
      <c r="A30" s="47" t="s">
        <v>375</v>
      </c>
      <c r="B30" s="90" t="s">
        <v>214</v>
      </c>
      <c r="C30" s="1218">
        <f>C28*C29</f>
        <v>40.4268</v>
      </c>
      <c r="D30" s="1218">
        <f t="shared" ref="D30:H30" si="6">D28*D29</f>
        <v>38.371200000000002</v>
      </c>
      <c r="E30" s="1218">
        <f t="shared" si="6"/>
        <v>38.371200000000002</v>
      </c>
      <c r="F30" s="1218">
        <f t="shared" si="6"/>
        <v>38.371200000000002</v>
      </c>
      <c r="G30" s="1218">
        <f t="shared" si="6"/>
        <v>38.371200000000002</v>
      </c>
      <c r="H30" s="1218">
        <f t="shared" si="6"/>
        <v>38.371200000000002</v>
      </c>
      <c r="I30" s="159">
        <f t="shared" si="2"/>
        <v>232.28280000000001</v>
      </c>
      <c r="J30" s="2856">
        <f>199962147/142*72</f>
        <v>101389257.63380282</v>
      </c>
    </row>
    <row r="31" spans="1:20" x14ac:dyDescent="0.2">
      <c r="A31" s="47" t="s">
        <v>642</v>
      </c>
      <c r="B31" s="318" t="s">
        <v>56</v>
      </c>
      <c r="C31" s="1218">
        <f>+DispatchSchedule!F6</f>
        <v>0</v>
      </c>
      <c r="D31" s="1218">
        <f>+DispatchSchedule!G6</f>
        <v>0</v>
      </c>
      <c r="E31" s="1218">
        <f>+DispatchSchedule!H6</f>
        <v>0</v>
      </c>
      <c r="F31" s="1218">
        <f>+DispatchSchedule!I6</f>
        <v>30.056919660000002</v>
      </c>
      <c r="G31" s="1218">
        <f>+DispatchSchedule!J6</f>
        <v>29.6817657</v>
      </c>
      <c r="H31" s="1218">
        <f>+DispatchSchedule!K6</f>
        <v>30.492288000000002</v>
      </c>
      <c r="I31" s="159">
        <f t="shared" si="2"/>
        <v>90.230973360000007</v>
      </c>
      <c r="J31" s="414">
        <f>SUM(J29:J30)</f>
        <v>199962147</v>
      </c>
    </row>
    <row r="32" spans="1:20" x14ac:dyDescent="0.2">
      <c r="A32" s="1147" t="s">
        <v>90</v>
      </c>
      <c r="B32" s="515" t="s">
        <v>505</v>
      </c>
      <c r="C32" s="1219"/>
      <c r="D32" s="1219"/>
      <c r="E32" s="1219"/>
      <c r="F32" s="1219"/>
      <c r="G32" s="1220"/>
      <c r="H32" s="1220"/>
      <c r="I32" s="159">
        <f t="shared" si="2"/>
        <v>0</v>
      </c>
    </row>
    <row r="33" spans="1:11" x14ac:dyDescent="0.2">
      <c r="A33" s="1150" t="s">
        <v>100</v>
      </c>
      <c r="B33" s="1149" t="s">
        <v>371</v>
      </c>
      <c r="C33" s="1219"/>
      <c r="D33" s="1219"/>
      <c r="E33" s="1219"/>
      <c r="F33" s="1219"/>
      <c r="G33" s="1220"/>
      <c r="H33" s="1220"/>
      <c r="I33" s="159">
        <f t="shared" si="2"/>
        <v>0</v>
      </c>
    </row>
    <row r="34" spans="1:11" x14ac:dyDescent="0.2">
      <c r="A34" s="1150" t="s">
        <v>99</v>
      </c>
      <c r="B34" s="1149" t="s">
        <v>372</v>
      </c>
      <c r="C34" s="1219"/>
      <c r="D34" s="1219"/>
      <c r="E34" s="1219"/>
      <c r="F34" s="1219"/>
      <c r="G34" s="1220"/>
      <c r="H34" s="1220"/>
      <c r="I34" s="159">
        <f t="shared" si="2"/>
        <v>0</v>
      </c>
      <c r="J34" s="402">
        <f>6464229.11/142*70</f>
        <v>3186591.8147887327</v>
      </c>
    </row>
    <row r="35" spans="1:11" x14ac:dyDescent="0.2">
      <c r="A35" s="1151" t="s">
        <v>816</v>
      </c>
      <c r="B35" s="1149" t="s">
        <v>373</v>
      </c>
      <c r="C35" s="1874">
        <v>0.29520000000000002</v>
      </c>
      <c r="D35" s="1874">
        <v>0.29520000000000002</v>
      </c>
      <c r="E35" s="1874">
        <v>0.29520000000000002</v>
      </c>
      <c r="F35" s="1874">
        <v>0.29520000000000002</v>
      </c>
      <c r="G35" s="1874">
        <v>0.29520000000000002</v>
      </c>
      <c r="H35" s="1874">
        <v>0.29520000000000002</v>
      </c>
      <c r="I35" s="159">
        <f t="shared" si="2"/>
        <v>1.7711999999999999</v>
      </c>
      <c r="J35" s="402">
        <f>6464229.11/142*72</f>
        <v>3277637.2952112677</v>
      </c>
    </row>
    <row r="36" spans="1:11" x14ac:dyDescent="0.2">
      <c r="A36" s="1151" t="s">
        <v>87</v>
      </c>
      <c r="B36" s="1149" t="s">
        <v>374</v>
      </c>
      <c r="C36" s="1221">
        <f>Inputs!C68</f>
        <v>279</v>
      </c>
      <c r="D36" s="1221">
        <f>Inputs!D68</f>
        <v>277</v>
      </c>
      <c r="E36" s="1221">
        <f>Inputs!E68</f>
        <v>277</v>
      </c>
      <c r="F36" s="1221">
        <f>Inputs!F68</f>
        <v>382</v>
      </c>
      <c r="G36" s="1221">
        <f>Inputs!G68</f>
        <v>382</v>
      </c>
      <c r="H36" s="1221">
        <f>Inputs!H68</f>
        <v>382</v>
      </c>
      <c r="I36" s="159">
        <f t="shared" si="2"/>
        <v>1979</v>
      </c>
      <c r="J36" s="402">
        <f>SUM(J34:J35)</f>
        <v>6464229.1100000003</v>
      </c>
    </row>
    <row r="37" spans="1:11" x14ac:dyDescent="0.2">
      <c r="A37" s="1151" t="s">
        <v>375</v>
      </c>
      <c r="B37" s="1149" t="s">
        <v>214</v>
      </c>
      <c r="C37" s="1222">
        <f>C35*C36</f>
        <v>82.360800000000012</v>
      </c>
      <c r="D37" s="1222">
        <f t="shared" ref="D37:H37" si="7">D35*D36</f>
        <v>81.770400000000009</v>
      </c>
      <c r="E37" s="1222">
        <f t="shared" si="7"/>
        <v>81.770400000000009</v>
      </c>
      <c r="F37" s="1222">
        <f t="shared" si="7"/>
        <v>112.7664</v>
      </c>
      <c r="G37" s="1222">
        <f t="shared" si="7"/>
        <v>112.7664</v>
      </c>
      <c r="H37" s="1222">
        <f t="shared" si="7"/>
        <v>112.7664</v>
      </c>
      <c r="I37" s="159">
        <f t="shared" si="2"/>
        <v>584.20079999999996</v>
      </c>
    </row>
    <row r="38" spans="1:11" x14ac:dyDescent="0.2">
      <c r="A38" s="1147" t="s">
        <v>134</v>
      </c>
      <c r="B38" s="1149" t="s">
        <v>56</v>
      </c>
      <c r="C38" s="1223"/>
      <c r="D38" s="1223"/>
      <c r="E38" s="1223"/>
      <c r="F38" s="1223"/>
      <c r="G38" s="1223"/>
      <c r="H38" s="1223"/>
      <c r="I38" s="159">
        <f t="shared" si="2"/>
        <v>0</v>
      </c>
      <c r="J38" s="415"/>
    </row>
    <row r="39" spans="1:11" x14ac:dyDescent="0.2">
      <c r="A39" s="47"/>
      <c r="B39" s="90"/>
      <c r="C39" s="1218"/>
      <c r="D39" s="1218"/>
      <c r="E39" s="1218"/>
      <c r="F39" s="1218"/>
      <c r="G39" s="1218"/>
      <c r="H39" s="1218"/>
      <c r="I39" s="159">
        <f t="shared" si="2"/>
        <v>0</v>
      </c>
    </row>
    <row r="40" spans="1:11" ht="13.2" x14ac:dyDescent="0.25">
      <c r="A40" s="132" t="s">
        <v>132</v>
      </c>
      <c r="B40" s="151"/>
      <c r="C40" s="1211"/>
      <c r="D40" s="1211"/>
      <c r="E40" s="1211"/>
      <c r="F40" s="1211"/>
      <c r="G40" s="1212"/>
      <c r="H40" s="1212"/>
      <c r="I40" s="159">
        <f t="shared" si="2"/>
        <v>0</v>
      </c>
    </row>
    <row r="41" spans="1:11" x14ac:dyDescent="0.2">
      <c r="A41" s="47" t="s">
        <v>376</v>
      </c>
      <c r="B41" s="90" t="s">
        <v>312</v>
      </c>
      <c r="C41" s="1228">
        <v>53588615.024999999</v>
      </c>
      <c r="D41" s="1228">
        <v>53588615.024999999</v>
      </c>
      <c r="E41" s="1228">
        <v>53588615.024999999</v>
      </c>
      <c r="F41" s="1228">
        <v>53588615.024999999</v>
      </c>
      <c r="G41" s="1228">
        <v>53588615.024999999</v>
      </c>
      <c r="H41" s="1228">
        <v>53588615.024999999</v>
      </c>
      <c r="I41" s="159">
        <f t="shared" si="2"/>
        <v>321531690.14999998</v>
      </c>
      <c r="J41" s="150">
        <f>+I41+'DSP2'!I42+'GT16'!I54+'GT07'!I38+CCKP!I48+'CCKP 02'!I38+DNCHU!I32+'Island Gen'!I32+Barge!I32+'30MW-Hambantota'!I35+'20MW-Mathugama'!I35</f>
        <v>1277130000.1500001</v>
      </c>
    </row>
    <row r="42" spans="1:11" x14ac:dyDescent="0.2">
      <c r="A42" s="47" t="s">
        <v>376</v>
      </c>
      <c r="B42" s="90" t="s">
        <v>377</v>
      </c>
      <c r="C42" s="1211"/>
      <c r="D42" s="1211"/>
      <c r="E42" s="1211"/>
      <c r="F42" s="1211"/>
      <c r="G42" s="1212"/>
      <c r="H42" s="1212"/>
      <c r="I42" s="159">
        <f t="shared" si="2"/>
        <v>0</v>
      </c>
    </row>
    <row r="43" spans="1:11" x14ac:dyDescent="0.2">
      <c r="A43" s="47" t="s">
        <v>315</v>
      </c>
      <c r="B43" s="90"/>
      <c r="C43" s="1225">
        <f>C18</f>
        <v>0</v>
      </c>
      <c r="D43" s="1225">
        <f>D18</f>
        <v>0</v>
      </c>
      <c r="E43" s="1225">
        <f t="shared" ref="E43:H43" si="8">E18</f>
        <v>0</v>
      </c>
      <c r="F43" s="1225">
        <f t="shared" si="8"/>
        <v>0</v>
      </c>
      <c r="G43" s="1225">
        <f t="shared" si="8"/>
        <v>0</v>
      </c>
      <c r="H43" s="1225">
        <f t="shared" si="8"/>
        <v>0</v>
      </c>
      <c r="I43" s="159">
        <f t="shared" si="2"/>
        <v>0</v>
      </c>
    </row>
    <row r="44" spans="1:11" x14ac:dyDescent="0.2">
      <c r="A44" s="47" t="s">
        <v>316</v>
      </c>
      <c r="B44" s="90"/>
      <c r="C44" s="1225">
        <f>C19</f>
        <v>0</v>
      </c>
      <c r="D44" s="1225">
        <f t="shared" ref="D44:H44" si="9">D19</f>
        <v>0</v>
      </c>
      <c r="E44" s="1225">
        <f t="shared" si="9"/>
        <v>0</v>
      </c>
      <c r="F44" s="1225">
        <f t="shared" si="9"/>
        <v>0</v>
      </c>
      <c r="G44" s="1225">
        <f t="shared" si="9"/>
        <v>0</v>
      </c>
      <c r="H44" s="1225">
        <f t="shared" si="9"/>
        <v>0</v>
      </c>
      <c r="I44" s="159">
        <f t="shared" si="2"/>
        <v>0</v>
      </c>
    </row>
    <row r="45" spans="1:11" x14ac:dyDescent="0.2">
      <c r="A45" s="47" t="s">
        <v>378</v>
      </c>
      <c r="B45" s="90"/>
      <c r="C45" s="1225"/>
      <c r="D45" s="1211"/>
      <c r="E45" s="1211"/>
      <c r="F45" s="1211"/>
      <c r="G45" s="1212"/>
      <c r="H45" s="1226"/>
      <c r="I45" s="159">
        <f t="shared" si="2"/>
        <v>0</v>
      </c>
    </row>
    <row r="46" spans="1:11" x14ac:dyDescent="0.2">
      <c r="A46" s="47" t="s">
        <v>379</v>
      </c>
      <c r="B46" s="90"/>
      <c r="C46" s="1225"/>
      <c r="D46" s="1211"/>
      <c r="E46" s="1211"/>
      <c r="F46" s="1211"/>
      <c r="G46" s="1212"/>
      <c r="H46" s="1226"/>
      <c r="I46" s="159">
        <f t="shared" si="2"/>
        <v>0</v>
      </c>
    </row>
    <row r="47" spans="1:11" ht="13.2" x14ac:dyDescent="0.25">
      <c r="A47" s="132" t="s">
        <v>380</v>
      </c>
      <c r="B47" s="90"/>
      <c r="C47" s="1211"/>
      <c r="D47" s="1211"/>
      <c r="E47" s="1211"/>
      <c r="F47" s="1211"/>
      <c r="G47" s="1212"/>
      <c r="H47" s="1227"/>
      <c r="I47" s="159">
        <f t="shared" si="2"/>
        <v>0</v>
      </c>
    </row>
    <row r="48" spans="1:11" s="183" customFormat="1" x14ac:dyDescent="0.2">
      <c r="A48" s="484" t="s">
        <v>1368</v>
      </c>
      <c r="B48" s="514" t="s">
        <v>1365</v>
      </c>
      <c r="C48" s="1228">
        <v>386600</v>
      </c>
      <c r="D48" s="1228">
        <v>386600</v>
      </c>
      <c r="E48" s="1228">
        <v>386600</v>
      </c>
      <c r="F48" s="1228">
        <v>386600</v>
      </c>
      <c r="G48" s="1228">
        <v>386600</v>
      </c>
      <c r="H48" s="1228">
        <v>386600</v>
      </c>
      <c r="I48" s="159">
        <f t="shared" si="2"/>
        <v>2319600</v>
      </c>
      <c r="J48" s="587">
        <f>+C56+C16</f>
        <v>37989945.267999992</v>
      </c>
      <c r="K48" s="183">
        <f>+D66*1000000</f>
        <v>99611563.662999988</v>
      </c>
    </row>
    <row r="49" spans="1:11" s="183" customFormat="1" x14ac:dyDescent="0.2">
      <c r="A49" s="484" t="s">
        <v>1367</v>
      </c>
      <c r="B49" s="514" t="s">
        <v>1365</v>
      </c>
      <c r="C49" s="1228">
        <v>312100</v>
      </c>
      <c r="D49" s="1228">
        <v>312100</v>
      </c>
      <c r="E49" s="1228">
        <v>312100</v>
      </c>
      <c r="F49" s="1228">
        <v>312100</v>
      </c>
      <c r="G49" s="1228">
        <v>312100</v>
      </c>
      <c r="H49" s="1228">
        <v>312100</v>
      </c>
      <c r="I49" s="159"/>
      <c r="J49" s="587"/>
    </row>
    <row r="50" spans="1:11" s="183" customFormat="1" x14ac:dyDescent="0.2">
      <c r="A50" s="484" t="s">
        <v>1366</v>
      </c>
      <c r="B50" s="514" t="s">
        <v>1365</v>
      </c>
      <c r="C50" s="1228">
        <v>270400</v>
      </c>
      <c r="D50" s="1228">
        <v>270400</v>
      </c>
      <c r="E50" s="1228">
        <v>270400</v>
      </c>
      <c r="F50" s="1228">
        <v>270400</v>
      </c>
      <c r="G50" s="1228">
        <v>270400</v>
      </c>
      <c r="H50" s="1228">
        <v>270400</v>
      </c>
      <c r="I50" s="159">
        <f t="shared" si="2"/>
        <v>1622400</v>
      </c>
      <c r="K50" s="2280">
        <f>+K48-2787993.52</f>
        <v>96823570.142999992</v>
      </c>
    </row>
    <row r="51" spans="1:11" ht="12.75" customHeight="1" x14ac:dyDescent="0.2">
      <c r="A51" s="47"/>
      <c r="B51" s="90"/>
      <c r="C51" s="1211"/>
      <c r="D51" s="1211"/>
      <c r="E51" s="1211"/>
      <c r="F51" s="1211"/>
      <c r="G51" s="1212"/>
      <c r="H51" s="1212"/>
      <c r="I51" s="159">
        <f t="shared" si="2"/>
        <v>0</v>
      </c>
    </row>
    <row r="52" spans="1:11" x14ac:dyDescent="0.2">
      <c r="A52" s="47" t="s">
        <v>1369</v>
      </c>
      <c r="B52" s="90" t="s">
        <v>385</v>
      </c>
      <c r="C52" s="1224">
        <v>9</v>
      </c>
      <c r="D52" s="1224">
        <v>9</v>
      </c>
      <c r="E52" s="1224">
        <v>9</v>
      </c>
      <c r="F52" s="1224">
        <v>9</v>
      </c>
      <c r="G52" s="1224">
        <v>9</v>
      </c>
      <c r="H52" s="1224">
        <v>9</v>
      </c>
      <c r="I52" s="159">
        <f t="shared" si="2"/>
        <v>54</v>
      </c>
    </row>
    <row r="53" spans="1:11" x14ac:dyDescent="0.2">
      <c r="A53" s="47" t="s">
        <v>1370</v>
      </c>
      <c r="B53" s="90" t="s">
        <v>385</v>
      </c>
      <c r="C53" s="1224">
        <v>26</v>
      </c>
      <c r="D53" s="1224">
        <v>26</v>
      </c>
      <c r="E53" s="1224">
        <v>26</v>
      </c>
      <c r="F53" s="1224">
        <v>26</v>
      </c>
      <c r="G53" s="1224">
        <v>26</v>
      </c>
      <c r="H53" s="1224">
        <v>26</v>
      </c>
      <c r="I53" s="159">
        <f t="shared" si="2"/>
        <v>156</v>
      </c>
    </row>
    <row r="54" spans="1:11" x14ac:dyDescent="0.2">
      <c r="A54" s="47" t="s">
        <v>1371</v>
      </c>
      <c r="B54" s="90" t="s">
        <v>385</v>
      </c>
      <c r="C54" s="1214">
        <v>16</v>
      </c>
      <c r="D54" s="1214">
        <v>16</v>
      </c>
      <c r="E54" s="1214">
        <v>16</v>
      </c>
      <c r="F54" s="1214">
        <v>16</v>
      </c>
      <c r="G54" s="1214">
        <v>16</v>
      </c>
      <c r="H54" s="1214">
        <v>16</v>
      </c>
      <c r="I54" s="159">
        <f t="shared" si="2"/>
        <v>96</v>
      </c>
    </row>
    <row r="55" spans="1:11" x14ac:dyDescent="0.2">
      <c r="A55" s="47"/>
      <c r="B55" s="90"/>
      <c r="C55" s="1211"/>
      <c r="D55" s="1211"/>
      <c r="E55" s="1211"/>
      <c r="F55" s="1211"/>
      <c r="G55" s="1212"/>
      <c r="H55" s="1229"/>
      <c r="I55" s="159">
        <f t="shared" si="2"/>
        <v>0</v>
      </c>
    </row>
    <row r="56" spans="1:11" ht="13.2" x14ac:dyDescent="0.25">
      <c r="A56" s="47" t="s">
        <v>148</v>
      </c>
      <c r="B56" s="151" t="s">
        <v>320</v>
      </c>
      <c r="C56" s="1211">
        <f>C6+C16+C17+C22</f>
        <v>36849009.267999992</v>
      </c>
      <c r="D56" s="1211">
        <f t="shared" ref="D56:H56" si="10">D6+D16+D17+D22</f>
        <v>46022948.637999997</v>
      </c>
      <c r="E56" s="1211">
        <f t="shared" si="10"/>
        <v>41504721.267999992</v>
      </c>
      <c r="F56" s="1211">
        <f t="shared" si="10"/>
        <v>49801329.204986483</v>
      </c>
      <c r="G56" s="1211">
        <f t="shared" si="10"/>
        <v>49772915.204986483</v>
      </c>
      <c r="H56" s="1211">
        <f t="shared" si="10"/>
        <v>49744241.204986483</v>
      </c>
      <c r="I56" s="159">
        <f t="shared" si="2"/>
        <v>273695164.78895944</v>
      </c>
    </row>
    <row r="57" spans="1:11" ht="13.2" x14ac:dyDescent="0.25">
      <c r="A57" s="47" t="s">
        <v>149</v>
      </c>
      <c r="B57" s="151" t="s">
        <v>320</v>
      </c>
      <c r="C57" s="1211">
        <f>+(1000000*((C30*C31)+(C37*C38)))+C41</f>
        <v>53588615.024999999</v>
      </c>
      <c r="D57" s="1211">
        <f t="shared" ref="D57:H57" si="11">+(1000000*((D30*D31)+(D37*D38)))+D41</f>
        <v>53588615.024999999</v>
      </c>
      <c r="E57" s="1211">
        <f t="shared" si="11"/>
        <v>53588615.024999999</v>
      </c>
      <c r="F57" s="1211">
        <f t="shared" si="11"/>
        <v>1206908690.6827922</v>
      </c>
      <c r="G57" s="1211">
        <f t="shared" si="11"/>
        <v>1192513583.0528402</v>
      </c>
      <c r="H57" s="1211">
        <f t="shared" si="11"/>
        <v>1223614296.3306003</v>
      </c>
      <c r="I57" s="159">
        <f t="shared" si="2"/>
        <v>3783802415.141233</v>
      </c>
    </row>
    <row r="58" spans="1:11" ht="13.2" x14ac:dyDescent="0.25">
      <c r="A58" s="47" t="s">
        <v>387</v>
      </c>
      <c r="B58" s="151" t="s">
        <v>320</v>
      </c>
      <c r="C58" s="1211">
        <f>C48*C52+C49*C53+C50*C54</f>
        <v>15920400</v>
      </c>
      <c r="D58" s="1211">
        <f t="shared" ref="D58:H58" si="12">D48*D52+D49*D53+D50*D54</f>
        <v>15920400</v>
      </c>
      <c r="E58" s="1211">
        <f t="shared" si="12"/>
        <v>15920400</v>
      </c>
      <c r="F58" s="1211">
        <f t="shared" si="12"/>
        <v>15920400</v>
      </c>
      <c r="G58" s="1211">
        <f t="shared" si="12"/>
        <v>15920400</v>
      </c>
      <c r="H58" s="1211">
        <f t="shared" si="12"/>
        <v>15920400</v>
      </c>
      <c r="I58" s="159">
        <f t="shared" si="2"/>
        <v>95522400</v>
      </c>
    </row>
    <row r="59" spans="1:11" ht="13.2" x14ac:dyDescent="0.25">
      <c r="A59" s="47" t="s">
        <v>150</v>
      </c>
      <c r="B59" s="151" t="s">
        <v>39</v>
      </c>
      <c r="C59" s="1224">
        <v>70</v>
      </c>
      <c r="D59" s="1224">
        <v>70</v>
      </c>
      <c r="E59" s="1224">
        <v>70</v>
      </c>
      <c r="F59" s="1224">
        <v>70</v>
      </c>
      <c r="G59" s="1224">
        <v>70</v>
      </c>
      <c r="H59" s="1224">
        <v>70</v>
      </c>
      <c r="I59" s="159">
        <f t="shared" si="2"/>
        <v>420</v>
      </c>
    </row>
    <row r="60" spans="1:11" ht="13.2" x14ac:dyDescent="0.25">
      <c r="A60" s="47" t="s">
        <v>134</v>
      </c>
      <c r="B60" s="151" t="s">
        <v>388</v>
      </c>
      <c r="C60" s="1211">
        <f>+DispatchSchedule!F75*1000000</f>
        <v>0</v>
      </c>
      <c r="D60" s="1211">
        <f>+DispatchSchedule!G75*1000000</f>
        <v>0</v>
      </c>
      <c r="E60" s="1211">
        <f>+DispatchSchedule!H75*1000000</f>
        <v>0</v>
      </c>
      <c r="F60" s="1211">
        <f>+DispatchSchedule!I75*1000000</f>
        <v>28956570</v>
      </c>
      <c r="G60" s="1211">
        <f>+DispatchSchedule!J75*1000000</f>
        <v>28595150</v>
      </c>
      <c r="H60" s="1211">
        <f>+DispatchSchedule!K75*1000000</f>
        <v>29376000</v>
      </c>
      <c r="I60" s="159">
        <f t="shared" si="2"/>
        <v>86927720</v>
      </c>
    </row>
    <row r="61" spans="1:11" ht="13.2" x14ac:dyDescent="0.25">
      <c r="A61" s="484" t="s">
        <v>805</v>
      </c>
      <c r="B61" s="151" t="s">
        <v>214</v>
      </c>
      <c r="C61" s="1218">
        <f>IF(C60=0,0,(C57/C60))</f>
        <v>0</v>
      </c>
      <c r="D61" s="1218">
        <f t="shared" ref="D61:H61" si="13">IF(D60=0,0,(D57/D60))</f>
        <v>0</v>
      </c>
      <c r="E61" s="1218">
        <f t="shared" si="13"/>
        <v>0</v>
      </c>
      <c r="F61" s="1218">
        <f t="shared" si="13"/>
        <v>41.679960391814092</v>
      </c>
      <c r="G61" s="1218">
        <f t="shared" si="13"/>
        <v>41.703351199516007</v>
      </c>
      <c r="H61" s="1218">
        <f t="shared" si="13"/>
        <v>41.653536775959978</v>
      </c>
      <c r="I61" s="159">
        <f t="shared" si="2"/>
        <v>125.03684836729008</v>
      </c>
    </row>
    <row r="62" spans="1:11" ht="13.2" x14ac:dyDescent="0.25">
      <c r="A62" s="567" t="s">
        <v>804</v>
      </c>
      <c r="B62" s="508" t="s">
        <v>214</v>
      </c>
      <c r="C62" s="1230">
        <f>IF(C60=0,0,((C57+C58)/C60))</f>
        <v>0</v>
      </c>
      <c r="D62" s="1230">
        <f t="shared" ref="D62:H62" si="14">IF(D60=0,0,((D57+D58)/D60))</f>
        <v>0</v>
      </c>
      <c r="E62" s="1230">
        <f t="shared" si="14"/>
        <v>0</v>
      </c>
      <c r="F62" s="1230">
        <f t="shared" si="14"/>
        <v>42.229763079079881</v>
      </c>
      <c r="G62" s="1230">
        <f t="shared" si="14"/>
        <v>42.260102956369884</v>
      </c>
      <c r="H62" s="1230">
        <f t="shared" si="14"/>
        <v>42.195489390339063</v>
      </c>
      <c r="I62" s="159">
        <f t="shared" si="2"/>
        <v>126.68535542578883</v>
      </c>
    </row>
    <row r="63" spans="1:11" ht="13.2" x14ac:dyDescent="0.25">
      <c r="A63" s="140" t="s">
        <v>390</v>
      </c>
      <c r="B63" s="151" t="s">
        <v>214</v>
      </c>
      <c r="C63" s="1218">
        <f t="shared" ref="C63:H63" si="15">IF(C60=0,0,(C56/C60))</f>
        <v>0</v>
      </c>
      <c r="D63" s="1218">
        <f t="shared" si="15"/>
        <v>0</v>
      </c>
      <c r="E63" s="1218">
        <f t="shared" si="15"/>
        <v>0</v>
      </c>
      <c r="F63" s="1218">
        <f t="shared" si="15"/>
        <v>1.7198628568572343</v>
      </c>
      <c r="G63" s="1218">
        <f t="shared" si="15"/>
        <v>1.7406068933013634</v>
      </c>
      <c r="H63" s="1218">
        <f t="shared" si="15"/>
        <v>1.6933633307797686</v>
      </c>
      <c r="I63" s="159">
        <f t="shared" si="2"/>
        <v>5.1538330809383659</v>
      </c>
    </row>
    <row r="64" spans="1:11" ht="13.2" x14ac:dyDescent="0.25">
      <c r="A64" s="140" t="s">
        <v>390</v>
      </c>
      <c r="B64" s="151" t="s">
        <v>322</v>
      </c>
      <c r="C64" s="1218">
        <f t="shared" ref="C64:H64" si="16">C56/C59/1000</f>
        <v>526.41441811428558</v>
      </c>
      <c r="D64" s="1218">
        <f t="shared" si="16"/>
        <v>657.47069482857137</v>
      </c>
      <c r="E64" s="1218">
        <f t="shared" si="16"/>
        <v>592.92458954285701</v>
      </c>
      <c r="F64" s="1218">
        <f t="shared" si="16"/>
        <v>711.44756007123556</v>
      </c>
      <c r="G64" s="1218">
        <f t="shared" si="16"/>
        <v>711.04164578552115</v>
      </c>
      <c r="H64" s="1218">
        <f t="shared" si="16"/>
        <v>710.63201721409268</v>
      </c>
      <c r="I64" s="159">
        <f t="shared" si="2"/>
        <v>3909.9309255565631</v>
      </c>
    </row>
    <row r="65" spans="1:10" ht="13.2" x14ac:dyDescent="0.25">
      <c r="B65" s="82"/>
      <c r="C65" s="690"/>
      <c r="D65" s="690"/>
      <c r="E65" s="690"/>
      <c r="F65" s="690"/>
      <c r="G65" s="690"/>
      <c r="H65" s="690"/>
      <c r="I65" s="159">
        <f t="shared" si="2"/>
        <v>0</v>
      </c>
    </row>
    <row r="66" spans="1:10" ht="13.2" x14ac:dyDescent="0.25">
      <c r="A66" s="507" t="s">
        <v>148</v>
      </c>
      <c r="B66" s="508" t="s">
        <v>460</v>
      </c>
      <c r="C66" s="1231">
        <f>IF(C60=0,(C56+C57)/1000000,C56/1000000)</f>
        <v>90.437624292999985</v>
      </c>
      <c r="D66" s="1231">
        <f t="shared" ref="D66:H66" si="17">IF(D60=0,(D56+D57)/1000000,D56/1000000)</f>
        <v>99.611563662999984</v>
      </c>
      <c r="E66" s="1231">
        <f t="shared" si="17"/>
        <v>95.093336292999979</v>
      </c>
      <c r="F66" s="1231">
        <f t="shared" si="17"/>
        <v>49.80132920498648</v>
      </c>
      <c r="G66" s="1231">
        <f t="shared" si="17"/>
        <v>49.772915204986482</v>
      </c>
      <c r="H66" s="1231">
        <f t="shared" si="17"/>
        <v>49.74424120498648</v>
      </c>
      <c r="I66" s="159">
        <f t="shared" si="2"/>
        <v>434.46100986395936</v>
      </c>
    </row>
    <row r="67" spans="1:10" ht="13.2" x14ac:dyDescent="0.25">
      <c r="A67" s="47" t="s">
        <v>149</v>
      </c>
      <c r="B67" s="151" t="s">
        <v>460</v>
      </c>
      <c r="C67" s="1232">
        <f>IF(C60=0,0,(C57+C58)/1000000)</f>
        <v>0</v>
      </c>
      <c r="D67" s="1232">
        <f t="shared" ref="D67:H67" si="18">IF(D60=0,0,(D57+D58)/1000000)</f>
        <v>0</v>
      </c>
      <c r="E67" s="1232">
        <f t="shared" si="18"/>
        <v>0</v>
      </c>
      <c r="F67" s="1232">
        <f t="shared" si="18"/>
        <v>1222.8290906827922</v>
      </c>
      <c r="G67" s="1232">
        <f t="shared" si="18"/>
        <v>1208.4339830528402</v>
      </c>
      <c r="H67" s="1232">
        <f t="shared" si="18"/>
        <v>1239.5346963306004</v>
      </c>
      <c r="I67" s="159">
        <f t="shared" si="2"/>
        <v>3670.7977700662323</v>
      </c>
    </row>
    <row r="68" spans="1:10" ht="13.2" x14ac:dyDescent="0.25">
      <c r="A68" s="47" t="s">
        <v>134</v>
      </c>
      <c r="B68" s="151" t="s">
        <v>56</v>
      </c>
      <c r="C68" s="1233">
        <f t="shared" ref="C68:H68" si="19">+C60/1000000</f>
        <v>0</v>
      </c>
      <c r="D68" s="1233">
        <f t="shared" si="19"/>
        <v>0</v>
      </c>
      <c r="E68" s="1233">
        <f t="shared" si="19"/>
        <v>0</v>
      </c>
      <c r="F68" s="1233">
        <f t="shared" si="19"/>
        <v>28.956569999999999</v>
      </c>
      <c r="G68" s="1233">
        <f t="shared" si="19"/>
        <v>28.59515</v>
      </c>
      <c r="H68" s="1233">
        <f t="shared" si="19"/>
        <v>29.376000000000001</v>
      </c>
      <c r="I68" s="159">
        <f t="shared" si="2"/>
        <v>86.927720000000008</v>
      </c>
    </row>
    <row r="70" spans="1:10" x14ac:dyDescent="0.2">
      <c r="C70" s="322"/>
      <c r="D70" s="322"/>
      <c r="E70" s="322"/>
      <c r="F70" s="322"/>
      <c r="G70" s="322"/>
      <c r="H70" s="322"/>
    </row>
    <row r="71" spans="1:10" ht="13.8" x14ac:dyDescent="0.25">
      <c r="A71" s="1083"/>
      <c r="B71" s="456"/>
      <c r="C71" s="1104"/>
      <c r="D71" s="1104"/>
      <c r="E71" s="1104"/>
      <c r="F71" s="1104"/>
      <c r="G71" s="1104"/>
      <c r="H71" s="1104"/>
    </row>
    <row r="72" spans="1:10" ht="13.5" customHeight="1" x14ac:dyDescent="0.2">
      <c r="A72" s="1156"/>
      <c r="B72" s="1156"/>
      <c r="C72" s="1343"/>
      <c r="D72" s="1156"/>
      <c r="E72" s="1156"/>
      <c r="F72" s="1156"/>
      <c r="G72" s="1156"/>
      <c r="H72" s="1156"/>
      <c r="I72" s="1343"/>
      <c r="J72" s="403"/>
    </row>
    <row r="73" spans="1:10" ht="13.8" x14ac:dyDescent="0.2">
      <c r="C73" s="165"/>
      <c r="D73" s="1156"/>
      <c r="E73" s="165"/>
      <c r="F73" s="165"/>
      <c r="G73" s="165"/>
      <c r="H73" s="165"/>
      <c r="I73" s="184"/>
      <c r="J73" s="403"/>
    </row>
    <row r="74" spans="1:10" ht="13.8" x14ac:dyDescent="0.2">
      <c r="C74" s="403">
        <f>+C13+'DSP2'!C13</f>
        <v>0</v>
      </c>
      <c r="D74" s="1156"/>
      <c r="J74" s="241"/>
    </row>
    <row r="75" spans="1:10" x14ac:dyDescent="0.2">
      <c r="C75" s="403"/>
      <c r="D75" s="241"/>
    </row>
    <row r="76" spans="1:10" x14ac:dyDescent="0.2">
      <c r="B76" s="456"/>
      <c r="C76" s="403"/>
      <c r="D76" s="241"/>
    </row>
    <row r="77" spans="1:10" x14ac:dyDescent="0.2">
      <c r="A77" s="638"/>
      <c r="C77" s="403"/>
      <c r="D77" s="241"/>
    </row>
    <row r="78" spans="1:10" x14ac:dyDescent="0.2">
      <c r="A78" s="638"/>
      <c r="C78" s="403"/>
      <c r="D78" s="241"/>
    </row>
    <row r="79" spans="1:10" x14ac:dyDescent="0.2">
      <c r="A79" s="638"/>
      <c r="C79" s="403"/>
      <c r="D79" s="403"/>
      <c r="E79" s="403"/>
      <c r="F79" s="403"/>
      <c r="G79" s="403"/>
      <c r="H79" s="403"/>
    </row>
    <row r="80" spans="1:10" x14ac:dyDescent="0.2">
      <c r="C80" s="403"/>
      <c r="D80" s="403"/>
      <c r="E80" s="403"/>
      <c r="F80" s="403"/>
      <c r="G80" s="403"/>
      <c r="H80" s="403"/>
      <c r="I80" s="403"/>
      <c r="J80" s="241"/>
    </row>
    <row r="81" spans="3:10" x14ac:dyDescent="0.2">
      <c r="C81" s="403"/>
      <c r="D81" s="403"/>
      <c r="E81" s="403"/>
      <c r="F81" s="403"/>
      <c r="G81" s="403"/>
      <c r="H81" s="403"/>
      <c r="J81" s="241"/>
    </row>
    <row r="82" spans="3:10" x14ac:dyDescent="0.2">
      <c r="C82" s="403"/>
      <c r="D82" s="403"/>
      <c r="E82" s="403"/>
      <c r="F82" s="403"/>
      <c r="G82" s="403"/>
      <c r="H82" s="403"/>
      <c r="J82" s="241"/>
    </row>
    <row r="83" spans="3:10" x14ac:dyDescent="0.2">
      <c r="C83" s="403"/>
      <c r="D83" s="403"/>
      <c r="E83" s="403"/>
      <c r="F83" s="403"/>
      <c r="G83" s="403"/>
      <c r="H83" s="403"/>
    </row>
    <row r="84" spans="3:10" x14ac:dyDescent="0.2">
      <c r="C84" s="403"/>
      <c r="D84" s="403"/>
      <c r="E84" s="403"/>
      <c r="F84" s="403"/>
      <c r="G84" s="403"/>
      <c r="H84" s="403"/>
    </row>
    <row r="85" spans="3:10" x14ac:dyDescent="0.2">
      <c r="C85" s="403"/>
      <c r="D85" s="403"/>
      <c r="E85" s="403"/>
      <c r="F85" s="403"/>
      <c r="G85" s="403"/>
      <c r="H85" s="403"/>
    </row>
    <row r="86" spans="3:10" x14ac:dyDescent="0.2">
      <c r="C86" s="403"/>
      <c r="D86" s="403"/>
      <c r="E86" s="403"/>
      <c r="F86" s="403"/>
      <c r="G86" s="403"/>
      <c r="H86" s="403"/>
    </row>
    <row r="87" spans="3:10" x14ac:dyDescent="0.2">
      <c r="C87" s="403"/>
      <c r="D87" s="403"/>
      <c r="E87" s="403"/>
      <c r="F87" s="403"/>
      <c r="G87" s="403"/>
      <c r="H87" s="403"/>
    </row>
    <row r="88" spans="3:10" x14ac:dyDescent="0.2">
      <c r="C88" s="403"/>
      <c r="D88" s="403"/>
      <c r="E88" s="403"/>
      <c r="F88" s="403"/>
      <c r="G88" s="403"/>
      <c r="H88" s="403"/>
    </row>
    <row r="89" spans="3:10" x14ac:dyDescent="0.2">
      <c r="C89" s="403"/>
      <c r="D89" s="403"/>
      <c r="E89" s="403"/>
      <c r="F89" s="403"/>
      <c r="G89" s="403"/>
      <c r="H89" s="403"/>
    </row>
    <row r="90" spans="3:10" x14ac:dyDescent="0.2">
      <c r="C90" s="403"/>
      <c r="D90" s="403"/>
      <c r="E90" s="403"/>
      <c r="F90" s="403"/>
      <c r="G90" s="403"/>
      <c r="H90" s="403"/>
    </row>
    <row r="91" spans="3:10" x14ac:dyDescent="0.2">
      <c r="C91" s="403"/>
      <c r="D91" s="403"/>
      <c r="E91" s="403"/>
      <c r="F91" s="403"/>
      <c r="G91" s="403"/>
      <c r="H91" s="403"/>
    </row>
    <row r="92" spans="3:10" x14ac:dyDescent="0.2">
      <c r="C92" s="403"/>
      <c r="D92" s="403"/>
      <c r="E92" s="403"/>
      <c r="F92" s="403"/>
      <c r="G92" s="403"/>
      <c r="H92" s="403"/>
    </row>
    <row r="93" spans="3:10" x14ac:dyDescent="0.2">
      <c r="C93" s="403"/>
      <c r="D93" s="403"/>
      <c r="E93" s="403"/>
      <c r="F93" s="403"/>
      <c r="G93" s="403"/>
      <c r="H93" s="403"/>
    </row>
    <row r="94" spans="3:10" x14ac:dyDescent="0.2">
      <c r="C94" s="403"/>
      <c r="D94" s="403"/>
      <c r="E94" s="403"/>
      <c r="F94" s="403"/>
      <c r="G94" s="403"/>
      <c r="H94" s="403"/>
    </row>
    <row r="95" spans="3:10" x14ac:dyDescent="0.2">
      <c r="C95" s="403"/>
      <c r="D95" s="403"/>
      <c r="E95" s="403"/>
      <c r="F95" s="403"/>
      <c r="G95" s="403"/>
      <c r="H95" s="403"/>
    </row>
    <row r="96" spans="3:10" x14ac:dyDescent="0.2">
      <c r="C96" s="403"/>
      <c r="D96" s="403"/>
      <c r="E96" s="403"/>
      <c r="F96" s="403"/>
      <c r="G96" s="403"/>
      <c r="H96" s="403"/>
    </row>
  </sheetData>
  <phoneticPr fontId="54" type="noConversion"/>
  <dataValidations count="3">
    <dataValidation type="list" allowBlank="1" showInputMessage="1" showErrorMessage="1" sqref="B51 C27 C34" xr:uid="{00000000-0002-0000-0D00-000000000000}">
      <formula1>Currency</formula1>
    </dataValidation>
    <dataValidation type="list" allowBlank="1" showInputMessage="1" showErrorMessage="1" sqref="C24 C32" xr:uid="{00000000-0002-0000-0D00-000001000000}">
      <formula1>Combustible</formula1>
    </dataValidation>
    <dataValidation type="list" allowBlank="1" showInputMessage="1" showErrorMessage="1" sqref="C26 C33" xr:uid="{00000000-0002-0000-0D00-000002000000}">
      <formula1>Units</formula1>
    </dataValidation>
  </dataValidations>
  <pageMargins left="0.69" right="0" top="0.22" bottom="0" header="0.19684820647419074" footer="0.11810804899387577"/>
  <pageSetup paperSize="9" scale="62" orientation="landscape" r:id="rId1"/>
  <headerFooter alignWithMargins="0"/>
  <rowBreaks count="1" manualBreakCount="1">
    <brk id="68" max="16383" man="1"/>
  </rowBreaks>
  <colBreaks count="1" manualBreakCount="1">
    <brk id="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tabColor rgb="FFFFC000"/>
    <pageSetUpPr fitToPage="1"/>
  </sheetPr>
  <dimension ref="A1:K88"/>
  <sheetViews>
    <sheetView showGridLines="0" view="pageBreakPreview" zoomScale="90" zoomScaleNormal="85" zoomScaleSheetLayoutView="90" workbookViewId="0">
      <selection activeCell="H22" sqref="H22"/>
    </sheetView>
  </sheetViews>
  <sheetFormatPr defaultColWidth="11" defaultRowHeight="12.6" x14ac:dyDescent="0.2"/>
  <cols>
    <col min="1" max="1" width="41.90625" customWidth="1"/>
    <col min="2" max="2" width="10.08984375" style="2" customWidth="1"/>
    <col min="3" max="5" width="17.36328125" hidden="1" customWidth="1"/>
    <col min="6" max="8" width="18" bestFit="1" customWidth="1"/>
    <col min="9" max="9" width="20.36328125" bestFit="1" customWidth="1"/>
    <col min="10" max="10" width="20.453125" customWidth="1"/>
  </cols>
  <sheetData>
    <row r="1" spans="1:10" ht="17.399999999999999" x14ac:dyDescent="0.3">
      <c r="A1" s="53" t="s">
        <v>423</v>
      </c>
      <c r="B1" s="131">
        <v>813</v>
      </c>
      <c r="C1" s="154" t="s">
        <v>424</v>
      </c>
      <c r="I1" s="561"/>
    </row>
    <row r="2" spans="1:10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10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841">
        <f>DispatchSchedule!K3</f>
        <v>46174</v>
      </c>
      <c r="I3" s="75"/>
    </row>
    <row r="4" spans="1:10" ht="13.2" x14ac:dyDescent="0.25">
      <c r="A4" s="377" t="s">
        <v>122</v>
      </c>
      <c r="B4" s="151"/>
      <c r="C4" s="466"/>
      <c r="D4" s="466"/>
      <c r="E4" s="466"/>
      <c r="F4" s="466"/>
      <c r="G4" s="467"/>
      <c r="H4" s="408"/>
    </row>
    <row r="5" spans="1:10" ht="13.2" x14ac:dyDescent="0.25">
      <c r="A5" s="1132" t="s">
        <v>310</v>
      </c>
      <c r="B5" s="1133"/>
      <c r="C5" s="1125"/>
      <c r="D5" s="1125"/>
      <c r="E5" s="1125"/>
      <c r="F5" s="1125"/>
      <c r="G5" s="90"/>
      <c r="H5" s="47"/>
      <c r="J5" s="2"/>
    </row>
    <row r="6" spans="1:10" ht="13.2" thickBot="1" x14ac:dyDescent="0.25">
      <c r="A6" s="47" t="s">
        <v>311</v>
      </c>
      <c r="B6" s="90" t="s">
        <v>312</v>
      </c>
      <c r="C6" s="1126">
        <f>SUM(C7:C15)</f>
        <v>34704326.153999999</v>
      </c>
      <c r="D6" s="1126">
        <f t="shared" ref="D6:H6" si="0">SUM(D7:D15)</f>
        <v>42449414.738788731</v>
      </c>
      <c r="E6" s="1126">
        <f t="shared" si="0"/>
        <v>36394466.999070421</v>
      </c>
      <c r="F6" s="1126">
        <f t="shared" si="0"/>
        <v>41575488.125830978</v>
      </c>
      <c r="G6" s="1126">
        <f t="shared" si="0"/>
        <v>41546262.776436806</v>
      </c>
      <c r="H6" s="1126">
        <f t="shared" si="0"/>
        <v>41516769.528006524</v>
      </c>
      <c r="I6" s="2611">
        <f>SUM(C6:H6)</f>
        <v>238186728.32213345</v>
      </c>
    </row>
    <row r="7" spans="1:10" x14ac:dyDescent="0.2">
      <c r="A7" s="1134" t="s">
        <v>753</v>
      </c>
      <c r="B7" s="90"/>
      <c r="C7" s="1129">
        <v>14898463.609999999</v>
      </c>
      <c r="D7" s="1129">
        <v>14898463.609999999</v>
      </c>
      <c r="E7" s="1129">
        <v>14898463.609999999</v>
      </c>
      <c r="F7" s="1129">
        <f>14898463.61+4547218.30985915</f>
        <v>19445681.919859149</v>
      </c>
      <c r="G7" s="1129">
        <f t="shared" ref="G7:H7" si="1">14898463.61+4547218.30985915</f>
        <v>19445681.919859149</v>
      </c>
      <c r="H7" s="1129">
        <f t="shared" si="1"/>
        <v>19445681.919859149</v>
      </c>
      <c r="I7" s="2611">
        <f>SUM(C7:H7)</f>
        <v>103032436.58957744</v>
      </c>
      <c r="J7" s="2632">
        <f>+H7+'DSP1'!F7+'GT16'!H7+'GT07'!H7+'CCKP 02'!H7+CCKP!G7+DNCHU!F7+'Island Gen'!H7+Barge!H7+'30MW-Hambantota'!G7+'20MW-Mathugama'!G7</f>
        <v>141328515.06999999</v>
      </c>
    </row>
    <row r="8" spans="1:10" x14ac:dyDescent="0.2">
      <c r="A8" s="1134" t="s">
        <v>758</v>
      </c>
      <c r="B8" s="90"/>
      <c r="C8" s="1129">
        <v>4901408.45</v>
      </c>
      <c r="D8" s="1129">
        <v>4901408.45</v>
      </c>
      <c r="E8" s="1129">
        <v>4901408.45</v>
      </c>
      <c r="F8" s="1129">
        <v>4901408.45</v>
      </c>
      <c r="G8" s="1129">
        <v>4901408.45</v>
      </c>
      <c r="H8" s="1129">
        <v>4901408.45</v>
      </c>
      <c r="I8" s="2611">
        <f t="shared" ref="I8:I69" si="2">SUM(C8:H8)</f>
        <v>29408450.699999999</v>
      </c>
      <c r="J8" s="2633">
        <f>6896.54791666667*1000</f>
        <v>6896547.9166666698</v>
      </c>
    </row>
    <row r="9" spans="1:10" x14ac:dyDescent="0.2">
      <c r="A9" s="1134" t="s">
        <v>754</v>
      </c>
      <c r="B9" s="90"/>
      <c r="C9" s="1129">
        <v>1613480.43</v>
      </c>
      <c r="D9" s="1129">
        <v>1613480.43</v>
      </c>
      <c r="E9" s="1129">
        <v>1613480.43</v>
      </c>
      <c r="F9" s="1129">
        <v>1613480.43</v>
      </c>
      <c r="G9" s="1129">
        <v>1613480.43</v>
      </c>
      <c r="H9" s="1129">
        <v>1613480.43</v>
      </c>
      <c r="I9" s="2611">
        <f t="shared" si="2"/>
        <v>9680882.5800000001</v>
      </c>
      <c r="J9" s="2634">
        <f>SUM(J7:J8)</f>
        <v>148225062.98666665</v>
      </c>
    </row>
    <row r="10" spans="1:10" x14ac:dyDescent="0.2">
      <c r="A10" s="1134" t="s">
        <v>755</v>
      </c>
      <c r="B10" s="90"/>
      <c r="C10" s="1129">
        <v>848810.71</v>
      </c>
      <c r="D10" s="1129">
        <v>848810.71</v>
      </c>
      <c r="E10" s="1129">
        <v>848810.71</v>
      </c>
      <c r="F10" s="1129">
        <v>848810.71</v>
      </c>
      <c r="G10" s="1129">
        <v>848810.71</v>
      </c>
      <c r="H10" s="1129">
        <v>848810.71</v>
      </c>
      <c r="I10" s="2611">
        <f t="shared" si="2"/>
        <v>5092864.26</v>
      </c>
      <c r="J10" s="2635">
        <f>+J9*12</f>
        <v>1778700755.8399997</v>
      </c>
    </row>
    <row r="11" spans="1:10" ht="13.2" thickBot="1" x14ac:dyDescent="0.25">
      <c r="A11" s="1134" t="s">
        <v>752</v>
      </c>
      <c r="B11" s="90"/>
      <c r="C11" s="1129">
        <f>3648953.87*0.2</f>
        <v>729790.77400000009</v>
      </c>
      <c r="D11" s="1129">
        <f t="shared" ref="D11:H11" si="3">3648953.87*0.2</f>
        <v>729790.77400000009</v>
      </c>
      <c r="E11" s="1129">
        <f t="shared" si="3"/>
        <v>729790.77400000009</v>
      </c>
      <c r="F11" s="1129">
        <f t="shared" si="3"/>
        <v>729790.77400000009</v>
      </c>
      <c r="G11" s="1129">
        <f t="shared" si="3"/>
        <v>729790.77400000009</v>
      </c>
      <c r="H11" s="1129">
        <f t="shared" si="3"/>
        <v>729790.77400000009</v>
      </c>
      <c r="I11" s="2611">
        <f t="shared" si="2"/>
        <v>4378744.6440000003</v>
      </c>
      <c r="J11" s="2636"/>
    </row>
    <row r="12" spans="1:10" x14ac:dyDescent="0.2">
      <c r="A12" s="1134" t="s">
        <v>757</v>
      </c>
      <c r="B12" s="90"/>
      <c r="C12" s="1129">
        <v>6384686.3899999997</v>
      </c>
      <c r="D12" s="1129">
        <f>6384686.39+6815511.12</f>
        <v>13200197.51</v>
      </c>
      <c r="E12" s="1129">
        <v>6384686.3899999997</v>
      </c>
      <c r="F12" s="1129">
        <v>6384686.3899999997</v>
      </c>
      <c r="G12" s="1129">
        <v>6384686.3899999997</v>
      </c>
      <c r="H12" s="1129">
        <v>6384686.3899999997</v>
      </c>
      <c r="I12" s="2611">
        <f t="shared" si="2"/>
        <v>45123629.460000001</v>
      </c>
      <c r="J12" s="241"/>
    </row>
    <row r="13" spans="1:10" x14ac:dyDescent="0.2">
      <c r="A13" s="1825" t="s">
        <v>756</v>
      </c>
      <c r="B13" s="90"/>
      <c r="C13" s="2721">
        <v>0</v>
      </c>
      <c r="D13" s="2721">
        <v>929577.46478873235</v>
      </c>
      <c r="E13" s="2721">
        <v>1690140.8450704224</v>
      </c>
      <c r="F13" s="2721">
        <v>2323943.6619718308</v>
      </c>
      <c r="G13" s="2721">
        <v>2294718.3125776602</v>
      </c>
      <c r="H13" s="2721">
        <v>2265225.064147376</v>
      </c>
      <c r="I13" s="2611">
        <f t="shared" si="2"/>
        <v>9503605.3485560212</v>
      </c>
      <c r="J13" s="241"/>
    </row>
    <row r="14" spans="1:10" x14ac:dyDescent="0.2">
      <c r="A14" s="1134" t="s">
        <v>814</v>
      </c>
      <c r="B14" s="90"/>
      <c r="C14" s="1129">
        <v>5327685.79</v>
      </c>
      <c r="D14" s="1129">
        <v>5327685.79</v>
      </c>
      <c r="E14" s="1129">
        <v>5327685.79</v>
      </c>
      <c r="F14" s="1129">
        <v>5327685.79</v>
      </c>
      <c r="G14" s="1129">
        <v>5327685.79</v>
      </c>
      <c r="H14" s="1129">
        <v>5327685.79</v>
      </c>
      <c r="I14" s="2611">
        <f t="shared" si="2"/>
        <v>31966114.739999998</v>
      </c>
      <c r="J14" s="241">
        <v>7983592</v>
      </c>
    </row>
    <row r="15" spans="1:10" x14ac:dyDescent="0.2">
      <c r="A15" s="1134" t="s">
        <v>815</v>
      </c>
      <c r="B15" s="90"/>
      <c r="C15" s="1129">
        <v>0</v>
      </c>
      <c r="D15" s="1129">
        <v>0</v>
      </c>
      <c r="E15" s="1129">
        <v>0</v>
      </c>
      <c r="F15" s="1129">
        <v>0</v>
      </c>
      <c r="G15" s="1129">
        <v>0</v>
      </c>
      <c r="H15" s="1129">
        <v>0</v>
      </c>
      <c r="I15" s="2611">
        <f t="shared" si="2"/>
        <v>0</v>
      </c>
      <c r="J15" s="241">
        <v>7983592</v>
      </c>
    </row>
    <row r="16" spans="1:10" x14ac:dyDescent="0.2">
      <c r="A16" s="47" t="s">
        <v>313</v>
      </c>
      <c r="B16" s="90" t="s">
        <v>312</v>
      </c>
      <c r="C16" s="1169">
        <v>1173534</v>
      </c>
      <c r="D16" s="1169">
        <v>1173534</v>
      </c>
      <c r="E16" s="1169">
        <v>1173534</v>
      </c>
      <c r="F16" s="1169">
        <f>2708519.01+331833.137621315</f>
        <v>3040352.147621315</v>
      </c>
      <c r="G16" s="1169">
        <f t="shared" ref="G16:H16" si="4">2708519.01+331833.137621315</f>
        <v>3040352.147621315</v>
      </c>
      <c r="H16" s="1169">
        <f t="shared" si="4"/>
        <v>3040352.147621315</v>
      </c>
      <c r="I16" s="2611">
        <f t="shared" si="2"/>
        <v>12641658.442863945</v>
      </c>
      <c r="J16" s="241"/>
    </row>
    <row r="17" spans="1:11" x14ac:dyDescent="0.2">
      <c r="A17" s="47" t="s">
        <v>314</v>
      </c>
      <c r="B17" s="90" t="s">
        <v>312</v>
      </c>
      <c r="C17" s="1127">
        <v>2023977.77</v>
      </c>
      <c r="D17" s="1127">
        <v>2023977.77</v>
      </c>
      <c r="E17" s="1127">
        <v>2023977.77</v>
      </c>
      <c r="F17" s="1127">
        <f>2023977.77+359054.049991327</f>
        <v>2383031.8199913269</v>
      </c>
      <c r="G17" s="1127">
        <f t="shared" ref="G17:H17" si="5">2023977.77+359054.049991327</f>
        <v>2383031.8199913269</v>
      </c>
      <c r="H17" s="1127">
        <f t="shared" si="5"/>
        <v>2383031.8199913269</v>
      </c>
      <c r="I17" s="2611">
        <f t="shared" si="2"/>
        <v>13221028.769973982</v>
      </c>
      <c r="J17" s="241"/>
      <c r="K17" s="1035"/>
    </row>
    <row r="18" spans="1:11" x14ac:dyDescent="0.2">
      <c r="A18" s="47" t="s">
        <v>315</v>
      </c>
      <c r="B18" s="90"/>
      <c r="C18" s="1139"/>
      <c r="D18" s="1139"/>
      <c r="E18" s="1139"/>
      <c r="F18" s="1139"/>
      <c r="G18" s="1139"/>
      <c r="H18" s="1139"/>
      <c r="I18" s="2611">
        <f t="shared" si="2"/>
        <v>0</v>
      </c>
      <c r="J18" s="241"/>
    </row>
    <row r="19" spans="1:11" x14ac:dyDescent="0.2">
      <c r="A19" s="47" t="s">
        <v>316</v>
      </c>
      <c r="B19" s="90"/>
      <c r="C19" s="1137"/>
      <c r="D19" s="1137"/>
      <c r="E19" s="1137"/>
      <c r="F19" s="1137"/>
      <c r="G19" s="1137"/>
      <c r="H19" s="1137"/>
      <c r="I19" s="2611">
        <f t="shared" si="2"/>
        <v>0</v>
      </c>
    </row>
    <row r="20" spans="1:11" x14ac:dyDescent="0.2">
      <c r="A20" s="47"/>
      <c r="B20" s="90"/>
      <c r="C20" s="1125"/>
      <c r="D20" s="1125"/>
      <c r="E20" s="1125"/>
      <c r="F20" s="1125"/>
      <c r="G20" s="90"/>
      <c r="H20" s="90"/>
      <c r="I20" s="2611">
        <f t="shared" si="2"/>
        <v>0</v>
      </c>
    </row>
    <row r="21" spans="1:11" ht="13.2" x14ac:dyDescent="0.25">
      <c r="A21" s="1132" t="s">
        <v>317</v>
      </c>
      <c r="B21" s="1133"/>
      <c r="C21" s="1125"/>
      <c r="D21" s="1125"/>
      <c r="E21" s="1125"/>
      <c r="F21" s="1125"/>
      <c r="G21" s="1125"/>
      <c r="H21" s="1125"/>
      <c r="I21" s="2611">
        <f t="shared" si="2"/>
        <v>0</v>
      </c>
      <c r="J21" s="415"/>
    </row>
    <row r="22" spans="1:11" x14ac:dyDescent="0.2">
      <c r="A22" s="47" t="s">
        <v>318</v>
      </c>
      <c r="B22" s="90" t="s">
        <v>312</v>
      </c>
      <c r="C22" s="2721">
        <v>0</v>
      </c>
      <c r="D22" s="2721">
        <v>1690140.8450704224</v>
      </c>
      <c r="E22" s="2721">
        <v>3098591.5492957747</v>
      </c>
      <c r="F22" s="2721">
        <v>4225352.1126760552</v>
      </c>
      <c r="G22" s="2721">
        <v>4225352.1126760552</v>
      </c>
      <c r="H22" s="2721">
        <v>4225352.1126760552</v>
      </c>
      <c r="I22" s="2611">
        <f t="shared" si="2"/>
        <v>17464788.73239436</v>
      </c>
      <c r="J22" s="1831">
        <v>19665823.943661973</v>
      </c>
    </row>
    <row r="23" spans="1:11" x14ac:dyDescent="0.2">
      <c r="A23" s="47"/>
      <c r="B23" s="90"/>
      <c r="C23" s="47"/>
      <c r="D23" s="1125"/>
      <c r="E23" s="1125"/>
      <c r="F23" s="1125"/>
      <c r="G23" s="90"/>
      <c r="H23" s="47"/>
      <c r="I23" s="2611">
        <f t="shared" si="2"/>
        <v>0</v>
      </c>
    </row>
    <row r="24" spans="1:11" ht="13.2" x14ac:dyDescent="0.25">
      <c r="A24" s="132" t="s">
        <v>24</v>
      </c>
      <c r="B24" s="151"/>
      <c r="C24" s="1125"/>
      <c r="D24" s="1125"/>
      <c r="E24" s="1125"/>
      <c r="F24" s="1125"/>
      <c r="G24" s="90"/>
      <c r="H24" s="47"/>
      <c r="I24" s="2611">
        <f t="shared" si="2"/>
        <v>0</v>
      </c>
    </row>
    <row r="25" spans="1:11" x14ac:dyDescent="0.2">
      <c r="A25" s="126" t="s">
        <v>89</v>
      </c>
      <c r="B25" s="90" t="s">
        <v>370</v>
      </c>
      <c r="C25" s="1125"/>
      <c r="D25" s="1125"/>
      <c r="E25" s="1125"/>
      <c r="F25" s="1125"/>
      <c r="G25" s="90"/>
      <c r="H25" s="90"/>
      <c r="I25" s="2611">
        <f t="shared" si="2"/>
        <v>0</v>
      </c>
    </row>
    <row r="26" spans="1:11" x14ac:dyDescent="0.2">
      <c r="A26" s="126" t="s">
        <v>100</v>
      </c>
      <c r="B26" s="90" t="s">
        <v>371</v>
      </c>
      <c r="C26" s="1125"/>
      <c r="D26" s="1125"/>
      <c r="E26" s="1125"/>
      <c r="F26" s="1125"/>
      <c r="G26" s="90"/>
      <c r="H26" s="90"/>
      <c r="I26" s="2611">
        <f t="shared" si="2"/>
        <v>0</v>
      </c>
    </row>
    <row r="27" spans="1:11" x14ac:dyDescent="0.2">
      <c r="A27" s="126" t="s">
        <v>99</v>
      </c>
      <c r="B27" s="90" t="s">
        <v>372</v>
      </c>
      <c r="C27" s="1125"/>
      <c r="D27" s="1125"/>
      <c r="E27" s="1125"/>
      <c r="F27" s="1125"/>
      <c r="G27" s="90"/>
      <c r="H27" s="90"/>
      <c r="I27" s="2611">
        <f t="shared" si="2"/>
        <v>0</v>
      </c>
      <c r="J27" s="402">
        <v>3277637.2952112677</v>
      </c>
    </row>
    <row r="28" spans="1:11" x14ac:dyDescent="0.2">
      <c r="A28" s="507" t="s">
        <v>816</v>
      </c>
      <c r="B28" s="90" t="s">
        <v>373</v>
      </c>
      <c r="C28" s="2711">
        <v>0.218</v>
      </c>
      <c r="D28" s="2711">
        <v>0.218</v>
      </c>
      <c r="E28" s="2711">
        <v>0.218</v>
      </c>
      <c r="F28" s="2711">
        <v>0.218</v>
      </c>
      <c r="G28" s="2711">
        <v>0.218</v>
      </c>
      <c r="H28" s="2711">
        <v>0.218</v>
      </c>
      <c r="I28" s="2611">
        <f t="shared" si="2"/>
        <v>1.3080000000000001</v>
      </c>
    </row>
    <row r="29" spans="1:11" x14ac:dyDescent="0.2">
      <c r="A29" s="47" t="s">
        <v>87</v>
      </c>
      <c r="B29" s="90" t="s">
        <v>374</v>
      </c>
      <c r="C29" s="1146">
        <f>Inputs!C76</f>
        <v>177</v>
      </c>
      <c r="D29" s="1146">
        <f>Inputs!D76</f>
        <v>168</v>
      </c>
      <c r="E29" s="1146">
        <f>Inputs!E76</f>
        <v>168</v>
      </c>
      <c r="F29" s="1146">
        <f>Inputs!F76</f>
        <v>168</v>
      </c>
      <c r="G29" s="1146">
        <f>Inputs!G76</f>
        <v>168</v>
      </c>
      <c r="H29" s="1146">
        <f>Inputs!H76</f>
        <v>168</v>
      </c>
      <c r="I29" s="2611">
        <f t="shared" si="2"/>
        <v>1017</v>
      </c>
    </row>
    <row r="30" spans="1:11" x14ac:dyDescent="0.2">
      <c r="A30" s="47" t="s">
        <v>375</v>
      </c>
      <c r="B30" s="90" t="s">
        <v>214</v>
      </c>
      <c r="C30" s="143">
        <f t="shared" ref="C30:H30" si="6">C28*C29</f>
        <v>38.585999999999999</v>
      </c>
      <c r="D30" s="143">
        <f t="shared" si="6"/>
        <v>36.624000000000002</v>
      </c>
      <c r="E30" s="143">
        <f t="shared" si="6"/>
        <v>36.624000000000002</v>
      </c>
      <c r="F30" s="143">
        <f t="shared" si="6"/>
        <v>36.624000000000002</v>
      </c>
      <c r="G30" s="143">
        <f t="shared" si="6"/>
        <v>36.624000000000002</v>
      </c>
      <c r="H30" s="143">
        <f t="shared" si="6"/>
        <v>36.624000000000002</v>
      </c>
      <c r="I30" s="2611">
        <f t="shared" si="2"/>
        <v>221.70599999999999</v>
      </c>
    </row>
    <row r="31" spans="1:11" x14ac:dyDescent="0.2">
      <c r="A31" s="47" t="s">
        <v>642</v>
      </c>
      <c r="B31" s="514" t="s">
        <v>56</v>
      </c>
      <c r="C31" s="143">
        <f>DispatchSchedule!F7</f>
        <v>0</v>
      </c>
      <c r="D31" s="143">
        <f>DispatchSchedule!G7</f>
        <v>0</v>
      </c>
      <c r="E31" s="143">
        <f>DispatchSchedule!H7</f>
        <v>0</v>
      </c>
      <c r="F31" s="143">
        <f>DispatchSchedule!I7</f>
        <v>38.376503999999997</v>
      </c>
      <c r="G31" s="143">
        <f>DispatchSchedule!J7</f>
        <v>38.831554829999995</v>
      </c>
      <c r="H31" s="143">
        <f>DispatchSchedule!K7</f>
        <v>38.376503999999997</v>
      </c>
      <c r="I31" s="2611">
        <f t="shared" si="2"/>
        <v>115.58456283</v>
      </c>
    </row>
    <row r="32" spans="1:11" x14ac:dyDescent="0.2">
      <c r="A32" s="1150" t="s">
        <v>90</v>
      </c>
      <c r="B32" s="515" t="s">
        <v>505</v>
      </c>
      <c r="C32" s="1148"/>
      <c r="D32" s="1148"/>
      <c r="E32" s="1148"/>
      <c r="F32" s="1148"/>
      <c r="G32" s="1149"/>
      <c r="H32" s="1149"/>
      <c r="I32" s="2611">
        <f t="shared" si="2"/>
        <v>0</v>
      </c>
    </row>
    <row r="33" spans="1:9" x14ac:dyDescent="0.2">
      <c r="A33" s="1150" t="s">
        <v>100</v>
      </c>
      <c r="B33" s="1149" t="s">
        <v>371</v>
      </c>
      <c r="C33" s="1148"/>
      <c r="D33" s="1148"/>
      <c r="E33" s="1148"/>
      <c r="F33" s="1148"/>
      <c r="G33" s="1149"/>
      <c r="H33" s="1149"/>
      <c r="I33" s="2611">
        <f t="shared" si="2"/>
        <v>0</v>
      </c>
    </row>
    <row r="34" spans="1:9" x14ac:dyDescent="0.2">
      <c r="A34" s="1150" t="s">
        <v>99</v>
      </c>
      <c r="B34" s="1149" t="s">
        <v>372</v>
      </c>
      <c r="C34" s="1148"/>
      <c r="D34" s="1148"/>
      <c r="E34" s="1148"/>
      <c r="F34" s="1148"/>
      <c r="G34" s="1149"/>
      <c r="H34" s="1149"/>
      <c r="I34" s="2611">
        <f t="shared" si="2"/>
        <v>0</v>
      </c>
    </row>
    <row r="35" spans="1:9" x14ac:dyDescent="0.2">
      <c r="A35" s="1151" t="s">
        <v>816</v>
      </c>
      <c r="B35" s="1149" t="s">
        <v>373</v>
      </c>
      <c r="C35" s="1875">
        <v>0.25330000000000003</v>
      </c>
      <c r="D35" s="1875">
        <v>0.25330000000000003</v>
      </c>
      <c r="E35" s="1875">
        <v>0.25330000000000003</v>
      </c>
      <c r="F35" s="1875">
        <v>0.25330000000000003</v>
      </c>
      <c r="G35" s="1875">
        <v>0.25330000000000003</v>
      </c>
      <c r="H35" s="1875">
        <v>0.25330000000000003</v>
      </c>
      <c r="I35" s="2611">
        <f t="shared" si="2"/>
        <v>1.5198000000000003</v>
      </c>
    </row>
    <row r="36" spans="1:9" x14ac:dyDescent="0.2">
      <c r="A36" s="1151" t="s">
        <v>87</v>
      </c>
      <c r="B36" s="1149" t="s">
        <v>374</v>
      </c>
      <c r="C36" s="1152">
        <f>+Inputs!C68</f>
        <v>279</v>
      </c>
      <c r="D36" s="1152">
        <f>+Inputs!D68</f>
        <v>277</v>
      </c>
      <c r="E36" s="1152">
        <f>+Inputs!E68</f>
        <v>277</v>
      </c>
      <c r="F36" s="1152">
        <f>+Inputs!F68</f>
        <v>382</v>
      </c>
      <c r="G36" s="1152">
        <f>+Inputs!G68</f>
        <v>382</v>
      </c>
      <c r="H36" s="1152">
        <f>+Inputs!H68</f>
        <v>382</v>
      </c>
      <c r="I36" s="2611">
        <f t="shared" si="2"/>
        <v>1979</v>
      </c>
    </row>
    <row r="37" spans="1:9" x14ac:dyDescent="0.2">
      <c r="A37" s="1151" t="s">
        <v>375</v>
      </c>
      <c r="B37" s="1149" t="s">
        <v>214</v>
      </c>
      <c r="C37" s="1153">
        <f>C35*C36</f>
        <v>70.670700000000011</v>
      </c>
      <c r="D37" s="1153">
        <f t="shared" ref="D37:G37" si="7">D35*D36</f>
        <v>70.164100000000005</v>
      </c>
      <c r="E37" s="1153">
        <f t="shared" si="7"/>
        <v>70.164100000000005</v>
      </c>
      <c r="F37" s="1153">
        <f t="shared" si="7"/>
        <v>96.760600000000011</v>
      </c>
      <c r="G37" s="1153">
        <f t="shared" si="7"/>
        <v>96.760600000000011</v>
      </c>
      <c r="H37" s="1153">
        <f>H35*H36</f>
        <v>96.760600000000011</v>
      </c>
      <c r="I37" s="2611">
        <f t="shared" si="2"/>
        <v>501.28070000000008</v>
      </c>
    </row>
    <row r="38" spans="1:9" x14ac:dyDescent="0.2">
      <c r="A38" s="1147" t="s">
        <v>134</v>
      </c>
      <c r="B38" s="515" t="s">
        <v>56</v>
      </c>
      <c r="C38" s="1157"/>
      <c r="D38" s="1157"/>
      <c r="E38" s="1157"/>
      <c r="F38" s="1157"/>
      <c r="G38" s="1157"/>
      <c r="H38" s="1157"/>
      <c r="I38" s="2611">
        <f t="shared" si="2"/>
        <v>0</v>
      </c>
    </row>
    <row r="39" spans="1:9" x14ac:dyDescent="0.2">
      <c r="A39" s="47"/>
      <c r="B39" s="90"/>
      <c r="C39" s="143"/>
      <c r="D39" s="143"/>
      <c r="E39" s="143"/>
      <c r="F39" s="143"/>
      <c r="G39" s="143"/>
      <c r="H39" s="143"/>
      <c r="I39" s="2611">
        <f t="shared" si="2"/>
        <v>0</v>
      </c>
    </row>
    <row r="40" spans="1:9" x14ac:dyDescent="0.2">
      <c r="A40" s="47"/>
      <c r="B40" s="90"/>
      <c r="C40" s="143"/>
      <c r="D40" s="143"/>
      <c r="E40" s="143"/>
      <c r="F40" s="143"/>
      <c r="G40" s="143"/>
      <c r="H40" s="143"/>
      <c r="I40" s="2611">
        <f t="shared" si="2"/>
        <v>0</v>
      </c>
    </row>
    <row r="41" spans="1:9" ht="13.2" x14ac:dyDescent="0.25">
      <c r="A41" s="132" t="s">
        <v>132</v>
      </c>
      <c r="B41" s="151"/>
      <c r="C41" s="1125"/>
      <c r="D41" s="1125"/>
      <c r="E41" s="1125"/>
      <c r="F41" s="1125"/>
      <c r="G41" s="90"/>
      <c r="H41" s="47"/>
      <c r="I41" s="2611">
        <f t="shared" si="2"/>
        <v>0</v>
      </c>
    </row>
    <row r="42" spans="1:9" x14ac:dyDescent="0.2">
      <c r="A42" s="47" t="s">
        <v>376</v>
      </c>
      <c r="B42" s="90" t="s">
        <v>312</v>
      </c>
      <c r="C42" s="1169">
        <v>55119718</v>
      </c>
      <c r="D42" s="1169">
        <v>55119718</v>
      </c>
      <c r="E42" s="1169">
        <v>55119718</v>
      </c>
      <c r="F42" s="1169">
        <v>55119718</v>
      </c>
      <c r="G42" s="1169">
        <v>55119718</v>
      </c>
      <c r="H42" s="1169">
        <v>55119718</v>
      </c>
      <c r="I42" s="2611">
        <f t="shared" si="2"/>
        <v>330718308</v>
      </c>
    </row>
    <row r="43" spans="1:9" x14ac:dyDescent="0.2">
      <c r="A43" s="47" t="s">
        <v>376</v>
      </c>
      <c r="B43" s="90" t="s">
        <v>377</v>
      </c>
      <c r="C43" s="1125"/>
      <c r="D43" s="1125"/>
      <c r="E43" s="1125"/>
      <c r="F43" s="1125"/>
      <c r="G43" s="90"/>
      <c r="H43" s="47"/>
      <c r="I43" s="2611">
        <f t="shared" si="2"/>
        <v>0</v>
      </c>
    </row>
    <row r="44" spans="1:9" x14ac:dyDescent="0.2">
      <c r="A44" s="47" t="s">
        <v>315</v>
      </c>
      <c r="B44" s="90"/>
      <c r="C44" s="1140">
        <f>C18</f>
        <v>0</v>
      </c>
      <c r="D44" s="1140">
        <f t="shared" ref="D44:H45" si="8">D18</f>
        <v>0</v>
      </c>
      <c r="E44" s="1140">
        <f t="shared" si="8"/>
        <v>0</v>
      </c>
      <c r="F44" s="1140">
        <f t="shared" si="8"/>
        <v>0</v>
      </c>
      <c r="G44" s="1140">
        <f t="shared" si="8"/>
        <v>0</v>
      </c>
      <c r="H44" s="1140">
        <f t="shared" si="8"/>
        <v>0</v>
      </c>
      <c r="I44" s="2611">
        <f t="shared" si="2"/>
        <v>0</v>
      </c>
    </row>
    <row r="45" spans="1:9" x14ac:dyDescent="0.2">
      <c r="A45" s="47" t="s">
        <v>316</v>
      </c>
      <c r="B45" s="90"/>
      <c r="C45" s="1140">
        <f>C19</f>
        <v>0</v>
      </c>
      <c r="D45" s="1140">
        <f t="shared" si="8"/>
        <v>0</v>
      </c>
      <c r="E45" s="1140">
        <f t="shared" si="8"/>
        <v>0</v>
      </c>
      <c r="F45" s="1140">
        <f t="shared" si="8"/>
        <v>0</v>
      </c>
      <c r="G45" s="1140">
        <f t="shared" si="8"/>
        <v>0</v>
      </c>
      <c r="H45" s="1140">
        <f t="shared" si="8"/>
        <v>0</v>
      </c>
      <c r="I45" s="2611">
        <f t="shared" si="2"/>
        <v>0</v>
      </c>
    </row>
    <row r="46" spans="1:9" x14ac:dyDescent="0.2">
      <c r="A46" s="47" t="s">
        <v>378</v>
      </c>
      <c r="B46" s="90"/>
      <c r="C46" s="1140"/>
      <c r="D46" s="1125"/>
      <c r="E46" s="1125"/>
      <c r="F46" s="1125"/>
      <c r="G46" s="90"/>
      <c r="H46" s="1154"/>
      <c r="I46" s="2611">
        <f t="shared" si="2"/>
        <v>0</v>
      </c>
    </row>
    <row r="47" spans="1:9" x14ac:dyDescent="0.2">
      <c r="A47" s="47" t="s">
        <v>379</v>
      </c>
      <c r="B47" s="90"/>
      <c r="C47" s="1140"/>
      <c r="D47" s="1125"/>
      <c r="E47" s="1125"/>
      <c r="F47" s="1125"/>
      <c r="G47" s="90"/>
      <c r="H47" s="1154"/>
      <c r="I47" s="2611">
        <f t="shared" si="2"/>
        <v>0</v>
      </c>
    </row>
    <row r="48" spans="1:9" ht="13.2" x14ac:dyDescent="0.25">
      <c r="A48" s="132" t="s">
        <v>380</v>
      </c>
      <c r="B48" s="90"/>
      <c r="C48" s="1125"/>
      <c r="D48" s="1125"/>
      <c r="E48" s="1125"/>
      <c r="F48" s="1125"/>
      <c r="G48" s="90"/>
      <c r="H48" s="1155"/>
      <c r="I48" s="2611">
        <f t="shared" si="2"/>
        <v>0</v>
      </c>
    </row>
    <row r="49" spans="1:10" x14ac:dyDescent="0.2">
      <c r="A49" s="484" t="s">
        <v>1368</v>
      </c>
      <c r="B49" s="514" t="s">
        <v>1365</v>
      </c>
      <c r="C49" s="1169">
        <v>270500</v>
      </c>
      <c r="D49" s="1169">
        <v>270500</v>
      </c>
      <c r="E49" s="1169">
        <v>270500</v>
      </c>
      <c r="F49" s="1169">
        <v>270500</v>
      </c>
      <c r="G49" s="1169">
        <v>270500</v>
      </c>
      <c r="H49" s="1169">
        <v>270500</v>
      </c>
      <c r="I49" s="2611">
        <f t="shared" si="2"/>
        <v>1623000</v>
      </c>
    </row>
    <row r="50" spans="1:10" x14ac:dyDescent="0.2">
      <c r="A50" s="484" t="s">
        <v>1367</v>
      </c>
      <c r="B50" s="514" t="s">
        <v>1365</v>
      </c>
      <c r="C50" s="1169">
        <v>102500</v>
      </c>
      <c r="D50" s="1169">
        <v>102500</v>
      </c>
      <c r="E50" s="1169">
        <v>102500</v>
      </c>
      <c r="F50" s="1169">
        <v>102500</v>
      </c>
      <c r="G50" s="1169">
        <v>102500</v>
      </c>
      <c r="H50" s="1169">
        <v>102500</v>
      </c>
      <c r="I50" s="2611"/>
    </row>
    <row r="51" spans="1:10" x14ac:dyDescent="0.2">
      <c r="A51" s="484" t="s">
        <v>1366</v>
      </c>
      <c r="B51" s="514" t="s">
        <v>1365</v>
      </c>
      <c r="C51" s="1169">
        <v>58300</v>
      </c>
      <c r="D51" s="1169">
        <v>58300</v>
      </c>
      <c r="E51" s="1169">
        <v>58300</v>
      </c>
      <c r="F51" s="1169">
        <v>58300</v>
      </c>
      <c r="G51" s="1169">
        <v>58300</v>
      </c>
      <c r="H51" s="1169">
        <v>58300</v>
      </c>
      <c r="I51" s="2611">
        <f t="shared" si="2"/>
        <v>349800</v>
      </c>
    </row>
    <row r="52" spans="1:10" ht="12.75" customHeight="1" x14ac:dyDescent="0.2">
      <c r="A52" s="47"/>
      <c r="B52" s="90"/>
      <c r="C52" s="1129"/>
      <c r="D52" s="1129"/>
      <c r="E52" s="1129"/>
      <c r="F52" s="1129"/>
      <c r="G52" s="1129"/>
      <c r="H52" s="1129"/>
      <c r="I52" s="2611">
        <f t="shared" si="2"/>
        <v>0</v>
      </c>
    </row>
    <row r="53" spans="1:10" x14ac:dyDescent="0.2">
      <c r="A53" s="47" t="s">
        <v>1369</v>
      </c>
      <c r="B53" s="90" t="s">
        <v>385</v>
      </c>
      <c r="C53" s="1129">
        <v>9</v>
      </c>
      <c r="D53" s="1129">
        <v>9</v>
      </c>
      <c r="E53" s="1129">
        <v>9</v>
      </c>
      <c r="F53" s="1129">
        <v>9</v>
      </c>
      <c r="G53" s="1129">
        <v>9</v>
      </c>
      <c r="H53" s="1129">
        <v>9</v>
      </c>
      <c r="I53" s="2611">
        <f t="shared" si="2"/>
        <v>54</v>
      </c>
    </row>
    <row r="54" spans="1:10" x14ac:dyDescent="0.2">
      <c r="A54" s="47" t="s">
        <v>1370</v>
      </c>
      <c r="B54" s="90" t="s">
        <v>385</v>
      </c>
      <c r="C54" s="1129">
        <v>36</v>
      </c>
      <c r="D54" s="1129">
        <v>36</v>
      </c>
      <c r="E54" s="1129">
        <v>36</v>
      </c>
      <c r="F54" s="1129">
        <v>36</v>
      </c>
      <c r="G54" s="1129">
        <v>36</v>
      </c>
      <c r="H54" s="1129">
        <v>36</v>
      </c>
      <c r="I54" s="2611"/>
    </row>
    <row r="55" spans="1:10" x14ac:dyDescent="0.2">
      <c r="A55" s="47" t="s">
        <v>1371</v>
      </c>
      <c r="B55" s="90" t="s">
        <v>385</v>
      </c>
      <c r="C55" s="1145">
        <v>74</v>
      </c>
      <c r="D55" s="1145">
        <v>74</v>
      </c>
      <c r="E55" s="1145">
        <v>74</v>
      </c>
      <c r="F55" s="1145">
        <v>74</v>
      </c>
      <c r="G55" s="1145">
        <v>74</v>
      </c>
      <c r="H55" s="1145">
        <v>74</v>
      </c>
      <c r="I55" s="2611">
        <f t="shared" si="2"/>
        <v>444</v>
      </c>
    </row>
    <row r="56" spans="1:10" x14ac:dyDescent="0.2">
      <c r="A56" s="47"/>
      <c r="B56" s="90"/>
      <c r="C56" s="1125"/>
      <c r="D56" s="1125"/>
      <c r="E56" s="1125"/>
      <c r="F56" s="1125"/>
      <c r="G56" s="90"/>
      <c r="H56" s="1130"/>
      <c r="I56" s="2611">
        <f t="shared" si="2"/>
        <v>0</v>
      </c>
    </row>
    <row r="57" spans="1:10" ht="13.2" x14ac:dyDescent="0.25">
      <c r="A57" s="47" t="s">
        <v>148</v>
      </c>
      <c r="B57" s="151" t="s">
        <v>320</v>
      </c>
      <c r="C57" s="1125">
        <f>C6+C16+C17+C22</f>
        <v>37901837.924000002</v>
      </c>
      <c r="D57" s="1125">
        <f t="shared" ref="D57:H57" si="9">D6+D16+D17+D22</f>
        <v>47337067.353859156</v>
      </c>
      <c r="E57" s="1125">
        <f t="shared" si="9"/>
        <v>42690570.3183662</v>
      </c>
      <c r="F57" s="1125">
        <f t="shared" si="9"/>
        <v>51224224.206119679</v>
      </c>
      <c r="G57" s="1125">
        <f t="shared" si="9"/>
        <v>51194998.856725506</v>
      </c>
      <c r="H57" s="1125">
        <f t="shared" si="9"/>
        <v>51165505.608295225</v>
      </c>
      <c r="I57" s="2611">
        <f t="shared" si="2"/>
        <v>281514204.26736575</v>
      </c>
    </row>
    <row r="58" spans="1:10" ht="13.2" x14ac:dyDescent="0.25">
      <c r="A58" s="47" t="s">
        <v>149</v>
      </c>
      <c r="B58" s="151" t="s">
        <v>320</v>
      </c>
      <c r="C58" s="1125">
        <f>C42+(1000000*((C30*C31)+(C37*C38)))</f>
        <v>55119718</v>
      </c>
      <c r="D58" s="1125">
        <f t="shared" ref="D58:F58" si="10">D42+(1000000*((D30*D31)+(D37*D38)))</f>
        <v>55119718</v>
      </c>
      <c r="E58" s="1125">
        <f t="shared" si="10"/>
        <v>55119718</v>
      </c>
      <c r="F58" s="1125">
        <f t="shared" si="10"/>
        <v>1460620800.4960001</v>
      </c>
      <c r="G58" s="1125">
        <f>G42+(1000000*((G30*G31)+(G37*G38)))</f>
        <v>1477286582.09392</v>
      </c>
      <c r="H58" s="1125">
        <f>H42+(1000000*((H30*H31)+(H37*H38)))</f>
        <v>1460620800.4960001</v>
      </c>
      <c r="I58" s="2611">
        <f t="shared" si="2"/>
        <v>4563887337.0859203</v>
      </c>
    </row>
    <row r="59" spans="1:10" ht="13.2" x14ac:dyDescent="0.25">
      <c r="A59" s="47" t="s">
        <v>387</v>
      </c>
      <c r="B59" s="151" t="s">
        <v>320</v>
      </c>
      <c r="C59" s="1125">
        <f>C49*C53+C50*C54+C51*C55</f>
        <v>10438700</v>
      </c>
      <c r="D59" s="1125">
        <f t="shared" ref="D59:H59" si="11">D49*D53+D50*D54+D51*D55</f>
        <v>10438700</v>
      </c>
      <c r="E59" s="1125">
        <f t="shared" si="11"/>
        <v>10438700</v>
      </c>
      <c r="F59" s="1125">
        <f t="shared" si="11"/>
        <v>10438700</v>
      </c>
      <c r="G59" s="1125">
        <f t="shared" si="11"/>
        <v>10438700</v>
      </c>
      <c r="H59" s="1125">
        <f t="shared" si="11"/>
        <v>10438700</v>
      </c>
      <c r="I59" s="2611">
        <f t="shared" si="2"/>
        <v>62632200</v>
      </c>
    </row>
    <row r="60" spans="1:10" ht="13.2" x14ac:dyDescent="0.25">
      <c r="A60" s="47" t="s">
        <v>150</v>
      </c>
      <c r="B60" s="151" t="s">
        <v>39</v>
      </c>
      <c r="C60" s="1129">
        <v>72</v>
      </c>
      <c r="D60" s="1129">
        <v>72</v>
      </c>
      <c r="E60" s="1129">
        <v>72</v>
      </c>
      <c r="F60" s="1129">
        <v>72</v>
      </c>
      <c r="G60" s="1129">
        <v>72</v>
      </c>
      <c r="H60" s="1129">
        <v>72</v>
      </c>
      <c r="I60" s="2611">
        <f t="shared" si="2"/>
        <v>432</v>
      </c>
    </row>
    <row r="61" spans="1:10" ht="13.2" x14ac:dyDescent="0.25">
      <c r="A61" s="47" t="s">
        <v>134</v>
      </c>
      <c r="B61" s="151" t="s">
        <v>388</v>
      </c>
      <c r="C61" s="1125">
        <f>+DispatchSchedule!F76*1000000</f>
        <v>0</v>
      </c>
      <c r="D61" s="1125">
        <f>+DispatchSchedule!G76*1000000</f>
        <v>0</v>
      </c>
      <c r="E61" s="1125">
        <f>+DispatchSchedule!H76*1000000</f>
        <v>0</v>
      </c>
      <c r="F61" s="1125">
        <f>+DispatchSchedule!I76*1000000</f>
        <v>36936000</v>
      </c>
      <c r="G61" s="1125">
        <f>+DispatchSchedule!J76*1000000</f>
        <v>37373970</v>
      </c>
      <c r="H61" s="1125">
        <f>+DispatchSchedule!K76*1000000</f>
        <v>36936000</v>
      </c>
      <c r="I61" s="2611">
        <f t="shared" si="2"/>
        <v>111245970</v>
      </c>
      <c r="J61" s="402">
        <f>+C67*1000000</f>
        <v>93021555.923999995</v>
      </c>
    </row>
    <row r="62" spans="1:10" ht="13.2" x14ac:dyDescent="0.25">
      <c r="A62" s="484" t="s">
        <v>805</v>
      </c>
      <c r="B62" s="151" t="s">
        <v>214</v>
      </c>
      <c r="C62" s="143">
        <f>IF(C61=0,0,(C58/C61))</f>
        <v>0</v>
      </c>
      <c r="D62" s="143">
        <f t="shared" ref="D62:H62" si="12">IF(D61=0,0,(D58/D61))</f>
        <v>0</v>
      </c>
      <c r="E62" s="143">
        <f t="shared" si="12"/>
        <v>0</v>
      </c>
      <c r="F62" s="143">
        <f t="shared" si="12"/>
        <v>39.54463938964696</v>
      </c>
      <c r="G62" s="143">
        <f t="shared" si="12"/>
        <v>39.527151707295744</v>
      </c>
      <c r="H62" s="143">
        <f t="shared" si="12"/>
        <v>39.54463938964696</v>
      </c>
      <c r="I62" s="2611">
        <f t="shared" si="2"/>
        <v>118.61643048658966</v>
      </c>
      <c r="J62" s="241">
        <f>+J61+C16</f>
        <v>94195089.923999995</v>
      </c>
    </row>
    <row r="63" spans="1:10" ht="13.2" x14ac:dyDescent="0.25">
      <c r="A63" s="567" t="s">
        <v>804</v>
      </c>
      <c r="B63" s="508" t="s">
        <v>214</v>
      </c>
      <c r="C63" s="569">
        <f>IF(C61=0,0,((C58+C59)/C61))</f>
        <v>0</v>
      </c>
      <c r="D63" s="569">
        <f t="shared" ref="D63:H63" si="13">IF(D61=0,0,((D58+D59)/D61))</f>
        <v>0</v>
      </c>
      <c r="E63" s="569">
        <f t="shared" si="13"/>
        <v>0</v>
      </c>
      <c r="F63" s="569">
        <f t="shared" si="13"/>
        <v>39.827255265756989</v>
      </c>
      <c r="G63" s="569">
        <f t="shared" si="13"/>
        <v>39.806455725573706</v>
      </c>
      <c r="H63" s="569">
        <f t="shared" si="13"/>
        <v>39.827255265756989</v>
      </c>
      <c r="I63" s="2611">
        <f t="shared" si="2"/>
        <v>119.46096625708769</v>
      </c>
    </row>
    <row r="64" spans="1:10" ht="13.2" x14ac:dyDescent="0.25">
      <c r="A64" s="140" t="s">
        <v>390</v>
      </c>
      <c r="B64" s="151" t="s">
        <v>214</v>
      </c>
      <c r="C64" s="145">
        <f t="shared" ref="C64:H64" si="14">IF(C61=0,0,(C57/C61))</f>
        <v>0</v>
      </c>
      <c r="D64" s="145">
        <f t="shared" si="14"/>
        <v>0</v>
      </c>
      <c r="E64" s="145">
        <f t="shared" si="14"/>
        <v>0</v>
      </c>
      <c r="F64" s="145">
        <f t="shared" si="14"/>
        <v>1.3868373458446956</v>
      </c>
      <c r="G64" s="145">
        <f t="shared" si="14"/>
        <v>1.3698036054699436</v>
      </c>
      <c r="H64" s="145">
        <f t="shared" si="14"/>
        <v>1.3852476068955821</v>
      </c>
      <c r="I64" s="2611">
        <f t="shared" si="2"/>
        <v>4.1418885582102218</v>
      </c>
      <c r="J64" s="414"/>
    </row>
    <row r="65" spans="1:9" ht="13.2" x14ac:dyDescent="0.25">
      <c r="A65" s="140" t="s">
        <v>390</v>
      </c>
      <c r="B65" s="151" t="s">
        <v>322</v>
      </c>
      <c r="C65" s="145">
        <f>C57/C60/1000</f>
        <v>526.41441561111105</v>
      </c>
      <c r="D65" s="145">
        <f t="shared" ref="D65:H65" si="15">D57/D60/1000</f>
        <v>657.45926880359946</v>
      </c>
      <c r="E65" s="145">
        <f t="shared" si="15"/>
        <v>592.92458775508612</v>
      </c>
      <c r="F65" s="145">
        <f t="shared" si="15"/>
        <v>711.44755841832887</v>
      </c>
      <c r="G65" s="145">
        <f t="shared" si="15"/>
        <v>711.04165078785422</v>
      </c>
      <c r="H65" s="145">
        <f t="shared" si="15"/>
        <v>710.63202233743368</v>
      </c>
      <c r="I65" s="2611">
        <f t="shared" si="2"/>
        <v>3909.9195037134136</v>
      </c>
    </row>
    <row r="66" spans="1:9" ht="13.2" x14ac:dyDescent="0.25">
      <c r="B66" s="82"/>
      <c r="I66" s="2611">
        <f t="shared" si="2"/>
        <v>0</v>
      </c>
    </row>
    <row r="67" spans="1:9" ht="13.2" x14ac:dyDescent="0.25">
      <c r="A67" s="507" t="s">
        <v>148</v>
      </c>
      <c r="B67" s="508" t="s">
        <v>460</v>
      </c>
      <c r="C67" s="1231">
        <f>IF(C61=0,(C57+C58)/1000000,C57/1000000)</f>
        <v>93.021555923999998</v>
      </c>
      <c r="D67" s="1231">
        <f t="shared" ref="D67:H67" si="16">IF(D61=0,(D57+D58)/1000000,D57/1000000)</f>
        <v>102.45678535385916</v>
      </c>
      <c r="E67" s="1231">
        <f t="shared" si="16"/>
        <v>97.810288318366204</v>
      </c>
      <c r="F67" s="1231">
        <f t="shared" si="16"/>
        <v>51.224224206119679</v>
      </c>
      <c r="G67" s="1231">
        <f t="shared" si="16"/>
        <v>51.194998856725505</v>
      </c>
      <c r="H67" s="1231">
        <f t="shared" si="16"/>
        <v>51.165505608295227</v>
      </c>
      <c r="I67" s="2611">
        <f t="shared" si="2"/>
        <v>446.8733582673658</v>
      </c>
    </row>
    <row r="68" spans="1:9" ht="13.2" x14ac:dyDescent="0.25">
      <c r="A68" s="47" t="s">
        <v>149</v>
      </c>
      <c r="B68" s="151" t="s">
        <v>460</v>
      </c>
      <c r="C68" s="1232">
        <f>IF(C61=0,0,(C58+C59)/1000000)</f>
        <v>0</v>
      </c>
      <c r="D68" s="1232">
        <f t="shared" ref="D68:H68" si="17">IF(D61=0,0,(D58+D59)/1000000)</f>
        <v>0</v>
      </c>
      <c r="E68" s="1232">
        <f t="shared" si="17"/>
        <v>0</v>
      </c>
      <c r="F68" s="1232">
        <f t="shared" si="17"/>
        <v>1471.0595004960001</v>
      </c>
      <c r="G68" s="1232">
        <f t="shared" si="17"/>
        <v>1487.72528209392</v>
      </c>
      <c r="H68" s="1232">
        <f t="shared" si="17"/>
        <v>1471.0595004960001</v>
      </c>
      <c r="I68" s="2611">
        <f t="shared" si="2"/>
        <v>4429.8442830859203</v>
      </c>
    </row>
    <row r="69" spans="1:9" ht="13.2" x14ac:dyDescent="0.25">
      <c r="A69" s="47" t="s">
        <v>134</v>
      </c>
      <c r="B69" s="151" t="s">
        <v>56</v>
      </c>
      <c r="C69" s="1234">
        <f>+C61/1000000</f>
        <v>0</v>
      </c>
      <c r="D69" s="1234">
        <f t="shared" ref="D69:H69" si="18">+D61/1000000</f>
        <v>0</v>
      </c>
      <c r="E69" s="1234">
        <f t="shared" si="18"/>
        <v>0</v>
      </c>
      <c r="F69" s="1234">
        <f t="shared" si="18"/>
        <v>36.936</v>
      </c>
      <c r="G69" s="1234">
        <f t="shared" si="18"/>
        <v>37.37397</v>
      </c>
      <c r="H69" s="1234">
        <f t="shared" si="18"/>
        <v>36.936</v>
      </c>
      <c r="I69" s="2611">
        <f t="shared" si="2"/>
        <v>111.24597</v>
      </c>
    </row>
    <row r="71" spans="1:9" x14ac:dyDescent="0.2">
      <c r="F71" s="150"/>
      <c r="G71" s="150"/>
      <c r="H71" s="150"/>
    </row>
    <row r="72" spans="1:9" ht="13.8" x14ac:dyDescent="0.25">
      <c r="A72" s="1083"/>
      <c r="B72" s="456"/>
      <c r="C72" s="1104"/>
      <c r="D72" s="1104"/>
      <c r="E72" s="1104"/>
      <c r="F72" s="1104"/>
      <c r="G72" s="1104"/>
      <c r="H72" s="1104"/>
    </row>
    <row r="73" spans="1:9" ht="24" customHeight="1" x14ac:dyDescent="0.2">
      <c r="A73" s="1156"/>
      <c r="B73" s="1156"/>
      <c r="C73" s="1156"/>
      <c r="D73" s="1156"/>
      <c r="E73" s="1156"/>
      <c r="F73" s="1156"/>
      <c r="G73" s="1156"/>
      <c r="H73" s="1156"/>
    </row>
    <row r="74" spans="1:9" x14ac:dyDescent="0.2">
      <c r="C74" s="403"/>
      <c r="D74" s="403"/>
      <c r="E74" s="403"/>
      <c r="F74" s="403"/>
      <c r="G74" s="403"/>
      <c r="H74" s="403"/>
    </row>
    <row r="75" spans="1:9" x14ac:dyDescent="0.2">
      <c r="C75" s="403"/>
      <c r="D75" s="403"/>
      <c r="E75" s="403"/>
      <c r="F75" s="403"/>
      <c r="G75" s="403"/>
      <c r="H75" s="403"/>
    </row>
    <row r="76" spans="1:9" x14ac:dyDescent="0.2">
      <c r="D76" s="403"/>
    </row>
    <row r="77" spans="1:9" x14ac:dyDescent="0.2">
      <c r="A77" s="638"/>
      <c r="C77" s="241"/>
      <c r="D77" s="403"/>
      <c r="E77" s="241"/>
      <c r="F77" s="241"/>
      <c r="G77" s="241"/>
      <c r="H77" s="241"/>
    </row>
    <row r="78" spans="1:9" x14ac:dyDescent="0.2">
      <c r="A78" s="638"/>
      <c r="C78" s="241"/>
      <c r="D78" s="403"/>
      <c r="E78" s="241"/>
      <c r="F78" s="241"/>
      <c r="G78" s="241"/>
      <c r="H78" s="241"/>
    </row>
    <row r="79" spans="1:9" x14ac:dyDescent="0.2">
      <c r="C79" s="241"/>
      <c r="D79" s="241"/>
      <c r="E79" s="241"/>
      <c r="F79" s="241"/>
      <c r="G79" s="241"/>
      <c r="H79" s="241"/>
    </row>
    <row r="80" spans="1:9" x14ac:dyDescent="0.2">
      <c r="C80" s="241"/>
      <c r="D80" s="241"/>
      <c r="E80" s="241"/>
      <c r="F80" s="241"/>
      <c r="G80" s="241"/>
      <c r="H80" s="241"/>
    </row>
    <row r="81" spans="3:8" x14ac:dyDescent="0.2">
      <c r="C81" s="241"/>
      <c r="D81" s="241"/>
      <c r="E81" s="241"/>
      <c r="F81" s="241"/>
      <c r="G81" s="241"/>
      <c r="H81" s="241"/>
    </row>
    <row r="82" spans="3:8" x14ac:dyDescent="0.2">
      <c r="C82" s="241"/>
      <c r="D82" s="241"/>
      <c r="E82" s="241"/>
      <c r="F82" s="241"/>
      <c r="G82" s="241"/>
      <c r="H82" s="241"/>
    </row>
    <row r="83" spans="3:8" x14ac:dyDescent="0.2">
      <c r="C83" s="241"/>
      <c r="D83" s="241"/>
      <c r="E83" s="241"/>
      <c r="F83" s="241"/>
      <c r="G83" s="241"/>
      <c r="H83" s="241"/>
    </row>
    <row r="84" spans="3:8" x14ac:dyDescent="0.2">
      <c r="C84" s="241"/>
      <c r="D84" s="241"/>
      <c r="E84" s="241"/>
      <c r="F84" s="241"/>
      <c r="G84" s="241"/>
      <c r="H84" s="241"/>
    </row>
    <row r="85" spans="3:8" x14ac:dyDescent="0.2">
      <c r="C85" s="241"/>
      <c r="D85" s="241"/>
      <c r="E85" s="241"/>
      <c r="F85" s="241"/>
      <c r="G85" s="241"/>
      <c r="H85" s="241"/>
    </row>
    <row r="86" spans="3:8" x14ac:dyDescent="0.2">
      <c r="C86" s="241"/>
      <c r="D86" s="241"/>
      <c r="E86" s="241"/>
      <c r="F86" s="241"/>
      <c r="G86" s="241"/>
      <c r="H86" s="241"/>
    </row>
    <row r="87" spans="3:8" x14ac:dyDescent="0.2">
      <c r="C87" s="241"/>
      <c r="D87" s="241"/>
      <c r="E87" s="241"/>
      <c r="F87" s="241"/>
      <c r="G87" s="241"/>
      <c r="H87" s="241"/>
    </row>
    <row r="88" spans="3:8" x14ac:dyDescent="0.2">
      <c r="C88" s="241"/>
      <c r="D88" s="241"/>
      <c r="E88" s="241"/>
      <c r="F88" s="241"/>
      <c r="G88" s="241"/>
      <c r="H88" s="241"/>
    </row>
  </sheetData>
  <phoneticPr fontId="54" type="noConversion"/>
  <dataValidations count="3">
    <dataValidation type="list" allowBlank="1" showInputMessage="1" showErrorMessage="1" sqref="B52 C34" xr:uid="{00000000-0002-0000-0E00-000000000000}">
      <formula1>Currency</formula1>
    </dataValidation>
    <dataValidation type="list" allowBlank="1" showInputMessage="1" showErrorMessage="1" sqref="C32" xr:uid="{00000000-0002-0000-0E00-000001000000}">
      <formula1>Combustible</formula1>
    </dataValidation>
    <dataValidation type="list" allowBlank="1" showInputMessage="1" showErrorMessage="1" sqref="C33" xr:uid="{00000000-0002-0000-0E00-000002000000}">
      <formula1>Units</formula1>
    </dataValidation>
  </dataValidations>
  <pageMargins left="0.69" right="0" top="0.22" bottom="0" header="0.19684820647419074" footer="0.11810804899387577"/>
  <pageSetup paperSize="9" scale="6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2">
    <tabColor rgb="FFFFC000"/>
    <pageSetUpPr fitToPage="1"/>
  </sheetPr>
  <dimension ref="A1:M109"/>
  <sheetViews>
    <sheetView showGridLines="0" view="pageBreakPreview" zoomScale="85" zoomScaleNormal="85" zoomScaleSheetLayoutView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83" sqref="G83"/>
    </sheetView>
  </sheetViews>
  <sheetFormatPr defaultRowHeight="12.6" x14ac:dyDescent="0.2"/>
  <cols>
    <col min="1" max="1" width="41" customWidth="1"/>
    <col min="2" max="2" width="9.7265625" style="2" customWidth="1"/>
    <col min="3" max="3" width="20.7265625" style="2" hidden="1" customWidth="1"/>
    <col min="4" max="4" width="20.7265625" hidden="1" customWidth="1"/>
    <col min="5" max="5" width="18.453125" hidden="1" customWidth="1"/>
    <col min="6" max="7" width="20.26953125" bestFit="1" customWidth="1"/>
    <col min="8" max="8" width="21.36328125" bestFit="1" customWidth="1"/>
    <col min="9" max="9" width="21.7265625" customWidth="1"/>
    <col min="10" max="10" width="18.7265625" customWidth="1"/>
    <col min="11" max="11" width="3.90625" customWidth="1"/>
    <col min="12" max="12" width="16.26953125" bestFit="1" customWidth="1"/>
  </cols>
  <sheetData>
    <row r="1" spans="1:13" ht="17.399999999999999" x14ac:dyDescent="0.3">
      <c r="A1" s="53" t="s">
        <v>391</v>
      </c>
      <c r="B1" s="131">
        <v>811</v>
      </c>
      <c r="C1" s="156" t="s">
        <v>392</v>
      </c>
      <c r="D1" s="183"/>
      <c r="F1" s="457"/>
    </row>
    <row r="2" spans="1:13" ht="18" thickBot="1" x14ac:dyDescent="0.35">
      <c r="A2" s="53"/>
      <c r="B2" s="131"/>
      <c r="C2" s="298"/>
      <c r="D2" s="298"/>
      <c r="E2" s="298"/>
      <c r="F2" s="298"/>
      <c r="G2" s="298"/>
      <c r="H2" s="298"/>
      <c r="I2" s="561"/>
    </row>
    <row r="3" spans="1:13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841">
        <f>DispatchSchedule!K3</f>
        <v>46174</v>
      </c>
    </row>
    <row r="4" spans="1:13" ht="13.2" x14ac:dyDescent="0.25">
      <c r="A4" s="377" t="s">
        <v>122</v>
      </c>
      <c r="B4" s="151"/>
      <c r="C4" s="466"/>
      <c r="D4" s="466"/>
      <c r="E4" s="466"/>
      <c r="F4" s="466"/>
      <c r="G4" s="467"/>
      <c r="H4" s="408"/>
    </row>
    <row r="5" spans="1:13" ht="13.2" x14ac:dyDescent="0.25">
      <c r="A5" s="1132" t="s">
        <v>310</v>
      </c>
      <c r="B5" s="1133"/>
      <c r="C5" s="1125"/>
      <c r="D5" s="1125"/>
      <c r="E5" s="1125"/>
      <c r="F5" s="1125"/>
      <c r="G5" s="90"/>
      <c r="H5" s="47"/>
      <c r="J5" s="2"/>
    </row>
    <row r="6" spans="1:13" x14ac:dyDescent="0.2">
      <c r="A6" s="47" t="s">
        <v>311</v>
      </c>
      <c r="B6" s="90" t="s">
        <v>312</v>
      </c>
      <c r="C6" s="1126">
        <f>SUM(C7:C15)</f>
        <v>12842120.762</v>
      </c>
      <c r="D6" s="1126">
        <f t="shared" ref="D6:H6" si="0">SUM(D7:D15)</f>
        <v>18900352.872000001</v>
      </c>
      <c r="E6" s="1126">
        <f t="shared" si="0"/>
        <v>12842120.762</v>
      </c>
      <c r="F6" s="1126">
        <f t="shared" si="0"/>
        <v>15026301.93145996</v>
      </c>
      <c r="G6" s="1126">
        <f t="shared" si="0"/>
        <v>15026301.93145996</v>
      </c>
      <c r="H6" s="1126">
        <f t="shared" si="0"/>
        <v>15026301.93145996</v>
      </c>
      <c r="I6" s="821">
        <f>SUM(C6:H6)</f>
        <v>89663500.190379888</v>
      </c>
      <c r="J6" s="2"/>
    </row>
    <row r="7" spans="1:13" x14ac:dyDescent="0.2">
      <c r="A7" s="1134" t="s">
        <v>753</v>
      </c>
      <c r="B7" s="90"/>
      <c r="C7" s="1127">
        <v>5484512.9299999997</v>
      </c>
      <c r="D7" s="1127">
        <v>5484512.9299999997</v>
      </c>
      <c r="E7" s="1127">
        <v>5484512.9299999997</v>
      </c>
      <c r="F7" s="1127">
        <f>5484512.93+2184181.16945996</f>
        <v>7668694.0994599592</v>
      </c>
      <c r="G7" s="1127">
        <f t="shared" ref="G7:H7" si="1">5484512.93+2184181.16945996</f>
        <v>7668694.0994599592</v>
      </c>
      <c r="H7" s="1127">
        <f t="shared" si="1"/>
        <v>7668694.0994599592</v>
      </c>
      <c r="I7" s="821">
        <f>SUM(C7:H7)</f>
        <v>39459621.088379882</v>
      </c>
      <c r="J7" s="1339"/>
    </row>
    <row r="8" spans="1:13" x14ac:dyDescent="0.2">
      <c r="A8" s="1134" t="s">
        <v>758</v>
      </c>
      <c r="B8" s="90"/>
      <c r="C8" s="1127">
        <v>1465921.79</v>
      </c>
      <c r="D8" s="1127">
        <v>1465921.79</v>
      </c>
      <c r="E8" s="1127">
        <v>1465921.79</v>
      </c>
      <c r="F8" s="1127">
        <v>1465921.79</v>
      </c>
      <c r="G8" s="1127">
        <v>1465921.79</v>
      </c>
      <c r="H8" s="1127">
        <v>1465921.79</v>
      </c>
      <c r="I8" s="821">
        <f t="shared" ref="I8:I71" si="2">SUM(C8:H8)</f>
        <v>8795530.7400000002</v>
      </c>
      <c r="J8" s="1339"/>
    </row>
    <row r="9" spans="1:13" x14ac:dyDescent="0.2">
      <c r="A9" s="1134" t="s">
        <v>754</v>
      </c>
      <c r="B9" s="90"/>
      <c r="C9" s="1127">
        <v>257470.52</v>
      </c>
      <c r="D9" s="1127">
        <v>257470.52</v>
      </c>
      <c r="E9" s="1127">
        <v>257470.52</v>
      </c>
      <c r="F9" s="1127">
        <v>257470.52</v>
      </c>
      <c r="G9" s="1127">
        <v>257470.52</v>
      </c>
      <c r="H9" s="1127">
        <v>257470.52</v>
      </c>
      <c r="I9" s="821">
        <f t="shared" si="2"/>
        <v>1544823.1199999999</v>
      </c>
      <c r="J9" s="1339"/>
    </row>
    <row r="10" spans="1:13" x14ac:dyDescent="0.2">
      <c r="A10" s="1134" t="s">
        <v>755</v>
      </c>
      <c r="B10" s="90"/>
      <c r="C10" s="1127">
        <v>466860.13</v>
      </c>
      <c r="D10" s="1127">
        <v>466860.13</v>
      </c>
      <c r="E10" s="1127">
        <v>466860.13</v>
      </c>
      <c r="F10" s="1127">
        <v>466860.13</v>
      </c>
      <c r="G10" s="1127">
        <v>466860.13</v>
      </c>
      <c r="H10" s="1127">
        <v>466860.13</v>
      </c>
      <c r="I10" s="821">
        <f t="shared" si="2"/>
        <v>2801160.78</v>
      </c>
      <c r="J10" s="1339"/>
    </row>
    <row r="11" spans="1:13" x14ac:dyDescent="0.2">
      <c r="A11" s="1134" t="s">
        <v>752</v>
      </c>
      <c r="B11" s="90"/>
      <c r="C11" s="1127">
        <f>68110.61*0.2</f>
        <v>13622.122000000001</v>
      </c>
      <c r="D11" s="1127">
        <f t="shared" ref="D11:H11" si="3">68110.61*0.2</f>
        <v>13622.122000000001</v>
      </c>
      <c r="E11" s="1127">
        <f t="shared" si="3"/>
        <v>13622.122000000001</v>
      </c>
      <c r="F11" s="1127">
        <f t="shared" si="3"/>
        <v>13622.122000000001</v>
      </c>
      <c r="G11" s="1127">
        <f t="shared" si="3"/>
        <v>13622.122000000001</v>
      </c>
      <c r="H11" s="1127">
        <f t="shared" si="3"/>
        <v>13622.122000000001</v>
      </c>
      <c r="I11" s="821">
        <f t="shared" si="2"/>
        <v>81732.732000000004</v>
      </c>
      <c r="J11" s="1339"/>
    </row>
    <row r="12" spans="1:13" x14ac:dyDescent="0.2">
      <c r="A12" s="1134" t="s">
        <v>757</v>
      </c>
      <c r="B12" s="90"/>
      <c r="C12" s="1127">
        <v>418012.57</v>
      </c>
      <c r="D12" s="1127">
        <f>418012.57+6058232.11</f>
        <v>6476244.6800000006</v>
      </c>
      <c r="E12" s="1127">
        <v>418012.57</v>
      </c>
      <c r="F12" s="1127">
        <v>418012.57</v>
      </c>
      <c r="G12" s="1127">
        <v>418012.57</v>
      </c>
      <c r="H12" s="1127">
        <v>418012.57</v>
      </c>
      <c r="I12" s="821">
        <f t="shared" si="2"/>
        <v>8566307.5300000012</v>
      </c>
      <c r="J12" s="1339"/>
    </row>
    <row r="13" spans="1:13" x14ac:dyDescent="0.2">
      <c r="A13" s="1134" t="s">
        <v>756</v>
      </c>
      <c r="B13" s="90"/>
      <c r="C13" s="1127">
        <v>0</v>
      </c>
      <c r="D13" s="1127">
        <v>0</v>
      </c>
      <c r="E13" s="1127">
        <v>0</v>
      </c>
      <c r="F13" s="1127">
        <v>0</v>
      </c>
      <c r="G13" s="1127">
        <v>0</v>
      </c>
      <c r="H13" s="1127">
        <v>0</v>
      </c>
      <c r="I13" s="821">
        <f t="shared" si="2"/>
        <v>0</v>
      </c>
      <c r="J13" s="1339"/>
    </row>
    <row r="14" spans="1:13" x14ac:dyDescent="0.2">
      <c r="A14" s="1134" t="s">
        <v>814</v>
      </c>
      <c r="B14" s="90"/>
      <c r="C14" s="1127">
        <v>4735720.7</v>
      </c>
      <c r="D14" s="1127">
        <v>4735720.7</v>
      </c>
      <c r="E14" s="1127">
        <v>4735720.7</v>
      </c>
      <c r="F14" s="1127">
        <v>4735720.7</v>
      </c>
      <c r="G14" s="1127">
        <v>4735720.7</v>
      </c>
      <c r="H14" s="1127">
        <v>4735720.7</v>
      </c>
      <c r="I14" s="821">
        <f t="shared" si="2"/>
        <v>28414324.199999999</v>
      </c>
      <c r="J14" s="1339"/>
    </row>
    <row r="15" spans="1:13" x14ac:dyDescent="0.2">
      <c r="A15" s="1134" t="s">
        <v>815</v>
      </c>
      <c r="B15" s="90"/>
      <c r="C15" s="1127">
        <v>0</v>
      </c>
      <c r="D15" s="1127">
        <v>0</v>
      </c>
      <c r="E15" s="1127">
        <v>0</v>
      </c>
      <c r="F15" s="1127">
        <v>0</v>
      </c>
      <c r="G15" s="1127">
        <v>0</v>
      </c>
      <c r="H15" s="1127">
        <v>0</v>
      </c>
      <c r="I15" s="821">
        <f t="shared" si="2"/>
        <v>0</v>
      </c>
      <c r="J15" s="1339"/>
    </row>
    <row r="16" spans="1:13" ht="13.5" customHeight="1" x14ac:dyDescent="0.2">
      <c r="A16" s="126" t="s">
        <v>313</v>
      </c>
      <c r="B16" s="90" t="s">
        <v>312</v>
      </c>
      <c r="C16" s="1169">
        <v>1043142</v>
      </c>
      <c r="D16" s="1169">
        <v>1043142</v>
      </c>
      <c r="E16" s="1169">
        <v>1043142</v>
      </c>
      <c r="F16" s="1169">
        <f>2407572.46+294962.788996725</f>
        <v>2702535.2489967248</v>
      </c>
      <c r="G16" s="1169">
        <f t="shared" ref="G16:H16" si="4">2407572.46+294962.788996725</f>
        <v>2702535.2489967248</v>
      </c>
      <c r="H16" s="1169">
        <f t="shared" si="4"/>
        <v>2702535.2489967248</v>
      </c>
      <c r="I16" s="821">
        <f t="shared" si="2"/>
        <v>11237031.746990176</v>
      </c>
      <c r="J16" s="1339"/>
      <c r="K16" s="1338"/>
      <c r="L16" s="1338"/>
      <c r="M16" s="1338"/>
    </row>
    <row r="17" spans="1:13" ht="12.75" customHeight="1" x14ac:dyDescent="0.2">
      <c r="A17" s="47" t="s">
        <v>314</v>
      </c>
      <c r="B17" s="90" t="s">
        <v>312</v>
      </c>
      <c r="C17" s="1127">
        <v>1799091.35</v>
      </c>
      <c r="D17" s="1127">
        <v>1799091.35</v>
      </c>
      <c r="E17" s="1127">
        <v>1799091.35</v>
      </c>
      <c r="F17" s="1127">
        <f>1799091.35+319159.155547846</f>
        <v>2118250.5055478462</v>
      </c>
      <c r="G17" s="1127">
        <f t="shared" ref="G17:H17" si="5">1799091.35+319159.155547846</f>
        <v>2118250.5055478462</v>
      </c>
      <c r="H17" s="1127">
        <f t="shared" si="5"/>
        <v>2118250.5055478462</v>
      </c>
      <c r="I17" s="821">
        <f t="shared" si="2"/>
        <v>11752025.566643538</v>
      </c>
      <c r="J17" s="1339"/>
      <c r="K17" s="1338"/>
      <c r="L17" s="1338"/>
      <c r="M17" s="1338"/>
    </row>
    <row r="18" spans="1:13" s="157" customFormat="1" ht="12.75" customHeight="1" x14ac:dyDescent="0.2">
      <c r="A18" s="1158" t="s">
        <v>315</v>
      </c>
      <c r="B18" s="1159"/>
      <c r="C18" s="1160"/>
      <c r="D18" s="1160"/>
      <c r="E18" s="1160"/>
      <c r="F18" s="1160"/>
      <c r="G18" s="1160"/>
      <c r="H18" s="1160"/>
      <c r="I18" s="821">
        <f t="shared" si="2"/>
        <v>0</v>
      </c>
      <c r="J18" s="1338"/>
      <c r="K18" s="1338"/>
      <c r="L18" s="1338"/>
      <c r="M18" s="1338"/>
    </row>
    <row r="19" spans="1:13" s="157" customFormat="1" ht="12.75" customHeight="1" x14ac:dyDescent="0.2">
      <c r="A19" s="1158" t="s">
        <v>316</v>
      </c>
      <c r="B19" s="1159"/>
      <c r="C19" s="1137"/>
      <c r="D19" s="1137"/>
      <c r="E19" s="1137"/>
      <c r="F19" s="1137"/>
      <c r="G19" s="1137"/>
      <c r="H19" s="1137"/>
      <c r="I19" s="821">
        <f t="shared" si="2"/>
        <v>0</v>
      </c>
      <c r="J19" s="1338"/>
      <c r="K19" s="1338"/>
      <c r="L19" s="1338"/>
      <c r="M19" s="1338"/>
    </row>
    <row r="20" spans="1:13" x14ac:dyDescent="0.2">
      <c r="A20" s="47"/>
      <c r="B20" s="90"/>
      <c r="C20" s="1161"/>
      <c r="D20" s="1161"/>
      <c r="E20" s="1161"/>
      <c r="F20" s="1161"/>
      <c r="G20" s="1161"/>
      <c r="H20" s="1161"/>
      <c r="I20" s="821">
        <f t="shared" si="2"/>
        <v>0</v>
      </c>
      <c r="L20" s="402">
        <f>12472275.01/179*64</f>
        <v>4459360.8974301675</v>
      </c>
    </row>
    <row r="21" spans="1:13" ht="13.2" x14ac:dyDescent="0.25">
      <c r="A21" s="1132" t="s">
        <v>317</v>
      </c>
      <c r="B21" s="1133"/>
      <c r="C21" s="1125"/>
      <c r="D21" s="1125"/>
      <c r="E21" s="1125"/>
      <c r="F21" s="1125"/>
      <c r="G21" s="1125"/>
      <c r="H21" s="1125"/>
      <c r="I21" s="821">
        <f t="shared" si="2"/>
        <v>0</v>
      </c>
      <c r="L21" s="402">
        <f>12472275.01/179*115</f>
        <v>8012914.1125698322</v>
      </c>
    </row>
    <row r="22" spans="1:13" x14ac:dyDescent="0.2">
      <c r="A22" s="47" t="s">
        <v>318</v>
      </c>
      <c r="B22" s="90" t="s">
        <v>312</v>
      </c>
      <c r="C22" s="1127">
        <v>0</v>
      </c>
      <c r="D22" s="1127">
        <v>0</v>
      </c>
      <c r="E22" s="1127">
        <v>0</v>
      </c>
      <c r="F22" s="1127">
        <v>0</v>
      </c>
      <c r="G22" s="1127">
        <v>0</v>
      </c>
      <c r="H22" s="1127">
        <v>0</v>
      </c>
      <c r="I22" s="821">
        <f t="shared" si="2"/>
        <v>0</v>
      </c>
      <c r="J22" s="2836">
        <v>210000000</v>
      </c>
      <c r="L22" s="402">
        <f>SUM(L20:L21)</f>
        <v>12472275.01</v>
      </c>
    </row>
    <row r="23" spans="1:13" x14ac:dyDescent="0.2">
      <c r="A23" s="47"/>
      <c r="B23" s="90"/>
      <c r="C23" s="1125"/>
      <c r="D23" s="1125"/>
      <c r="E23" s="1125"/>
      <c r="F23" s="1125"/>
      <c r="G23" s="90"/>
      <c r="H23" s="47"/>
      <c r="I23" s="821">
        <f t="shared" si="2"/>
        <v>0</v>
      </c>
    </row>
    <row r="24" spans="1:13" ht="13.2" x14ac:dyDescent="0.25">
      <c r="A24" s="132" t="s">
        <v>24</v>
      </c>
      <c r="B24" s="151"/>
      <c r="C24" s="1125"/>
      <c r="D24" s="1125"/>
      <c r="E24" s="1125"/>
      <c r="F24" s="1125"/>
      <c r="G24" s="90"/>
      <c r="H24" s="47"/>
      <c r="I24" s="821">
        <f t="shared" si="2"/>
        <v>0</v>
      </c>
      <c r="J24" s="1253">
        <f>+J22/6</f>
        <v>35000000</v>
      </c>
      <c r="L24" s="402">
        <f>92841525/179*64</f>
        <v>33194735.195530728</v>
      </c>
    </row>
    <row r="25" spans="1:13" x14ac:dyDescent="0.2">
      <c r="A25" s="126" t="s">
        <v>89</v>
      </c>
      <c r="B25" s="90" t="s">
        <v>393</v>
      </c>
      <c r="C25" s="1125"/>
      <c r="D25" s="1125"/>
      <c r="E25" s="1125"/>
      <c r="F25" s="1125"/>
      <c r="G25" s="90"/>
      <c r="H25" s="90"/>
      <c r="I25" s="821">
        <f t="shared" si="2"/>
        <v>0</v>
      </c>
      <c r="L25" s="402">
        <f>92841525/179*115</f>
        <v>59646789.804469272</v>
      </c>
    </row>
    <row r="26" spans="1:13" x14ac:dyDescent="0.2">
      <c r="A26" s="126" t="s">
        <v>100</v>
      </c>
      <c r="B26" s="90" t="s">
        <v>371</v>
      </c>
      <c r="C26" s="143"/>
      <c r="D26" s="1125"/>
      <c r="E26" s="1125"/>
      <c r="F26" s="1125"/>
      <c r="G26" s="90"/>
      <c r="H26" s="90"/>
      <c r="I26" s="821">
        <f t="shared" si="2"/>
        <v>0</v>
      </c>
      <c r="L26" s="402">
        <f>SUM(L24:L25)</f>
        <v>92841525</v>
      </c>
    </row>
    <row r="27" spans="1:13" x14ac:dyDescent="0.2">
      <c r="A27" s="126" t="s">
        <v>99</v>
      </c>
      <c r="B27" s="90" t="s">
        <v>372</v>
      </c>
      <c r="C27" s="143"/>
      <c r="D27" s="1125"/>
      <c r="E27" s="1125"/>
      <c r="F27" s="1125"/>
      <c r="G27" s="90"/>
      <c r="H27" s="90"/>
      <c r="I27" s="821">
        <f t="shared" si="2"/>
        <v>0</v>
      </c>
    </row>
    <row r="28" spans="1:13" x14ac:dyDescent="0.2">
      <c r="A28" s="47" t="s">
        <v>394</v>
      </c>
      <c r="B28" s="90" t="s">
        <v>374</v>
      </c>
      <c r="C28" s="1146">
        <f>Inputs!C66</f>
        <v>279</v>
      </c>
      <c r="D28" s="1146">
        <f>Inputs!D66</f>
        <v>277</v>
      </c>
      <c r="E28" s="1146">
        <f>Inputs!E66</f>
        <v>277</v>
      </c>
      <c r="F28" s="1146">
        <f>Inputs!F66</f>
        <v>382</v>
      </c>
      <c r="G28" s="1146">
        <f>Inputs!G66</f>
        <v>382</v>
      </c>
      <c r="H28" s="1146">
        <f>Inputs!H66</f>
        <v>382</v>
      </c>
      <c r="I28" s="821">
        <f t="shared" si="2"/>
        <v>1979</v>
      </c>
    </row>
    <row r="29" spans="1:13" ht="13.2" x14ac:dyDescent="0.25">
      <c r="A29" s="484" t="s">
        <v>816</v>
      </c>
      <c r="B29" s="1165" t="s">
        <v>791</v>
      </c>
      <c r="C29" s="2712">
        <v>0.47320000000000001</v>
      </c>
      <c r="D29" s="2712">
        <v>0.47320000000000001</v>
      </c>
      <c r="E29" s="2712">
        <v>0.47320000000000001</v>
      </c>
      <c r="F29" s="2712">
        <v>0.47320000000000001</v>
      </c>
      <c r="G29" s="2712">
        <v>0.47320000000000001</v>
      </c>
      <c r="H29" s="2712">
        <v>0.47320000000000001</v>
      </c>
      <c r="I29" s="821">
        <f t="shared" si="2"/>
        <v>2.8391999999999999</v>
      </c>
      <c r="L29" s="402">
        <v>1073094.9684916202</v>
      </c>
    </row>
    <row r="30" spans="1:13" s="157" customFormat="1" x14ac:dyDescent="0.2">
      <c r="A30" s="1158" t="s">
        <v>315</v>
      </c>
      <c r="B30" s="1159"/>
      <c r="C30" s="1162">
        <f>C18</f>
        <v>0</v>
      </c>
      <c r="D30" s="1162">
        <f t="shared" ref="D30:H31" si="6">D18</f>
        <v>0</v>
      </c>
      <c r="E30" s="1162">
        <f t="shared" si="6"/>
        <v>0</v>
      </c>
      <c r="F30" s="1162">
        <f t="shared" si="6"/>
        <v>0</v>
      </c>
      <c r="G30" s="1162">
        <f t="shared" si="6"/>
        <v>0</v>
      </c>
      <c r="H30" s="1162">
        <f t="shared" si="6"/>
        <v>0</v>
      </c>
      <c r="I30" s="821">
        <f t="shared" si="2"/>
        <v>0</v>
      </c>
      <c r="L30" s="2280"/>
    </row>
    <row r="31" spans="1:13" s="157" customFormat="1" x14ac:dyDescent="0.2">
      <c r="A31" s="1158" t="s">
        <v>316</v>
      </c>
      <c r="B31" s="1159"/>
      <c r="C31" s="1161">
        <f>C19</f>
        <v>0</v>
      </c>
      <c r="D31" s="1161">
        <f t="shared" si="6"/>
        <v>0</v>
      </c>
      <c r="E31" s="1161">
        <f t="shared" si="6"/>
        <v>0</v>
      </c>
      <c r="F31" s="1161">
        <f t="shared" si="6"/>
        <v>0</v>
      </c>
      <c r="G31" s="1161">
        <f t="shared" si="6"/>
        <v>0</v>
      </c>
      <c r="H31" s="1161">
        <f t="shared" si="6"/>
        <v>0</v>
      </c>
      <c r="I31" s="821">
        <f t="shared" si="2"/>
        <v>0</v>
      </c>
      <c r="L31" s="2280"/>
    </row>
    <row r="32" spans="1:13" ht="13.2" x14ac:dyDescent="0.25">
      <c r="A32" s="259" t="s">
        <v>397</v>
      </c>
      <c r="B32" s="1165" t="s">
        <v>398</v>
      </c>
      <c r="C32" s="1129"/>
      <c r="D32" s="1129"/>
      <c r="E32" s="1129"/>
      <c r="F32" s="1129"/>
      <c r="G32" s="1129"/>
      <c r="H32" s="1129"/>
      <c r="I32" s="821">
        <f t="shared" si="2"/>
        <v>0</v>
      </c>
    </row>
    <row r="33" spans="1:9" ht="13.2" x14ac:dyDescent="0.25">
      <c r="A33" s="259" t="s">
        <v>399</v>
      </c>
      <c r="B33" s="90" t="s">
        <v>320</v>
      </c>
      <c r="C33" s="1163">
        <f>C28*C29*C34*1000000</f>
        <v>0</v>
      </c>
      <c r="D33" s="1163">
        <f t="shared" ref="D33:H33" si="7">D28*D29*D34*1000000</f>
        <v>0</v>
      </c>
      <c r="E33" s="1163">
        <f t="shared" si="7"/>
        <v>0</v>
      </c>
      <c r="F33" s="1163">
        <f t="shared" si="7"/>
        <v>0</v>
      </c>
      <c r="G33" s="1163">
        <f t="shared" si="7"/>
        <v>0</v>
      </c>
      <c r="H33" s="1163">
        <f t="shared" si="7"/>
        <v>0</v>
      </c>
      <c r="I33" s="821">
        <f t="shared" si="2"/>
        <v>0</v>
      </c>
    </row>
    <row r="34" spans="1:9" x14ac:dyDescent="0.2">
      <c r="A34" s="47" t="s">
        <v>1159</v>
      </c>
      <c r="B34" s="514" t="s">
        <v>56</v>
      </c>
      <c r="C34" s="1233">
        <f>DispatchSchedule!F8</f>
        <v>0</v>
      </c>
      <c r="D34" s="1233">
        <f>DispatchSchedule!G8</f>
        <v>0</v>
      </c>
      <c r="E34" s="1233">
        <f>DispatchSchedule!H8</f>
        <v>0</v>
      </c>
      <c r="F34" s="1233">
        <f>DispatchSchedule!I8</f>
        <v>0</v>
      </c>
      <c r="G34" s="1233">
        <f>DispatchSchedule!J8</f>
        <v>0</v>
      </c>
      <c r="H34" s="1233">
        <f>DispatchSchedule!K8</f>
        <v>0</v>
      </c>
      <c r="I34" s="821">
        <f t="shared" si="2"/>
        <v>0</v>
      </c>
    </row>
    <row r="35" spans="1:9" x14ac:dyDescent="0.2">
      <c r="A35" s="47"/>
      <c r="B35" s="90"/>
      <c r="C35" s="143"/>
      <c r="D35" s="143"/>
      <c r="E35" s="143"/>
      <c r="F35" s="143"/>
      <c r="G35" s="143"/>
      <c r="H35" s="143"/>
      <c r="I35" s="821">
        <f t="shared" si="2"/>
        <v>0</v>
      </c>
    </row>
    <row r="36" spans="1:9" hidden="1" x14ac:dyDescent="0.2">
      <c r="A36" s="126" t="s">
        <v>90</v>
      </c>
      <c r="B36" s="90" t="s">
        <v>393</v>
      </c>
      <c r="C36" s="143"/>
      <c r="D36" s="143"/>
      <c r="E36" s="143"/>
      <c r="F36" s="143"/>
      <c r="G36" s="143"/>
      <c r="H36" s="143"/>
      <c r="I36" s="821">
        <f t="shared" si="2"/>
        <v>0</v>
      </c>
    </row>
    <row r="37" spans="1:9" hidden="1" x14ac:dyDescent="0.2">
      <c r="A37" s="126" t="s">
        <v>100</v>
      </c>
      <c r="B37" s="90" t="s">
        <v>371</v>
      </c>
      <c r="C37" s="143"/>
      <c r="D37" s="143"/>
      <c r="E37" s="143"/>
      <c r="F37" s="143"/>
      <c r="G37" s="143"/>
      <c r="H37" s="143"/>
      <c r="I37" s="821">
        <f t="shared" si="2"/>
        <v>0</v>
      </c>
    </row>
    <row r="38" spans="1:9" hidden="1" x14ac:dyDescent="0.2">
      <c r="A38" s="126" t="s">
        <v>99</v>
      </c>
      <c r="B38" s="90" t="s">
        <v>372</v>
      </c>
      <c r="C38" s="143"/>
      <c r="D38" s="143"/>
      <c r="E38" s="143"/>
      <c r="F38" s="143"/>
      <c r="G38" s="143"/>
      <c r="H38" s="143"/>
      <c r="I38" s="821">
        <f t="shared" si="2"/>
        <v>0</v>
      </c>
    </row>
    <row r="39" spans="1:9" hidden="1" x14ac:dyDescent="0.2">
      <c r="A39" s="47" t="s">
        <v>401</v>
      </c>
      <c r="B39" s="90" t="s">
        <v>374</v>
      </c>
      <c r="C39" s="1164">
        <f t="shared" ref="C39:H39" si="8">C28</f>
        <v>279</v>
      </c>
      <c r="D39" s="1164">
        <f t="shared" si="8"/>
        <v>277</v>
      </c>
      <c r="E39" s="1164">
        <f t="shared" si="8"/>
        <v>277</v>
      </c>
      <c r="F39" s="1164">
        <f t="shared" si="8"/>
        <v>382</v>
      </c>
      <c r="G39" s="1164">
        <f t="shared" si="8"/>
        <v>382</v>
      </c>
      <c r="H39" s="1164">
        <f t="shared" si="8"/>
        <v>382</v>
      </c>
      <c r="I39" s="821">
        <f t="shared" si="2"/>
        <v>1979</v>
      </c>
    </row>
    <row r="40" spans="1:9" ht="13.2" hidden="1" x14ac:dyDescent="0.25">
      <c r="A40" s="259" t="s">
        <v>395</v>
      </c>
      <c r="B40" s="1165" t="s">
        <v>396</v>
      </c>
      <c r="C40" s="1166">
        <v>312</v>
      </c>
      <c r="D40" s="1166">
        <v>312</v>
      </c>
      <c r="E40" s="1166">
        <v>312</v>
      </c>
      <c r="F40" s="1166">
        <v>312</v>
      </c>
      <c r="G40" s="1166">
        <v>312</v>
      </c>
      <c r="H40" s="1166">
        <v>312</v>
      </c>
      <c r="I40" s="821">
        <f t="shared" si="2"/>
        <v>1872</v>
      </c>
    </row>
    <row r="41" spans="1:9" ht="13.2" hidden="1" x14ac:dyDescent="0.25">
      <c r="A41" s="259" t="s">
        <v>402</v>
      </c>
      <c r="B41" s="1165" t="s">
        <v>403</v>
      </c>
      <c r="C41" s="1164">
        <v>1E-8</v>
      </c>
      <c r="D41" s="1164">
        <v>1E-8</v>
      </c>
      <c r="E41" s="1164">
        <v>1E-8</v>
      </c>
      <c r="F41" s="1164">
        <v>1E-8</v>
      </c>
      <c r="G41" s="1164">
        <v>1E-8</v>
      </c>
      <c r="H41" s="1164">
        <v>1E-8</v>
      </c>
      <c r="I41" s="821">
        <f t="shared" si="2"/>
        <v>5.9999999999999995E-8</v>
      </c>
    </row>
    <row r="42" spans="1:9" ht="13.2" hidden="1" x14ac:dyDescent="0.25">
      <c r="A42" s="1167" t="s">
        <v>404</v>
      </c>
      <c r="B42" s="1165" t="s">
        <v>39</v>
      </c>
      <c r="C42" s="1164">
        <f t="shared" ref="C42:H42" si="9">C49/(C41/60)</f>
        <v>0</v>
      </c>
      <c r="D42" s="1164">
        <f t="shared" si="9"/>
        <v>0</v>
      </c>
      <c r="E42" s="1164">
        <f t="shared" si="9"/>
        <v>0</v>
      </c>
      <c r="F42" s="1164">
        <f t="shared" si="9"/>
        <v>0</v>
      </c>
      <c r="G42" s="1164">
        <f t="shared" si="9"/>
        <v>0</v>
      </c>
      <c r="H42" s="1164">
        <f t="shared" si="9"/>
        <v>0</v>
      </c>
      <c r="I42" s="821">
        <f t="shared" si="2"/>
        <v>0</v>
      </c>
    </row>
    <row r="43" spans="1:9" s="157" customFormat="1" hidden="1" x14ac:dyDescent="0.2">
      <c r="A43" s="1158" t="s">
        <v>315</v>
      </c>
      <c r="B43" s="1159"/>
      <c r="C43" s="1162">
        <f t="shared" ref="C43:H43" si="10">C18</f>
        <v>0</v>
      </c>
      <c r="D43" s="1162">
        <f t="shared" si="10"/>
        <v>0</v>
      </c>
      <c r="E43" s="1162">
        <f t="shared" si="10"/>
        <v>0</v>
      </c>
      <c r="F43" s="1162">
        <f t="shared" si="10"/>
        <v>0</v>
      </c>
      <c r="G43" s="1162">
        <f t="shared" si="10"/>
        <v>0</v>
      </c>
      <c r="H43" s="1162">
        <f t="shared" si="10"/>
        <v>0</v>
      </c>
      <c r="I43" s="821">
        <f t="shared" si="2"/>
        <v>0</v>
      </c>
    </row>
    <row r="44" spans="1:9" s="157" customFormat="1" hidden="1" x14ac:dyDescent="0.2">
      <c r="A44" s="1158" t="s">
        <v>316</v>
      </c>
      <c r="B44" s="1159"/>
      <c r="C44" s="1162">
        <f t="shared" ref="C44:H44" si="11">C20</f>
        <v>0</v>
      </c>
      <c r="D44" s="1162">
        <f t="shared" si="11"/>
        <v>0</v>
      </c>
      <c r="E44" s="1162">
        <f t="shared" si="11"/>
        <v>0</v>
      </c>
      <c r="F44" s="1162">
        <f t="shared" si="11"/>
        <v>0</v>
      </c>
      <c r="G44" s="1162">
        <f t="shared" si="11"/>
        <v>0</v>
      </c>
      <c r="H44" s="1162">
        <f t="shared" si="11"/>
        <v>0</v>
      </c>
      <c r="I44" s="821">
        <f t="shared" si="2"/>
        <v>0</v>
      </c>
    </row>
    <row r="45" spans="1:9" ht="13.2" hidden="1" x14ac:dyDescent="0.25">
      <c r="A45" s="1167"/>
      <c r="B45" s="1165"/>
      <c r="C45" s="1164"/>
      <c r="D45" s="1164"/>
      <c r="E45" s="1164"/>
      <c r="F45" s="1164"/>
      <c r="G45" s="1164"/>
      <c r="H45" s="1164"/>
      <c r="I45" s="821">
        <f t="shared" si="2"/>
        <v>0</v>
      </c>
    </row>
    <row r="46" spans="1:9" ht="13.2" hidden="1" x14ac:dyDescent="0.25">
      <c r="A46" s="259" t="s">
        <v>397</v>
      </c>
      <c r="B46" s="1165" t="s">
        <v>398</v>
      </c>
      <c r="C46" s="1166">
        <v>3045</v>
      </c>
      <c r="D46" s="1166">
        <f>C46</f>
        <v>3045</v>
      </c>
      <c r="E46" s="1166">
        <f>D46</f>
        <v>3045</v>
      </c>
      <c r="F46" s="1166">
        <f>E46</f>
        <v>3045</v>
      </c>
      <c r="G46" s="1166">
        <f>F46</f>
        <v>3045</v>
      </c>
      <c r="H46" s="1166">
        <f>G46</f>
        <v>3045</v>
      </c>
      <c r="I46" s="821">
        <f t="shared" si="2"/>
        <v>18270</v>
      </c>
    </row>
    <row r="47" spans="1:9" ht="13.2" hidden="1" x14ac:dyDescent="0.25">
      <c r="A47" s="259" t="s">
        <v>399</v>
      </c>
      <c r="B47" s="90" t="s">
        <v>320</v>
      </c>
      <c r="C47" s="1164">
        <f t="shared" ref="C47:H47" si="12">((C46*C41/60)+(C40*C42*C41/60))*C39</f>
        <v>1.4159249999999999E-4</v>
      </c>
      <c r="D47" s="1164">
        <f t="shared" si="12"/>
        <v>1.405775E-4</v>
      </c>
      <c r="E47" s="1164">
        <f t="shared" si="12"/>
        <v>1.405775E-4</v>
      </c>
      <c r="F47" s="1164">
        <f t="shared" si="12"/>
        <v>1.9386500000000001E-4</v>
      </c>
      <c r="G47" s="1164">
        <f t="shared" si="12"/>
        <v>1.9386500000000001E-4</v>
      </c>
      <c r="H47" s="1164">
        <f t="shared" si="12"/>
        <v>1.9386500000000001E-4</v>
      </c>
      <c r="I47" s="821">
        <f t="shared" si="2"/>
        <v>1.0043425E-3</v>
      </c>
    </row>
    <row r="48" spans="1:9" hidden="1" x14ac:dyDescent="0.2">
      <c r="A48" s="47"/>
      <c r="B48" s="90"/>
      <c r="C48" s="1164"/>
      <c r="D48" s="1164"/>
      <c r="E48" s="1164"/>
      <c r="F48" s="1164"/>
      <c r="G48" s="1164"/>
      <c r="H48" s="1164"/>
      <c r="I48" s="821">
        <f t="shared" si="2"/>
        <v>0</v>
      </c>
    </row>
    <row r="49" spans="1:9" hidden="1" x14ac:dyDescent="0.2">
      <c r="A49" s="47" t="s">
        <v>405</v>
      </c>
      <c r="B49" s="90" t="s">
        <v>400</v>
      </c>
      <c r="C49" s="1164"/>
      <c r="D49" s="1164"/>
      <c r="E49" s="1164"/>
      <c r="F49" s="1164"/>
      <c r="G49" s="1164"/>
      <c r="H49" s="1164"/>
      <c r="I49" s="821">
        <f t="shared" si="2"/>
        <v>0</v>
      </c>
    </row>
    <row r="50" spans="1:9" hidden="1" x14ac:dyDescent="0.2">
      <c r="A50" s="47"/>
      <c r="B50" s="90"/>
      <c r="C50" s="1164"/>
      <c r="D50" s="1164"/>
      <c r="E50" s="1164"/>
      <c r="F50" s="1164"/>
      <c r="G50" s="1164"/>
      <c r="H50" s="1164"/>
      <c r="I50" s="821">
        <f t="shared" si="2"/>
        <v>0</v>
      </c>
    </row>
    <row r="51" spans="1:9" hidden="1" x14ac:dyDescent="0.2">
      <c r="A51" s="47"/>
      <c r="B51" s="90"/>
      <c r="C51" s="90"/>
      <c r="D51" s="47"/>
      <c r="E51" s="47"/>
      <c r="F51" s="47"/>
      <c r="G51" s="47"/>
      <c r="H51" s="47"/>
      <c r="I51" s="821">
        <f t="shared" si="2"/>
        <v>0</v>
      </c>
    </row>
    <row r="52" spans="1:9" hidden="1" x14ac:dyDescent="0.2">
      <c r="A52" s="47"/>
      <c r="B52" s="90"/>
      <c r="C52" s="90"/>
      <c r="D52" s="47"/>
      <c r="E52" s="47"/>
      <c r="F52" s="47"/>
      <c r="G52" s="47"/>
      <c r="H52" s="47"/>
      <c r="I52" s="821">
        <f t="shared" si="2"/>
        <v>0</v>
      </c>
    </row>
    <row r="53" spans="1:9" ht="13.2" x14ac:dyDescent="0.25">
      <c r="A53" s="132" t="s">
        <v>132</v>
      </c>
      <c r="B53" s="151"/>
      <c r="C53" s="1125"/>
      <c r="D53" s="1125"/>
      <c r="E53" s="1125"/>
      <c r="F53" s="1125"/>
      <c r="G53" s="90"/>
      <c r="H53" s="47"/>
      <c r="I53" s="821">
        <f t="shared" si="2"/>
        <v>0</v>
      </c>
    </row>
    <row r="54" spans="1:9" x14ac:dyDescent="0.2">
      <c r="A54" s="47" t="s">
        <v>376</v>
      </c>
      <c r="B54" s="90" t="s">
        <v>312</v>
      </c>
      <c r="C54" s="1169">
        <v>363888</v>
      </c>
      <c r="D54" s="1169">
        <v>363888</v>
      </c>
      <c r="E54" s="1169">
        <v>363888</v>
      </c>
      <c r="F54" s="1169">
        <v>363888</v>
      </c>
      <c r="G54" s="1169">
        <v>363888</v>
      </c>
      <c r="H54" s="1169">
        <v>363888</v>
      </c>
      <c r="I54" s="821">
        <f t="shared" si="2"/>
        <v>2183328</v>
      </c>
    </row>
    <row r="55" spans="1:9" x14ac:dyDescent="0.2">
      <c r="A55" s="47" t="s">
        <v>376</v>
      </c>
      <c r="B55" s="90" t="s">
        <v>377</v>
      </c>
      <c r="C55" s="1129"/>
      <c r="D55" s="1129"/>
      <c r="E55" s="1129"/>
      <c r="F55" s="1129"/>
      <c r="G55" s="1129"/>
      <c r="H55" s="1129"/>
      <c r="I55" s="821">
        <f t="shared" si="2"/>
        <v>0</v>
      </c>
    </row>
    <row r="56" spans="1:9" s="157" customFormat="1" x14ac:dyDescent="0.2">
      <c r="A56" s="1158" t="s">
        <v>315</v>
      </c>
      <c r="B56" s="1159"/>
      <c r="C56" s="1168">
        <f t="shared" ref="C56:H57" si="13">C18</f>
        <v>0</v>
      </c>
      <c r="D56" s="1168">
        <f t="shared" si="13"/>
        <v>0</v>
      </c>
      <c r="E56" s="1168">
        <f t="shared" si="13"/>
        <v>0</v>
      </c>
      <c r="F56" s="1168">
        <f t="shared" si="13"/>
        <v>0</v>
      </c>
      <c r="G56" s="1168">
        <f t="shared" si="13"/>
        <v>0</v>
      </c>
      <c r="H56" s="1168">
        <f t="shared" si="13"/>
        <v>0</v>
      </c>
      <c r="I56" s="821">
        <f t="shared" si="2"/>
        <v>0</v>
      </c>
    </row>
    <row r="57" spans="1:9" s="157" customFormat="1" x14ac:dyDescent="0.2">
      <c r="A57" s="1158" t="s">
        <v>316</v>
      </c>
      <c r="B57" s="1159"/>
      <c r="C57" s="1168">
        <f t="shared" si="13"/>
        <v>0</v>
      </c>
      <c r="D57" s="1168">
        <f t="shared" si="13"/>
        <v>0</v>
      </c>
      <c r="E57" s="1168">
        <f t="shared" si="13"/>
        <v>0</v>
      </c>
      <c r="F57" s="1168">
        <f t="shared" si="13"/>
        <v>0</v>
      </c>
      <c r="G57" s="1168">
        <f t="shared" si="13"/>
        <v>0</v>
      </c>
      <c r="H57" s="1168">
        <f t="shared" si="13"/>
        <v>0</v>
      </c>
      <c r="I57" s="821">
        <f t="shared" si="2"/>
        <v>0</v>
      </c>
    </row>
    <row r="58" spans="1:9" x14ac:dyDescent="0.2">
      <c r="A58" s="47" t="s">
        <v>378</v>
      </c>
      <c r="B58" s="90"/>
      <c r="C58" s="1140"/>
      <c r="D58" s="1125"/>
      <c r="E58" s="1125"/>
      <c r="F58" s="1125"/>
      <c r="G58" s="90"/>
      <c r="H58" s="1154"/>
      <c r="I58" s="821">
        <f t="shared" si="2"/>
        <v>0</v>
      </c>
    </row>
    <row r="59" spans="1:9" x14ac:dyDescent="0.2">
      <c r="A59" s="47" t="s">
        <v>379</v>
      </c>
      <c r="B59" s="90"/>
      <c r="C59" s="1140"/>
      <c r="D59" s="1125"/>
      <c r="E59" s="1125"/>
      <c r="F59" s="1125"/>
      <c r="G59" s="90"/>
      <c r="H59" s="1154"/>
      <c r="I59" s="821">
        <f t="shared" si="2"/>
        <v>0</v>
      </c>
    </row>
    <row r="60" spans="1:9" ht="13.2" x14ac:dyDescent="0.25">
      <c r="A60" s="132" t="s">
        <v>380</v>
      </c>
      <c r="B60" s="90"/>
      <c r="C60" s="1125"/>
      <c r="D60" s="1125"/>
      <c r="E60" s="1125"/>
      <c r="F60" s="1125"/>
      <c r="G60" s="90"/>
      <c r="H60" s="1155"/>
      <c r="I60" s="821">
        <f t="shared" si="2"/>
        <v>0</v>
      </c>
    </row>
    <row r="61" spans="1:9" x14ac:dyDescent="0.2">
      <c r="A61" s="47" t="s">
        <v>406</v>
      </c>
      <c r="B61" s="90" t="s">
        <v>382</v>
      </c>
      <c r="C61" s="1169">
        <v>458000</v>
      </c>
      <c r="D61" s="1169">
        <v>458000</v>
      </c>
      <c r="E61" s="1169">
        <v>458000</v>
      </c>
      <c r="F61" s="1169">
        <v>458000</v>
      </c>
      <c r="G61" s="1169">
        <v>458000</v>
      </c>
      <c r="H61" s="1169">
        <v>458000</v>
      </c>
      <c r="I61" s="821">
        <f t="shared" si="2"/>
        <v>2748000</v>
      </c>
    </row>
    <row r="62" spans="1:9" x14ac:dyDescent="0.2">
      <c r="A62" s="47"/>
      <c r="B62" s="90"/>
      <c r="C62" s="1129"/>
      <c r="D62" s="1129"/>
      <c r="E62" s="1129"/>
      <c r="F62" s="1129"/>
      <c r="G62" s="1129"/>
      <c r="H62" s="1129"/>
      <c r="I62" s="821">
        <f t="shared" si="2"/>
        <v>0</v>
      </c>
    </row>
    <row r="63" spans="1:9" ht="12.75" customHeight="1" x14ac:dyDescent="0.2">
      <c r="A63" s="47"/>
      <c r="B63" s="90"/>
      <c r="C63" s="1125"/>
      <c r="D63" s="1125"/>
      <c r="E63" s="1125"/>
      <c r="F63" s="1125"/>
      <c r="G63" s="1125"/>
      <c r="H63" s="1125"/>
      <c r="I63" s="821">
        <f t="shared" si="2"/>
        <v>0</v>
      </c>
    </row>
    <row r="64" spans="1:9" x14ac:dyDescent="0.2">
      <c r="A64" s="47" t="s">
        <v>407</v>
      </c>
      <c r="B64" s="90" t="s">
        <v>385</v>
      </c>
      <c r="C64" s="1129">
        <v>2</v>
      </c>
      <c r="D64" s="1129">
        <v>2</v>
      </c>
      <c r="E64" s="1129">
        <v>2</v>
      </c>
      <c r="F64" s="1129">
        <v>2</v>
      </c>
      <c r="G64" s="1129">
        <v>2</v>
      </c>
      <c r="H64" s="1129">
        <v>2</v>
      </c>
      <c r="I64" s="821">
        <f t="shared" si="2"/>
        <v>12</v>
      </c>
    </row>
    <row r="65" spans="1:12" x14ac:dyDescent="0.2">
      <c r="A65" s="47"/>
      <c r="B65" s="90" t="s">
        <v>385</v>
      </c>
      <c r="C65" s="1129"/>
      <c r="D65" s="1129"/>
      <c r="E65" s="1129"/>
      <c r="F65" s="1129"/>
      <c r="G65" s="1129"/>
      <c r="H65" s="1129"/>
      <c r="I65" s="821">
        <f t="shared" si="2"/>
        <v>0</v>
      </c>
    </row>
    <row r="66" spans="1:12" x14ac:dyDescent="0.2">
      <c r="A66" s="47"/>
      <c r="B66" s="90"/>
      <c r="C66" s="1125"/>
      <c r="D66" s="1125"/>
      <c r="E66" s="1125"/>
      <c r="F66" s="1125"/>
      <c r="G66" s="90"/>
      <c r="H66" s="1130"/>
      <c r="I66" s="821">
        <f t="shared" si="2"/>
        <v>0</v>
      </c>
    </row>
    <row r="67" spans="1:12" ht="13.2" x14ac:dyDescent="0.25">
      <c r="A67" s="47" t="s">
        <v>148</v>
      </c>
      <c r="B67" s="151" t="s">
        <v>320</v>
      </c>
      <c r="C67" s="2831">
        <f t="shared" ref="C67:H67" si="14">C6+C16+C17+C22</f>
        <v>15684354.112</v>
      </c>
      <c r="D67" s="2831">
        <f t="shared" si="14"/>
        <v>21742586.222000003</v>
      </c>
      <c r="E67" s="2831">
        <f t="shared" si="14"/>
        <v>15684354.112</v>
      </c>
      <c r="F67" s="2831">
        <f t="shared" si="14"/>
        <v>19847087.686004531</v>
      </c>
      <c r="G67" s="2831">
        <f t="shared" si="14"/>
        <v>19847087.686004531</v>
      </c>
      <c r="H67" s="2831">
        <f t="shared" si="14"/>
        <v>19847087.686004531</v>
      </c>
      <c r="I67" s="821">
        <f t="shared" si="2"/>
        <v>112652557.50401361</v>
      </c>
    </row>
    <row r="68" spans="1:12" ht="13.2" x14ac:dyDescent="0.25">
      <c r="A68" s="47" t="s">
        <v>149</v>
      </c>
      <c r="B68" s="151" t="s">
        <v>320</v>
      </c>
      <c r="C68" s="1125">
        <f>C33+C54</f>
        <v>363888</v>
      </c>
      <c r="D68" s="1125">
        <f t="shared" ref="D68:H68" si="15">D33+D54</f>
        <v>363888</v>
      </c>
      <c r="E68" s="1125">
        <f t="shared" si="15"/>
        <v>363888</v>
      </c>
      <c r="F68" s="1125">
        <f t="shared" si="15"/>
        <v>363888</v>
      </c>
      <c r="G68" s="1125">
        <f t="shared" si="15"/>
        <v>363888</v>
      </c>
      <c r="H68" s="1125">
        <f t="shared" si="15"/>
        <v>363888</v>
      </c>
      <c r="I68" s="821">
        <f t="shared" si="2"/>
        <v>2183328</v>
      </c>
    </row>
    <row r="69" spans="1:12" ht="13.2" x14ac:dyDescent="0.25">
      <c r="A69" s="47" t="s">
        <v>387</v>
      </c>
      <c r="B69" s="151" t="s">
        <v>320</v>
      </c>
      <c r="C69" s="1170">
        <f t="shared" ref="C69:H69" si="16">+C64*C61</f>
        <v>916000</v>
      </c>
      <c r="D69" s="1170">
        <f t="shared" si="16"/>
        <v>916000</v>
      </c>
      <c r="E69" s="1170">
        <f t="shared" si="16"/>
        <v>916000</v>
      </c>
      <c r="F69" s="1170">
        <f t="shared" si="16"/>
        <v>916000</v>
      </c>
      <c r="G69" s="1170">
        <f t="shared" si="16"/>
        <v>916000</v>
      </c>
      <c r="H69" s="1170">
        <f t="shared" si="16"/>
        <v>916000</v>
      </c>
      <c r="I69" s="821">
        <f t="shared" si="2"/>
        <v>5496000</v>
      </c>
    </row>
    <row r="70" spans="1:12" ht="13.2" x14ac:dyDescent="0.25">
      <c r="A70" s="47" t="s">
        <v>150</v>
      </c>
      <c r="B70" s="151" t="s">
        <v>39</v>
      </c>
      <c r="C70" s="1129">
        <v>64</v>
      </c>
      <c r="D70" s="1129">
        <v>64</v>
      </c>
      <c r="E70" s="1129">
        <v>64</v>
      </c>
      <c r="F70" s="1129">
        <v>64</v>
      </c>
      <c r="G70" s="1129">
        <v>64</v>
      </c>
      <c r="H70" s="1129">
        <v>64</v>
      </c>
      <c r="I70" s="821">
        <f t="shared" si="2"/>
        <v>384</v>
      </c>
      <c r="J70" s="183"/>
    </row>
    <row r="71" spans="1:12" ht="13.2" x14ac:dyDescent="0.25">
      <c r="A71" s="47" t="s">
        <v>134</v>
      </c>
      <c r="B71" s="151" t="s">
        <v>388</v>
      </c>
      <c r="C71" s="1171">
        <f>+DispatchSchedule!F77*1000000</f>
        <v>0</v>
      </c>
      <c r="D71" s="1171">
        <f>+DispatchSchedule!G77*1000000</f>
        <v>0</v>
      </c>
      <c r="E71" s="1171">
        <f>+DispatchSchedule!H77*1000000</f>
        <v>0</v>
      </c>
      <c r="F71" s="1171">
        <f>+DispatchSchedule!I77*1000000</f>
        <v>0</v>
      </c>
      <c r="G71" s="1171">
        <f>+DispatchSchedule!J77*1000000</f>
        <v>0</v>
      </c>
      <c r="H71" s="1171">
        <f>+DispatchSchedule!K77*1000000</f>
        <v>0</v>
      </c>
      <c r="I71" s="821">
        <f t="shared" si="2"/>
        <v>0</v>
      </c>
    </row>
    <row r="72" spans="1:12" ht="13.2" x14ac:dyDescent="0.25">
      <c r="A72" s="484" t="s">
        <v>805</v>
      </c>
      <c r="B72" s="151" t="s">
        <v>214</v>
      </c>
      <c r="C72" s="143">
        <f>IF(C71=0,0,(C68/C71))</f>
        <v>0</v>
      </c>
      <c r="D72" s="143">
        <f t="shared" ref="D72:H72" si="17">IF(D71=0,0,(D68/D71))</f>
        <v>0</v>
      </c>
      <c r="E72" s="143">
        <f t="shared" si="17"/>
        <v>0</v>
      </c>
      <c r="F72" s="143">
        <f t="shared" si="17"/>
        <v>0</v>
      </c>
      <c r="G72" s="143">
        <f t="shared" si="17"/>
        <v>0</v>
      </c>
      <c r="H72" s="143">
        <f t="shared" si="17"/>
        <v>0</v>
      </c>
      <c r="I72" s="821">
        <f t="shared" ref="I72:I79" si="18">SUM(C72:H72)</f>
        <v>0</v>
      </c>
    </row>
    <row r="73" spans="1:12" ht="13.2" x14ac:dyDescent="0.25">
      <c r="A73" s="567" t="s">
        <v>804</v>
      </c>
      <c r="B73" s="508" t="s">
        <v>214</v>
      </c>
      <c r="C73" s="569">
        <f t="shared" ref="C73:H73" si="19">IF(C71=0,0,((C68+C69)/C71))</f>
        <v>0</v>
      </c>
      <c r="D73" s="569">
        <f t="shared" si="19"/>
        <v>0</v>
      </c>
      <c r="E73" s="569">
        <f t="shared" si="19"/>
        <v>0</v>
      </c>
      <c r="F73" s="569">
        <f t="shared" si="19"/>
        <v>0</v>
      </c>
      <c r="G73" s="569">
        <f t="shared" si="19"/>
        <v>0</v>
      </c>
      <c r="H73" s="569">
        <f t="shared" si="19"/>
        <v>0</v>
      </c>
      <c r="I73" s="821">
        <f t="shared" si="18"/>
        <v>0</v>
      </c>
    </row>
    <row r="74" spans="1:12" ht="13.2" x14ac:dyDescent="0.25">
      <c r="A74" s="140" t="s">
        <v>806</v>
      </c>
      <c r="B74" s="151" t="s">
        <v>214</v>
      </c>
      <c r="C74" s="143">
        <f t="shared" ref="C74:H74" si="20">IF(C71=0,0,(C67/C71))</f>
        <v>0</v>
      </c>
      <c r="D74" s="143">
        <f t="shared" si="20"/>
        <v>0</v>
      </c>
      <c r="E74" s="143">
        <f t="shared" si="20"/>
        <v>0</v>
      </c>
      <c r="F74" s="143">
        <f t="shared" si="20"/>
        <v>0</v>
      </c>
      <c r="G74" s="143">
        <f t="shared" si="20"/>
        <v>0</v>
      </c>
      <c r="H74" s="143">
        <f t="shared" si="20"/>
        <v>0</v>
      </c>
      <c r="I74" s="821">
        <f t="shared" si="18"/>
        <v>0</v>
      </c>
    </row>
    <row r="75" spans="1:12" ht="13.2" x14ac:dyDescent="0.25">
      <c r="A75" s="140" t="s">
        <v>390</v>
      </c>
      <c r="B75" s="151" t="s">
        <v>322</v>
      </c>
      <c r="C75" s="145">
        <f t="shared" ref="C75:H75" si="21">C67/C70/1000</f>
        <v>245.06803299999999</v>
      </c>
      <c r="D75" s="145">
        <f t="shared" si="21"/>
        <v>339.72790971875003</v>
      </c>
      <c r="E75" s="145">
        <f t="shared" si="21"/>
        <v>245.06803299999999</v>
      </c>
      <c r="F75" s="145">
        <f t="shared" si="21"/>
        <v>310.11074509382081</v>
      </c>
      <c r="G75" s="145">
        <f t="shared" si="21"/>
        <v>310.11074509382081</v>
      </c>
      <c r="H75" s="145">
        <f t="shared" si="21"/>
        <v>310.11074509382081</v>
      </c>
      <c r="I75" s="821">
        <f t="shared" si="18"/>
        <v>1760.1962110002123</v>
      </c>
    </row>
    <row r="76" spans="1:12" ht="13.2" x14ac:dyDescent="0.25">
      <c r="B76" s="82"/>
      <c r="I76" s="821">
        <f t="shared" si="18"/>
        <v>0</v>
      </c>
      <c r="J76">
        <f>+C77*1000000</f>
        <v>16048242.112</v>
      </c>
      <c r="L76" s="402">
        <f>+D77*1000000</f>
        <v>22106474.222000003</v>
      </c>
    </row>
    <row r="77" spans="1:12" ht="13.2" x14ac:dyDescent="0.25">
      <c r="A77" s="507" t="s">
        <v>148</v>
      </c>
      <c r="B77" s="508" t="s">
        <v>460</v>
      </c>
      <c r="C77" s="1231">
        <f>IF(C71=0,(C67+C68)/1000000,C67/1000000)</f>
        <v>16.048242112000001</v>
      </c>
      <c r="D77" s="1231">
        <f t="shared" ref="D77:H77" si="22">IF(D71=0,(D67+D68)/1000000,D67/1000000)</f>
        <v>22.106474222000003</v>
      </c>
      <c r="E77" s="1231">
        <f t="shared" si="22"/>
        <v>16.048242112000001</v>
      </c>
      <c r="F77" s="1231">
        <f t="shared" si="22"/>
        <v>20.210975686004531</v>
      </c>
      <c r="G77" s="1231">
        <f>IF(G71=0,(G67+G68)/1000000,G67/1000000)</f>
        <v>20.210975686004531</v>
      </c>
      <c r="H77" s="1231">
        <f t="shared" si="22"/>
        <v>20.210975686004531</v>
      </c>
      <c r="I77" s="821">
        <f t="shared" si="18"/>
        <v>114.83588550401359</v>
      </c>
      <c r="J77" s="150">
        <f>+J76+C16</f>
        <v>17091384.112</v>
      </c>
    </row>
    <row r="78" spans="1:12" ht="13.2" x14ac:dyDescent="0.25">
      <c r="A78" s="47" t="s">
        <v>149</v>
      </c>
      <c r="B78" s="151" t="s">
        <v>460</v>
      </c>
      <c r="C78" s="1232">
        <f>IF(C71=0,0,(C68+C69)/1000000)</f>
        <v>0</v>
      </c>
      <c r="D78" s="1232">
        <f t="shared" ref="D78:H78" si="23">IF(D71=0,0,(D68+D69)/1000000)</f>
        <v>0</v>
      </c>
      <c r="E78" s="1232">
        <f t="shared" si="23"/>
        <v>0</v>
      </c>
      <c r="F78" s="1232">
        <f>IF(F71=0,0,(F68+F69)/1000000)</f>
        <v>0</v>
      </c>
      <c r="G78" s="1232">
        <f t="shared" si="23"/>
        <v>0</v>
      </c>
      <c r="H78" s="1232">
        <f t="shared" si="23"/>
        <v>0</v>
      </c>
      <c r="I78" s="821">
        <f t="shared" si="18"/>
        <v>0</v>
      </c>
      <c r="L78" s="414">
        <f>+L76+2326633.89</f>
        <v>24433108.112000003</v>
      </c>
    </row>
    <row r="79" spans="1:12" ht="13.2" x14ac:dyDescent="0.25">
      <c r="A79" s="47" t="s">
        <v>134</v>
      </c>
      <c r="B79" s="151" t="s">
        <v>56</v>
      </c>
      <c r="C79" s="1234">
        <f t="shared" ref="C79:H79" si="24">+C71/1000000</f>
        <v>0</v>
      </c>
      <c r="D79" s="1234">
        <f t="shared" si="24"/>
        <v>0</v>
      </c>
      <c r="E79" s="1234">
        <f t="shared" si="24"/>
        <v>0</v>
      </c>
      <c r="F79" s="1234">
        <f t="shared" si="24"/>
        <v>0</v>
      </c>
      <c r="G79" s="1234">
        <f t="shared" si="24"/>
        <v>0</v>
      </c>
      <c r="H79" s="1234">
        <f t="shared" si="24"/>
        <v>0</v>
      </c>
      <c r="I79" s="821">
        <f t="shared" si="18"/>
        <v>0</v>
      </c>
    </row>
    <row r="80" spans="1:12" x14ac:dyDescent="0.2">
      <c r="F80" s="322"/>
      <c r="G80" s="322"/>
      <c r="H80" s="322"/>
    </row>
    <row r="81" spans="1:9" x14ac:dyDescent="0.2">
      <c r="A81" s="183"/>
      <c r="F81" s="165"/>
      <c r="G81" s="165"/>
      <c r="H81" s="165"/>
    </row>
    <row r="82" spans="1:9" x14ac:dyDescent="0.2">
      <c r="A82" s="183"/>
      <c r="D82" s="2"/>
      <c r="E82" s="2"/>
      <c r="F82" s="869"/>
      <c r="G82" s="869"/>
      <c r="H82" s="869"/>
    </row>
    <row r="83" spans="1:9" x14ac:dyDescent="0.2">
      <c r="C83" s="447"/>
      <c r="D83" s="447"/>
      <c r="E83" s="447"/>
      <c r="F83" s="447"/>
      <c r="G83" s="447"/>
      <c r="H83" s="447"/>
    </row>
    <row r="84" spans="1:9" ht="13.8" x14ac:dyDescent="0.25">
      <c r="A84" s="1083"/>
      <c r="B84" s="456"/>
      <c r="C84" s="587"/>
      <c r="D84" s="587"/>
      <c r="E84" s="587">
        <f>+D77*1000000</f>
        <v>22106474.222000003</v>
      </c>
      <c r="F84" s="587"/>
      <c r="G84" s="587"/>
      <c r="H84" s="587"/>
    </row>
    <row r="85" spans="1:9" ht="16.5" customHeight="1" x14ac:dyDescent="0.2">
      <c r="A85" s="1156"/>
      <c r="B85" s="1156"/>
      <c r="C85" s="1209"/>
      <c r="D85" s="1209"/>
      <c r="E85" s="1209">
        <f>+E84+2326633.89</f>
        <v>24433108.112000003</v>
      </c>
      <c r="F85" s="1209"/>
      <c r="G85" s="1209"/>
      <c r="H85" s="1209"/>
    </row>
    <row r="86" spans="1:9" ht="17.25" customHeight="1" x14ac:dyDescent="0.2">
      <c r="A86" s="1156"/>
      <c r="B86" s="1156"/>
      <c r="C86" s="1156"/>
      <c r="D86" s="2686">
        <f>+D77+C77</f>
        <v>38.154716334</v>
      </c>
      <c r="E86" s="1156"/>
      <c r="F86" s="1156" t="s">
        <v>1443</v>
      </c>
      <c r="G86" s="1156"/>
      <c r="H86" s="1156"/>
    </row>
    <row r="87" spans="1:9" x14ac:dyDescent="0.2">
      <c r="D87" s="150"/>
    </row>
    <row r="88" spans="1:9" x14ac:dyDescent="0.2">
      <c r="C88" s="159"/>
      <c r="D88" s="150"/>
      <c r="E88" s="159"/>
      <c r="F88" s="159"/>
      <c r="G88" s="159"/>
      <c r="H88" s="159"/>
    </row>
    <row r="89" spans="1:9" x14ac:dyDescent="0.2">
      <c r="D89" s="150"/>
    </row>
    <row r="90" spans="1:9" x14ac:dyDescent="0.2">
      <c r="C90" s="159"/>
      <c r="D90" s="150"/>
      <c r="E90" s="159"/>
      <c r="F90" s="159"/>
      <c r="G90" s="159"/>
      <c r="H90" s="159"/>
    </row>
    <row r="91" spans="1:9" x14ac:dyDescent="0.2">
      <c r="C91" s="562"/>
      <c r="D91" s="150"/>
      <c r="E91" s="562"/>
      <c r="F91" s="562"/>
      <c r="G91" s="562"/>
      <c r="H91" s="562"/>
    </row>
    <row r="92" spans="1:9" x14ac:dyDescent="0.2">
      <c r="C92" s="562"/>
      <c r="D92" s="562"/>
      <c r="E92" s="562"/>
      <c r="F92" s="562"/>
      <c r="G92" s="562"/>
      <c r="H92" s="562"/>
    </row>
    <row r="93" spans="1:9" x14ac:dyDescent="0.2">
      <c r="C93" s="562"/>
      <c r="D93" s="562"/>
      <c r="E93" s="562"/>
      <c r="F93" s="562"/>
      <c r="G93" s="562"/>
      <c r="H93" s="562"/>
    </row>
    <row r="94" spans="1:9" x14ac:dyDescent="0.2">
      <c r="C94" s="562"/>
      <c r="D94" s="562"/>
      <c r="E94" s="562"/>
      <c r="F94" s="562"/>
      <c r="G94" s="562"/>
      <c r="H94" s="562"/>
    </row>
    <row r="95" spans="1:9" x14ac:dyDescent="0.2">
      <c r="C95" s="562"/>
      <c r="D95" s="562"/>
      <c r="E95" s="562"/>
      <c r="F95" s="562"/>
      <c r="G95" s="562"/>
      <c r="H95" s="562"/>
      <c r="I95" s="562"/>
    </row>
    <row r="96" spans="1:9" x14ac:dyDescent="0.2">
      <c r="C96" s="562"/>
      <c r="D96" s="562"/>
      <c r="E96" s="562"/>
      <c r="F96" s="562"/>
      <c r="G96" s="562"/>
      <c r="H96" s="562"/>
      <c r="I96" s="562"/>
    </row>
    <row r="97" spans="1:9" x14ac:dyDescent="0.2">
      <c r="C97" s="562"/>
      <c r="D97" s="562"/>
      <c r="E97" s="562"/>
      <c r="F97" s="562"/>
      <c r="G97" s="562"/>
      <c r="H97" s="562"/>
      <c r="I97" s="562"/>
    </row>
    <row r="98" spans="1:9" x14ac:dyDescent="0.2">
      <c r="C98" s="562"/>
      <c r="D98" s="562"/>
      <c r="E98" s="562"/>
      <c r="F98" s="562"/>
      <c r="G98" s="562"/>
      <c r="H98" s="562"/>
      <c r="I98" s="562"/>
    </row>
    <row r="99" spans="1:9" x14ac:dyDescent="0.2">
      <c r="C99" s="562"/>
      <c r="D99" s="562"/>
      <c r="E99" s="562"/>
      <c r="F99" s="562"/>
      <c r="G99" s="562"/>
      <c r="H99" s="562"/>
      <c r="I99" s="562"/>
    </row>
    <row r="100" spans="1:9" x14ac:dyDescent="0.2">
      <c r="C100" s="562"/>
      <c r="D100" s="562"/>
      <c r="E100" s="562"/>
      <c r="F100" s="562"/>
      <c r="G100" s="562"/>
      <c r="H100" s="562"/>
      <c r="I100" s="2"/>
    </row>
    <row r="101" spans="1:9" x14ac:dyDescent="0.2">
      <c r="A101" s="415"/>
      <c r="C101" s="562"/>
      <c r="D101" s="562"/>
      <c r="E101" s="562"/>
      <c r="F101" s="562"/>
      <c r="G101" s="562"/>
      <c r="H101" s="562"/>
    </row>
    <row r="102" spans="1:9" x14ac:dyDescent="0.2">
      <c r="A102" s="415"/>
      <c r="C102" s="562"/>
      <c r="D102" s="562"/>
      <c r="E102" s="562"/>
      <c r="F102" s="562"/>
      <c r="G102" s="562"/>
      <c r="H102" s="562"/>
    </row>
    <row r="103" spans="1:9" x14ac:dyDescent="0.2">
      <c r="C103" s="159"/>
      <c r="D103" s="159"/>
      <c r="E103" s="159"/>
      <c r="F103" s="159"/>
      <c r="G103" s="159"/>
      <c r="H103" s="159"/>
    </row>
    <row r="107" spans="1:9" x14ac:dyDescent="0.2">
      <c r="A107" s="638"/>
    </row>
    <row r="108" spans="1:9" x14ac:dyDescent="0.2">
      <c r="A108" s="638"/>
    </row>
    <row r="109" spans="1:9" x14ac:dyDescent="0.2">
      <c r="A109" s="638"/>
    </row>
  </sheetData>
  <phoneticPr fontId="54" type="noConversion"/>
  <dataValidations disablePrompts="1" count="2">
    <dataValidation type="list" allowBlank="1" showInputMessage="1" showErrorMessage="1" sqref="B63" xr:uid="{00000000-0002-0000-0F00-000000000000}">
      <formula1>Currency</formula1>
    </dataValidation>
    <dataValidation type="list" allowBlank="1" showInputMessage="1" showErrorMessage="1" sqref="C25" xr:uid="{00000000-0002-0000-0F00-000001000000}">
      <formula1>Combustible</formula1>
    </dataValidation>
  </dataValidations>
  <pageMargins left="0.69" right="0" top="0.22" bottom="0" header="0.19684820647419074" footer="0.11810804899387577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3">
    <tabColor rgb="FFFFC000"/>
    <pageSetUpPr fitToPage="1"/>
  </sheetPr>
  <dimension ref="A1:N83"/>
  <sheetViews>
    <sheetView showGridLines="0" view="pageBreakPreview" zoomScale="90" zoomScaleNormal="85" zoomScaleSheetLayoutView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ColWidth="9" defaultRowHeight="12.6" x14ac:dyDescent="0.2"/>
  <cols>
    <col min="1" max="1" width="33.36328125" customWidth="1"/>
    <col min="2" max="2" width="9.7265625" style="2" customWidth="1"/>
    <col min="3" max="3" width="17.36328125" style="2" hidden="1" customWidth="1"/>
    <col min="4" max="4" width="17.26953125" hidden="1" customWidth="1"/>
    <col min="5" max="5" width="17.36328125" hidden="1" customWidth="1"/>
    <col min="6" max="9" width="17.36328125" bestFit="1" customWidth="1"/>
    <col min="10" max="10" width="24.36328125" customWidth="1"/>
    <col min="11" max="11" width="18.26953125" bestFit="1" customWidth="1"/>
  </cols>
  <sheetData>
    <row r="1" spans="1:11" ht="17.399999999999999" x14ac:dyDescent="0.3">
      <c r="A1" s="53" t="s">
        <v>408</v>
      </c>
      <c r="B1" s="131">
        <v>811</v>
      </c>
      <c r="C1" s="156" t="s">
        <v>409</v>
      </c>
      <c r="I1" s="867"/>
    </row>
    <row r="2" spans="1:11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11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841">
        <f>DispatchSchedule!K3</f>
        <v>46174</v>
      </c>
    </row>
    <row r="4" spans="1:11" ht="13.2" x14ac:dyDescent="0.25">
      <c r="A4" s="132" t="s">
        <v>122</v>
      </c>
      <c r="B4" s="151"/>
      <c r="C4" s="1125"/>
      <c r="D4" s="1125"/>
      <c r="E4" s="1125"/>
      <c r="F4" s="1125"/>
      <c r="G4" s="90"/>
      <c r="H4" s="47"/>
    </row>
    <row r="5" spans="1:11" ht="13.2" x14ac:dyDescent="0.25">
      <c r="A5" s="1132" t="s">
        <v>310</v>
      </c>
      <c r="B5" s="1133"/>
      <c r="C5" s="1125"/>
      <c r="D5" s="1125"/>
      <c r="E5" s="1125"/>
      <c r="F5" s="1125"/>
      <c r="G5" s="90"/>
      <c r="H5" s="47"/>
      <c r="I5" s="2"/>
    </row>
    <row r="6" spans="1:11" x14ac:dyDescent="0.2">
      <c r="A6" s="47" t="s">
        <v>311</v>
      </c>
      <c r="B6" s="90" t="s">
        <v>312</v>
      </c>
      <c r="C6" s="1126">
        <f>SUM(C7:C15)</f>
        <v>23075685.75</v>
      </c>
      <c r="D6" s="1126">
        <f t="shared" ref="D6:H6" si="0">SUM(D7:D15)</f>
        <v>33961571.57</v>
      </c>
      <c r="E6" s="1126">
        <f t="shared" si="0"/>
        <v>23075685.75</v>
      </c>
      <c r="F6" s="1126">
        <f t="shared" si="0"/>
        <v>27000386.288873371</v>
      </c>
      <c r="G6" s="1126">
        <f t="shared" si="0"/>
        <v>27000386.288873371</v>
      </c>
      <c r="H6" s="1126">
        <f t="shared" si="0"/>
        <v>27000386.288873371</v>
      </c>
      <c r="I6" s="159">
        <f>SUM(C6:H6)</f>
        <v>161114101.93662012</v>
      </c>
    </row>
    <row r="7" spans="1:11" x14ac:dyDescent="0.2">
      <c r="A7" s="1134" t="s">
        <v>753</v>
      </c>
      <c r="B7" s="90"/>
      <c r="C7" s="1129">
        <v>9854984.1699999999</v>
      </c>
      <c r="D7" s="1129">
        <v>9854984.1699999999</v>
      </c>
      <c r="E7" s="1129">
        <v>9854984.1699999999</v>
      </c>
      <c r="F7" s="1129">
        <f>9854984.17+3924700.53887337</f>
        <v>13779684.708873369</v>
      </c>
      <c r="G7" s="1129">
        <f t="shared" ref="G7:H7" si="1">9854984.17+3924700.53887337</f>
        <v>13779684.708873369</v>
      </c>
      <c r="H7" s="1129">
        <f t="shared" si="1"/>
        <v>13779684.708873369</v>
      </c>
      <c r="I7" s="159">
        <f>SUM(C7:H7)</f>
        <v>70904006.636620104</v>
      </c>
      <c r="J7" s="150"/>
    </row>
    <row r="8" spans="1:11" x14ac:dyDescent="0.2">
      <c r="A8" s="1134" t="s">
        <v>758</v>
      </c>
      <c r="B8" s="90"/>
      <c r="C8" s="1129">
        <v>2634078.21</v>
      </c>
      <c r="D8" s="1129">
        <v>2634078.21</v>
      </c>
      <c r="E8" s="1129">
        <v>2634078.21</v>
      </c>
      <c r="F8" s="1129">
        <v>2634078.21</v>
      </c>
      <c r="G8" s="1129">
        <v>2634078.21</v>
      </c>
      <c r="H8" s="1129">
        <v>2634078.21</v>
      </c>
      <c r="I8" s="159">
        <f t="shared" ref="I8:I64" si="2">SUM(C8:H8)</f>
        <v>15804469.260000002</v>
      </c>
      <c r="J8" s="150"/>
      <c r="K8" s="241"/>
    </row>
    <row r="9" spans="1:11" x14ac:dyDescent="0.2">
      <c r="A9" s="1134" t="s">
        <v>754</v>
      </c>
      <c r="B9" s="90"/>
      <c r="C9" s="1129">
        <v>462642.34</v>
      </c>
      <c r="D9" s="1129">
        <v>462642.34</v>
      </c>
      <c r="E9" s="1129">
        <v>462642.34</v>
      </c>
      <c r="F9" s="1129">
        <v>462642.34</v>
      </c>
      <c r="G9" s="1129">
        <v>462642.34</v>
      </c>
      <c r="H9" s="1129">
        <v>462642.34</v>
      </c>
      <c r="I9" s="159">
        <f t="shared" si="2"/>
        <v>2775854.04</v>
      </c>
      <c r="J9" s="150"/>
    </row>
    <row r="10" spans="1:11" x14ac:dyDescent="0.2">
      <c r="A10" s="1134" t="s">
        <v>755</v>
      </c>
      <c r="B10" s="90"/>
      <c r="C10" s="1129">
        <v>838889.3</v>
      </c>
      <c r="D10" s="1129">
        <v>838889.3</v>
      </c>
      <c r="E10" s="1129">
        <v>838889.3</v>
      </c>
      <c r="F10" s="1129">
        <v>838889.3</v>
      </c>
      <c r="G10" s="1129">
        <v>838889.3</v>
      </c>
      <c r="H10" s="1129">
        <v>838889.3</v>
      </c>
      <c r="I10" s="159">
        <f t="shared" si="2"/>
        <v>5033335.8</v>
      </c>
      <c r="J10" s="150"/>
    </row>
    <row r="11" spans="1:11" x14ac:dyDescent="0.2">
      <c r="A11" s="1134" t="s">
        <v>752</v>
      </c>
      <c r="B11" s="90"/>
      <c r="C11" s="1129">
        <f>122386.25*0.2</f>
        <v>24477.25</v>
      </c>
      <c r="D11" s="1129">
        <f t="shared" ref="D11:H11" si="3">122386.25*0.2</f>
        <v>24477.25</v>
      </c>
      <c r="E11" s="1129">
        <f t="shared" si="3"/>
        <v>24477.25</v>
      </c>
      <c r="F11" s="1129">
        <f t="shared" si="3"/>
        <v>24477.25</v>
      </c>
      <c r="G11" s="1129">
        <f t="shared" si="3"/>
        <v>24477.25</v>
      </c>
      <c r="H11" s="1129">
        <f t="shared" si="3"/>
        <v>24477.25</v>
      </c>
      <c r="I11" s="159">
        <f t="shared" si="2"/>
        <v>146863.5</v>
      </c>
      <c r="J11" s="150"/>
    </row>
    <row r="12" spans="1:11" x14ac:dyDescent="0.2">
      <c r="A12" s="1134" t="s">
        <v>757</v>
      </c>
      <c r="B12" s="90"/>
      <c r="C12" s="1129">
        <v>751116.34</v>
      </c>
      <c r="D12" s="1129">
        <f>751116.34+10885885.82</f>
        <v>11637002.16</v>
      </c>
      <c r="E12" s="1129">
        <v>751116.34</v>
      </c>
      <c r="F12" s="1129">
        <v>751116.34</v>
      </c>
      <c r="G12" s="1129">
        <v>751116.34</v>
      </c>
      <c r="H12" s="1129">
        <v>751116.34</v>
      </c>
      <c r="I12" s="159">
        <f t="shared" si="2"/>
        <v>15392583.859999999</v>
      </c>
      <c r="J12" s="150"/>
    </row>
    <row r="13" spans="1:11" x14ac:dyDescent="0.2">
      <c r="A13" s="1134" t="s">
        <v>756</v>
      </c>
      <c r="B13" s="90"/>
      <c r="C13" s="1129">
        <v>0</v>
      </c>
      <c r="D13" s="1129">
        <v>0</v>
      </c>
      <c r="E13" s="1129">
        <v>0</v>
      </c>
      <c r="F13" s="1129">
        <v>0</v>
      </c>
      <c r="G13" s="1129">
        <v>0</v>
      </c>
      <c r="H13" s="1129">
        <v>0</v>
      </c>
      <c r="I13" s="159">
        <f t="shared" si="2"/>
        <v>0</v>
      </c>
      <c r="J13" s="150"/>
    </row>
    <row r="14" spans="1:11" x14ac:dyDescent="0.2">
      <c r="A14" s="1134" t="s">
        <v>814</v>
      </c>
      <c r="B14" s="90"/>
      <c r="C14" s="1129">
        <v>8509498.1400000006</v>
      </c>
      <c r="D14" s="1129">
        <v>8509498.1400000006</v>
      </c>
      <c r="E14" s="1129">
        <v>8509498.1400000006</v>
      </c>
      <c r="F14" s="1129">
        <v>8509498.1400000006</v>
      </c>
      <c r="G14" s="1129">
        <v>8509498.1400000006</v>
      </c>
      <c r="H14" s="1129">
        <v>8509498.1400000006</v>
      </c>
      <c r="I14" s="159">
        <f t="shared" si="2"/>
        <v>51056988.840000004</v>
      </c>
      <c r="J14" s="150"/>
    </row>
    <row r="15" spans="1:11" x14ac:dyDescent="0.2">
      <c r="A15" s="1134" t="s">
        <v>815</v>
      </c>
      <c r="B15" s="90"/>
      <c r="C15" s="1129">
        <v>0</v>
      </c>
      <c r="D15" s="1129">
        <v>0</v>
      </c>
      <c r="E15" s="1129">
        <v>0</v>
      </c>
      <c r="F15" s="1129">
        <v>0</v>
      </c>
      <c r="G15" s="1129">
        <v>0</v>
      </c>
      <c r="H15" s="1129">
        <v>0</v>
      </c>
      <c r="I15" s="159">
        <f t="shared" si="2"/>
        <v>0</v>
      </c>
      <c r="J15" s="150"/>
    </row>
    <row r="16" spans="1:11" x14ac:dyDescent="0.2">
      <c r="A16" s="47" t="s">
        <v>313</v>
      </c>
      <c r="B16" s="90" t="s">
        <v>312</v>
      </c>
      <c r="C16" s="1169">
        <v>1874395</v>
      </c>
      <c r="D16" s="1169">
        <v>1874395</v>
      </c>
      <c r="E16" s="1169">
        <v>1874395</v>
      </c>
      <c r="F16" s="1169">
        <f>4326106.76+530011.26147849</f>
        <v>4856118.02147849</v>
      </c>
      <c r="G16" s="1169">
        <f t="shared" ref="G16:H16" si="4">4326106.76+530011.26147849</f>
        <v>4856118.02147849</v>
      </c>
      <c r="H16" s="1169">
        <f t="shared" si="4"/>
        <v>4856118.02147849</v>
      </c>
      <c r="I16" s="159">
        <f t="shared" si="2"/>
        <v>20191539.064435467</v>
      </c>
      <c r="J16" s="150"/>
    </row>
    <row r="17" spans="1:14" x14ac:dyDescent="0.2">
      <c r="A17" s="47" t="s">
        <v>314</v>
      </c>
      <c r="B17" s="90" t="s">
        <v>312</v>
      </c>
      <c r="C17" s="1127">
        <v>3232742.26</v>
      </c>
      <c r="D17" s="1127">
        <v>3232742.26</v>
      </c>
      <c r="E17" s="1127">
        <v>3232742.26</v>
      </c>
      <c r="F17" s="1127">
        <f>3232742.26+573489.107625036</f>
        <v>3806231.3676250358</v>
      </c>
      <c r="G17" s="1127">
        <f t="shared" ref="G17:H17" si="5">3232742.26+573489.107625036</f>
        <v>3806231.3676250358</v>
      </c>
      <c r="H17" s="1127">
        <f t="shared" si="5"/>
        <v>3806231.3676250358</v>
      </c>
      <c r="I17" s="159">
        <f t="shared" si="2"/>
        <v>21116920.882875107</v>
      </c>
      <c r="J17" s="150">
        <v>11569305.167597765</v>
      </c>
    </row>
    <row r="18" spans="1:14" s="157" customFormat="1" x14ac:dyDescent="0.2">
      <c r="A18" s="1158" t="s">
        <v>315</v>
      </c>
      <c r="B18" s="1159"/>
      <c r="C18" s="1139"/>
      <c r="D18" s="1139"/>
      <c r="E18" s="1139"/>
      <c r="F18" s="1139"/>
      <c r="G18" s="1139"/>
      <c r="H18" s="1139"/>
      <c r="I18" s="159">
        <f t="shared" si="2"/>
        <v>0</v>
      </c>
    </row>
    <row r="19" spans="1:14" s="157" customFormat="1" x14ac:dyDescent="0.2">
      <c r="A19" s="1158" t="s">
        <v>316</v>
      </c>
      <c r="B19" s="1159"/>
      <c r="C19" s="1137">
        <f>Inputs!C31</f>
        <v>193.8</v>
      </c>
      <c r="D19" s="1137">
        <f>Inputs!D31</f>
        <v>193.4</v>
      </c>
      <c r="E19" s="1137">
        <f>Inputs!E31</f>
        <v>195.8</v>
      </c>
      <c r="F19" s="1137">
        <f>Inputs!F31</f>
        <v>195.8</v>
      </c>
      <c r="G19" s="1137">
        <f>Inputs!G31</f>
        <v>195.8</v>
      </c>
      <c r="H19" s="1137">
        <f>Inputs!H31</f>
        <v>195.8</v>
      </c>
      <c r="I19" s="159">
        <f t="shared" si="2"/>
        <v>1170.3999999999999</v>
      </c>
    </row>
    <row r="20" spans="1:14" x14ac:dyDescent="0.2">
      <c r="A20" s="47"/>
      <c r="B20" s="90"/>
      <c r="C20" s="1125"/>
      <c r="D20" s="1125"/>
      <c r="E20" s="1125"/>
      <c r="F20" s="1125"/>
      <c r="G20" s="1125"/>
      <c r="H20" s="1125"/>
      <c r="I20" s="159">
        <f t="shared" si="2"/>
        <v>0</v>
      </c>
    </row>
    <row r="21" spans="1:14" ht="13.2" x14ac:dyDescent="0.25">
      <c r="A21" s="1132" t="s">
        <v>317</v>
      </c>
      <c r="B21" s="1133"/>
      <c r="C21" s="1125"/>
      <c r="D21" s="1125"/>
      <c r="E21" s="1125"/>
      <c r="F21" s="1125"/>
      <c r="G21" s="1125"/>
      <c r="H21" s="1125"/>
      <c r="I21" s="159">
        <f t="shared" si="2"/>
        <v>0</v>
      </c>
    </row>
    <row r="22" spans="1:14" x14ac:dyDescent="0.2">
      <c r="A22" s="47" t="s">
        <v>318</v>
      </c>
      <c r="B22" s="90" t="s">
        <v>312</v>
      </c>
      <c r="C22" s="1129">
        <v>0</v>
      </c>
      <c r="D22" s="1129">
        <v>0</v>
      </c>
      <c r="E22" s="1129">
        <v>0</v>
      </c>
      <c r="F22" s="1129">
        <v>0</v>
      </c>
      <c r="G22" s="1129">
        <v>0</v>
      </c>
      <c r="H22" s="1129">
        <v>0</v>
      </c>
      <c r="I22" s="159">
        <f t="shared" si="2"/>
        <v>0</v>
      </c>
    </row>
    <row r="23" spans="1:14" x14ac:dyDescent="0.2">
      <c r="A23" s="47"/>
      <c r="B23" s="90"/>
      <c r="C23" s="1125"/>
      <c r="D23" s="1125"/>
      <c r="E23" s="1125"/>
      <c r="F23" s="1125"/>
      <c r="G23" s="90"/>
      <c r="H23" s="47"/>
      <c r="I23" s="159">
        <f t="shared" si="2"/>
        <v>0</v>
      </c>
    </row>
    <row r="24" spans="1:14" ht="13.2" x14ac:dyDescent="0.25">
      <c r="A24" s="132" t="s">
        <v>24</v>
      </c>
      <c r="B24" s="151"/>
      <c r="C24" s="1125"/>
      <c r="D24" s="1125"/>
      <c r="E24" s="1125"/>
      <c r="F24" s="1125"/>
      <c r="G24" s="90"/>
      <c r="H24" s="47"/>
      <c r="I24" s="159">
        <f t="shared" si="2"/>
        <v>0</v>
      </c>
    </row>
    <row r="25" spans="1:14" x14ac:dyDescent="0.2">
      <c r="A25" s="126" t="s">
        <v>89</v>
      </c>
      <c r="B25" s="90" t="s">
        <v>393</v>
      </c>
      <c r="C25" s="1125"/>
      <c r="D25" s="1125"/>
      <c r="E25" s="1125"/>
      <c r="F25" s="1125"/>
      <c r="G25" s="90"/>
      <c r="H25" s="90"/>
      <c r="I25" s="159">
        <f t="shared" si="2"/>
        <v>0</v>
      </c>
      <c r="J25" s="402">
        <v>1928217.5215083801</v>
      </c>
    </row>
    <row r="26" spans="1:14" x14ac:dyDescent="0.2">
      <c r="A26" s="126" t="s">
        <v>100</v>
      </c>
      <c r="B26" s="90" t="s">
        <v>371</v>
      </c>
      <c r="C26" s="143"/>
      <c r="D26" s="1125"/>
      <c r="E26" s="1125"/>
      <c r="F26" s="1125"/>
      <c r="G26" s="90"/>
      <c r="H26" s="90"/>
      <c r="I26" s="159">
        <f t="shared" si="2"/>
        <v>0</v>
      </c>
    </row>
    <row r="27" spans="1:14" x14ac:dyDescent="0.2">
      <c r="A27" s="126" t="s">
        <v>99</v>
      </c>
      <c r="B27" s="90" t="s">
        <v>372</v>
      </c>
      <c r="C27" s="143"/>
      <c r="D27" s="1125"/>
      <c r="E27" s="1125"/>
      <c r="F27" s="1125"/>
      <c r="G27" s="90"/>
      <c r="H27" s="90"/>
      <c r="I27" s="159">
        <f t="shared" si="2"/>
        <v>0</v>
      </c>
    </row>
    <row r="28" spans="1:14" x14ac:dyDescent="0.2">
      <c r="A28" s="47" t="s">
        <v>410</v>
      </c>
      <c r="B28" s="90" t="s">
        <v>374</v>
      </c>
      <c r="C28" s="1146">
        <f>Inputs!C66</f>
        <v>279</v>
      </c>
      <c r="D28" s="1146">
        <f>Inputs!D66</f>
        <v>277</v>
      </c>
      <c r="E28" s="1146">
        <f>Inputs!E66</f>
        <v>277</v>
      </c>
      <c r="F28" s="1146">
        <f>Inputs!F66</f>
        <v>382</v>
      </c>
      <c r="G28" s="1146">
        <f>Inputs!G66</f>
        <v>382</v>
      </c>
      <c r="H28" s="1146">
        <f>Inputs!H66</f>
        <v>382</v>
      </c>
      <c r="I28" s="159">
        <f t="shared" si="2"/>
        <v>1979</v>
      </c>
    </row>
    <row r="29" spans="1:14" ht="13.2" x14ac:dyDescent="0.25">
      <c r="A29" s="484" t="s">
        <v>816</v>
      </c>
      <c r="B29" s="1165" t="s">
        <v>791</v>
      </c>
      <c r="C29" s="2713">
        <v>0.36890000000000001</v>
      </c>
      <c r="D29" s="2713">
        <v>0.36890000000000001</v>
      </c>
      <c r="E29" s="2713">
        <v>0.36890000000000001</v>
      </c>
      <c r="F29" s="2713">
        <v>0.36890000000000001</v>
      </c>
      <c r="G29" s="2713">
        <v>0.36890000000000001</v>
      </c>
      <c r="H29" s="2713">
        <v>0.36890000000000001</v>
      </c>
      <c r="I29" s="159">
        <f t="shared" si="2"/>
        <v>2.2134</v>
      </c>
    </row>
    <row r="30" spans="1:14" s="157" customFormat="1" x14ac:dyDescent="0.2">
      <c r="A30" s="1158" t="s">
        <v>315</v>
      </c>
      <c r="B30" s="1159"/>
      <c r="C30" s="1162">
        <f>C18</f>
        <v>0</v>
      </c>
      <c r="D30" s="1162">
        <f t="shared" ref="D30:H30" si="6">D18</f>
        <v>0</v>
      </c>
      <c r="E30" s="1162">
        <f>E18</f>
        <v>0</v>
      </c>
      <c r="F30" s="1162">
        <f t="shared" si="6"/>
        <v>0</v>
      </c>
      <c r="G30" s="1162">
        <f t="shared" si="6"/>
        <v>0</v>
      </c>
      <c r="H30" s="1162">
        <f t="shared" si="6"/>
        <v>0</v>
      </c>
      <c r="I30" s="159">
        <f t="shared" si="2"/>
        <v>0</v>
      </c>
    </row>
    <row r="31" spans="1:14" s="157" customFormat="1" x14ac:dyDescent="0.2">
      <c r="A31" s="1158" t="s">
        <v>316</v>
      </c>
      <c r="B31" s="1159"/>
      <c r="C31" s="1161">
        <f>C19</f>
        <v>193.8</v>
      </c>
      <c r="D31" s="1161">
        <f t="shared" ref="D31:H31" si="7">D19</f>
        <v>193.4</v>
      </c>
      <c r="E31" s="1161">
        <f t="shared" si="7"/>
        <v>195.8</v>
      </c>
      <c r="F31" s="1161">
        <f t="shared" si="7"/>
        <v>195.8</v>
      </c>
      <c r="G31" s="1161">
        <f t="shared" si="7"/>
        <v>195.8</v>
      </c>
      <c r="H31" s="1161">
        <f t="shared" si="7"/>
        <v>195.8</v>
      </c>
      <c r="I31" s="159">
        <f t="shared" si="2"/>
        <v>1170.3999999999999</v>
      </c>
    </row>
    <row r="32" spans="1:14" ht="13.2" x14ac:dyDescent="0.25">
      <c r="A32" s="259" t="s">
        <v>397</v>
      </c>
      <c r="B32" s="1165" t="s">
        <v>398</v>
      </c>
      <c r="C32" s="1129"/>
      <c r="D32" s="1129"/>
      <c r="E32" s="1129"/>
      <c r="F32" s="1129"/>
      <c r="G32" s="1129"/>
      <c r="H32" s="1129"/>
      <c r="I32" s="159">
        <f t="shared" si="2"/>
        <v>0</v>
      </c>
      <c r="J32" s="134"/>
      <c r="K32" s="134"/>
      <c r="L32" s="134"/>
      <c r="M32" s="134"/>
      <c r="N32" s="134"/>
    </row>
    <row r="33" spans="1:14" ht="13.2" x14ac:dyDescent="0.25">
      <c r="A33" s="259" t="s">
        <v>399</v>
      </c>
      <c r="B33" s="90" t="s">
        <v>320</v>
      </c>
      <c r="C33" s="1125">
        <f>C28*C29*C34*1000000</f>
        <v>0</v>
      </c>
      <c r="D33" s="1125">
        <f t="shared" ref="D33:H33" si="8">D28*D29*D34*1000000</f>
        <v>0</v>
      </c>
      <c r="E33" s="1125">
        <f t="shared" si="8"/>
        <v>0</v>
      </c>
      <c r="F33" s="1125">
        <f t="shared" si="8"/>
        <v>0</v>
      </c>
      <c r="G33" s="1125">
        <f t="shared" si="8"/>
        <v>0</v>
      </c>
      <c r="H33" s="1125">
        <f t="shared" si="8"/>
        <v>0</v>
      </c>
      <c r="I33" s="159">
        <f t="shared" si="2"/>
        <v>0</v>
      </c>
      <c r="J33" s="161"/>
      <c r="K33" s="161"/>
      <c r="L33" s="161"/>
      <c r="M33" s="161"/>
      <c r="N33" s="161"/>
    </row>
    <row r="34" spans="1:14" s="415" customFormat="1" x14ac:dyDescent="0.2">
      <c r="A34" s="47" t="s">
        <v>642</v>
      </c>
      <c r="B34" s="514" t="s">
        <v>56</v>
      </c>
      <c r="C34" s="1172">
        <f>DispatchSchedule!F9</f>
        <v>0</v>
      </c>
      <c r="D34" s="1172">
        <f>DispatchSchedule!G9</f>
        <v>0</v>
      </c>
      <c r="E34" s="1172">
        <f>DispatchSchedule!H9</f>
        <v>0</v>
      </c>
      <c r="F34" s="1172">
        <f>DispatchSchedule!I9</f>
        <v>0</v>
      </c>
      <c r="G34" s="1172">
        <f>DispatchSchedule!J9</f>
        <v>0</v>
      </c>
      <c r="H34" s="1172">
        <f>DispatchSchedule!K9</f>
        <v>0</v>
      </c>
      <c r="I34" s="159">
        <f t="shared" si="2"/>
        <v>0</v>
      </c>
      <c r="J34" s="405"/>
      <c r="K34" s="405"/>
      <c r="L34" s="405"/>
      <c r="M34" s="456"/>
      <c r="N34" s="471"/>
    </row>
    <row r="35" spans="1:14" x14ac:dyDescent="0.2">
      <c r="A35" s="47"/>
      <c r="B35" s="90"/>
      <c r="C35" s="143"/>
      <c r="D35" s="143"/>
      <c r="E35" s="143"/>
      <c r="F35" s="143"/>
      <c r="G35" s="143"/>
      <c r="H35" s="143"/>
      <c r="I35" s="159">
        <f t="shared" si="2"/>
        <v>0</v>
      </c>
      <c r="J35" s="134"/>
      <c r="K35" s="134"/>
      <c r="L35" s="134"/>
      <c r="M35" s="2"/>
      <c r="N35" s="404"/>
    </row>
    <row r="36" spans="1:14" x14ac:dyDescent="0.2">
      <c r="A36" s="47"/>
      <c r="B36" s="90"/>
      <c r="C36" s="90"/>
      <c r="D36" s="47"/>
      <c r="E36" s="47"/>
      <c r="F36" s="47"/>
      <c r="G36" s="47"/>
      <c r="H36" s="47"/>
      <c r="I36" s="159">
        <f t="shared" si="2"/>
        <v>0</v>
      </c>
      <c r="J36" s="134"/>
      <c r="K36" s="134"/>
      <c r="L36" s="134"/>
      <c r="M36" s="2"/>
      <c r="N36" s="416"/>
    </row>
    <row r="37" spans="1:14" ht="13.2" x14ac:dyDescent="0.25">
      <c r="A37" s="132" t="s">
        <v>132</v>
      </c>
      <c r="B37" s="151"/>
      <c r="C37" s="1125"/>
      <c r="D37" s="1125"/>
      <c r="E37" s="1125"/>
      <c r="F37" s="1125"/>
      <c r="G37" s="90"/>
      <c r="H37" s="47"/>
      <c r="I37" s="159">
        <f t="shared" si="2"/>
        <v>0</v>
      </c>
      <c r="J37" s="405"/>
      <c r="K37" s="405"/>
      <c r="L37" s="405"/>
      <c r="M37" s="405"/>
      <c r="N37" s="405"/>
    </row>
    <row r="38" spans="1:14" x14ac:dyDescent="0.2">
      <c r="A38" s="47" t="s">
        <v>376</v>
      </c>
      <c r="B38" s="90" t="s">
        <v>312</v>
      </c>
      <c r="C38" s="1169">
        <v>653862</v>
      </c>
      <c r="D38" s="1169">
        <v>653862</v>
      </c>
      <c r="E38" s="1169">
        <v>653862</v>
      </c>
      <c r="F38" s="1169">
        <v>653862</v>
      </c>
      <c r="G38" s="1169">
        <v>653862</v>
      </c>
      <c r="H38" s="1169">
        <v>653862</v>
      </c>
      <c r="I38" s="159">
        <f t="shared" si="2"/>
        <v>3923172</v>
      </c>
      <c r="J38" s="134"/>
      <c r="K38" s="134"/>
      <c r="L38" s="134"/>
      <c r="M38" s="134"/>
      <c r="N38" s="134"/>
    </row>
    <row r="39" spans="1:14" x14ac:dyDescent="0.2">
      <c r="A39" s="47" t="s">
        <v>376</v>
      </c>
      <c r="B39" s="90" t="s">
        <v>377</v>
      </c>
      <c r="C39" s="1129"/>
      <c r="D39" s="1129"/>
      <c r="E39" s="1129"/>
      <c r="F39" s="1129"/>
      <c r="G39" s="1129"/>
      <c r="H39" s="1129"/>
      <c r="I39" s="159">
        <f t="shared" si="2"/>
        <v>0</v>
      </c>
      <c r="J39" s="134"/>
      <c r="K39" s="134"/>
      <c r="L39" s="134"/>
      <c r="M39" s="134"/>
      <c r="N39" s="134"/>
    </row>
    <row r="40" spans="1:14" s="157" customFormat="1" x14ac:dyDescent="0.2">
      <c r="A40" s="1158" t="s">
        <v>315</v>
      </c>
      <c r="B40" s="1159"/>
      <c r="C40" s="1168">
        <f>C18</f>
        <v>0</v>
      </c>
      <c r="D40" s="1168">
        <f t="shared" ref="D40:H41" si="9">D18</f>
        <v>0</v>
      </c>
      <c r="E40" s="1168">
        <f>E18</f>
        <v>0</v>
      </c>
      <c r="F40" s="1168">
        <f t="shared" si="9"/>
        <v>0</v>
      </c>
      <c r="G40" s="1168">
        <f t="shared" si="9"/>
        <v>0</v>
      </c>
      <c r="H40" s="1168">
        <f t="shared" si="9"/>
        <v>0</v>
      </c>
      <c r="I40" s="159">
        <f t="shared" si="2"/>
        <v>0</v>
      </c>
      <c r="J40" s="134"/>
      <c r="K40" s="134"/>
      <c r="L40" s="134"/>
      <c r="M40" s="134"/>
      <c r="N40" s="134"/>
    </row>
    <row r="41" spans="1:14" s="157" customFormat="1" x14ac:dyDescent="0.2">
      <c r="A41" s="1158" t="s">
        <v>316</v>
      </c>
      <c r="B41" s="1159"/>
      <c r="C41" s="1168">
        <f>C19</f>
        <v>193.8</v>
      </c>
      <c r="D41" s="1168">
        <f t="shared" si="9"/>
        <v>193.4</v>
      </c>
      <c r="E41" s="1168">
        <f t="shared" si="9"/>
        <v>195.8</v>
      </c>
      <c r="F41" s="1168">
        <f t="shared" si="9"/>
        <v>195.8</v>
      </c>
      <c r="G41" s="1168">
        <f t="shared" si="9"/>
        <v>195.8</v>
      </c>
      <c r="H41" s="1168">
        <f t="shared" si="9"/>
        <v>195.8</v>
      </c>
      <c r="I41" s="159">
        <f t="shared" si="2"/>
        <v>1170.3999999999999</v>
      </c>
      <c r="J41" s="134"/>
      <c r="K41" s="134"/>
      <c r="L41" s="134"/>
      <c r="M41" s="134"/>
      <c r="N41" s="134"/>
    </row>
    <row r="42" spans="1:14" x14ac:dyDescent="0.2">
      <c r="A42" s="47" t="s">
        <v>378</v>
      </c>
      <c r="B42" s="90"/>
      <c r="C42" s="1140"/>
      <c r="D42" s="1125"/>
      <c r="E42" s="1125"/>
      <c r="F42" s="1125"/>
      <c r="G42" s="90"/>
      <c r="H42" s="1154"/>
      <c r="I42" s="159">
        <f t="shared" si="2"/>
        <v>0</v>
      </c>
      <c r="J42" s="134"/>
      <c r="K42" s="134"/>
      <c r="L42" s="134"/>
      <c r="M42" s="2"/>
      <c r="N42" s="406"/>
    </row>
    <row r="43" spans="1:14" x14ac:dyDescent="0.2">
      <c r="A43" s="47" t="s">
        <v>379</v>
      </c>
      <c r="B43" s="90"/>
      <c r="C43" s="1140"/>
      <c r="D43" s="1125"/>
      <c r="E43" s="1125"/>
      <c r="F43" s="1125"/>
      <c r="G43" s="90"/>
      <c r="H43" s="1154"/>
      <c r="I43" s="159">
        <f t="shared" si="2"/>
        <v>0</v>
      </c>
      <c r="J43" s="134"/>
      <c r="K43" s="134"/>
      <c r="L43" s="134"/>
      <c r="M43" s="134"/>
      <c r="N43" s="134"/>
    </row>
    <row r="44" spans="1:14" ht="13.2" x14ac:dyDescent="0.25">
      <c r="A44" s="132" t="s">
        <v>380</v>
      </c>
      <c r="B44" s="90"/>
      <c r="C44" s="1125"/>
      <c r="D44" s="1125"/>
      <c r="E44" s="1125"/>
      <c r="F44" s="1125"/>
      <c r="G44" s="90"/>
      <c r="H44" s="1155"/>
      <c r="I44" s="159">
        <f t="shared" si="2"/>
        <v>0</v>
      </c>
      <c r="J44" s="134"/>
      <c r="K44" s="134"/>
      <c r="L44" s="134"/>
      <c r="M44" s="134"/>
      <c r="N44" s="134"/>
    </row>
    <row r="45" spans="1:14" x14ac:dyDescent="0.2">
      <c r="A45" s="484" t="s">
        <v>1088</v>
      </c>
      <c r="B45" s="318" t="s">
        <v>411</v>
      </c>
      <c r="C45" s="1169">
        <v>6604000</v>
      </c>
      <c r="D45" s="1169">
        <v>6604000</v>
      </c>
      <c r="E45" s="1169">
        <v>6604000</v>
      </c>
      <c r="F45" s="1169">
        <v>6604000</v>
      </c>
      <c r="G45" s="1169">
        <v>6604000</v>
      </c>
      <c r="H45" s="1169">
        <v>6604000</v>
      </c>
      <c r="I45" s="159">
        <f t="shared" si="2"/>
        <v>39624000</v>
      </c>
      <c r="J45" s="134"/>
      <c r="K45" s="134"/>
      <c r="L45" s="134"/>
      <c r="M45" s="134"/>
      <c r="N45" s="134"/>
    </row>
    <row r="46" spans="1:14" x14ac:dyDescent="0.2">
      <c r="A46" s="484" t="s">
        <v>1089</v>
      </c>
      <c r="B46" s="318" t="s">
        <v>411</v>
      </c>
      <c r="C46" s="1169">
        <v>4954000</v>
      </c>
      <c r="D46" s="1169">
        <v>4954000</v>
      </c>
      <c r="E46" s="1169">
        <v>4954000</v>
      </c>
      <c r="F46" s="1169">
        <v>4954000</v>
      </c>
      <c r="G46" s="1169">
        <v>4954000</v>
      </c>
      <c r="H46" s="1169">
        <v>4954000</v>
      </c>
      <c r="I46" s="159">
        <f t="shared" si="2"/>
        <v>29724000</v>
      </c>
      <c r="J46" s="134"/>
      <c r="K46" s="134"/>
      <c r="L46" s="134"/>
      <c r="M46" s="134"/>
      <c r="N46" s="134"/>
    </row>
    <row r="47" spans="1:14" ht="14.25" customHeight="1" x14ac:dyDescent="0.2">
      <c r="A47" s="484" t="s">
        <v>1090</v>
      </c>
      <c r="B47" s="318" t="s">
        <v>411</v>
      </c>
      <c r="C47" s="1169">
        <v>1652000</v>
      </c>
      <c r="D47" s="1169">
        <v>1652000</v>
      </c>
      <c r="E47" s="1169">
        <v>1652000</v>
      </c>
      <c r="F47" s="1169">
        <v>1652000</v>
      </c>
      <c r="G47" s="1169">
        <v>1652000</v>
      </c>
      <c r="H47" s="1169">
        <v>1652000</v>
      </c>
      <c r="I47" s="159">
        <f t="shared" si="2"/>
        <v>9912000</v>
      </c>
      <c r="J47" s="134"/>
      <c r="K47" s="134"/>
      <c r="L47" s="134"/>
      <c r="M47" s="134"/>
      <c r="N47" s="134"/>
    </row>
    <row r="48" spans="1:14" ht="12.75" customHeight="1" x14ac:dyDescent="0.2">
      <c r="A48" s="47"/>
      <c r="B48" s="90"/>
      <c r="C48" s="1125"/>
      <c r="D48" s="1125"/>
      <c r="E48" s="1125"/>
      <c r="F48" s="1125"/>
      <c r="G48" s="1125"/>
      <c r="H48" s="1125"/>
      <c r="I48" s="159">
        <f t="shared" si="2"/>
        <v>0</v>
      </c>
      <c r="J48" s="134"/>
      <c r="K48" s="134"/>
      <c r="L48" s="134"/>
      <c r="M48" s="134"/>
      <c r="N48" s="134"/>
    </row>
    <row r="49" spans="1:14" x14ac:dyDescent="0.2">
      <c r="A49" s="47" t="s">
        <v>407</v>
      </c>
      <c r="B49" s="90" t="s">
        <v>385</v>
      </c>
      <c r="C49" s="1129">
        <v>0</v>
      </c>
      <c r="D49" s="1129">
        <v>0</v>
      </c>
      <c r="E49" s="1129">
        <v>0</v>
      </c>
      <c r="F49" s="1129">
        <v>0</v>
      </c>
      <c r="G49" s="1129">
        <v>0</v>
      </c>
      <c r="H49" s="1129">
        <v>0</v>
      </c>
      <c r="I49" s="159">
        <f t="shared" si="2"/>
        <v>0</v>
      </c>
      <c r="J49" s="417"/>
      <c r="K49" s="417"/>
      <c r="L49" s="417"/>
      <c r="M49" s="417"/>
      <c r="N49" s="417"/>
    </row>
    <row r="50" spans="1:14" x14ac:dyDescent="0.2">
      <c r="A50" s="47"/>
      <c r="B50" s="90" t="s">
        <v>385</v>
      </c>
      <c r="C50" s="1129">
        <v>0</v>
      </c>
      <c r="D50" s="1129">
        <v>0</v>
      </c>
      <c r="E50" s="1129"/>
      <c r="F50" s="1129"/>
      <c r="G50" s="1129"/>
      <c r="H50" s="1129"/>
      <c r="I50" s="159">
        <f t="shared" si="2"/>
        <v>0</v>
      </c>
      <c r="J50" s="155"/>
      <c r="K50" s="155"/>
      <c r="L50" s="155"/>
      <c r="M50" s="155"/>
      <c r="N50" s="155"/>
    </row>
    <row r="51" spans="1:14" x14ac:dyDescent="0.2">
      <c r="A51" s="47"/>
      <c r="B51" s="90" t="s">
        <v>385</v>
      </c>
      <c r="C51" s="1129">
        <v>0</v>
      </c>
      <c r="D51" s="1129">
        <v>0</v>
      </c>
      <c r="E51" s="1129"/>
      <c r="F51" s="1129"/>
      <c r="G51" s="1129"/>
      <c r="H51" s="1129"/>
      <c r="I51" s="159">
        <f t="shared" si="2"/>
        <v>0</v>
      </c>
      <c r="J51" s="155"/>
      <c r="K51" s="155"/>
      <c r="L51" s="155"/>
      <c r="M51" s="155"/>
      <c r="N51" s="155"/>
    </row>
    <row r="52" spans="1:14" ht="13.2" x14ac:dyDescent="0.25">
      <c r="A52" s="47" t="s">
        <v>148</v>
      </c>
      <c r="B52" s="151" t="s">
        <v>320</v>
      </c>
      <c r="C52" s="2831">
        <f>C6+C16+C17+C22</f>
        <v>28182823.009999998</v>
      </c>
      <c r="D52" s="2831">
        <f t="shared" ref="D52:H52" si="10">D6+D16+D17+D22</f>
        <v>39068708.829999998</v>
      </c>
      <c r="E52" s="2831">
        <f t="shared" si="10"/>
        <v>28182823.009999998</v>
      </c>
      <c r="F52" s="2831">
        <f t="shared" si="10"/>
        <v>35662735.677976899</v>
      </c>
      <c r="G52" s="2831">
        <f>G6+G16+G17+G22</f>
        <v>35662735.677976899</v>
      </c>
      <c r="H52" s="2831">
        <f t="shared" si="10"/>
        <v>35662735.677976899</v>
      </c>
      <c r="I52" s="159">
        <f t="shared" si="2"/>
        <v>202422561.88393071</v>
      </c>
      <c r="J52" s="403"/>
      <c r="K52" s="403"/>
      <c r="L52" s="403"/>
      <c r="M52" s="403"/>
      <c r="N52" s="403"/>
    </row>
    <row r="53" spans="1:14" ht="13.2" x14ac:dyDescent="0.25">
      <c r="A53" s="47" t="s">
        <v>149</v>
      </c>
      <c r="B53" s="151" t="s">
        <v>320</v>
      </c>
      <c r="C53" s="1125">
        <f>C33+C38</f>
        <v>653862</v>
      </c>
      <c r="D53" s="1125">
        <f t="shared" ref="D53:H53" si="11">D33+D38</f>
        <v>653862</v>
      </c>
      <c r="E53" s="1125">
        <f t="shared" si="11"/>
        <v>653862</v>
      </c>
      <c r="F53" s="1125">
        <f t="shared" si="11"/>
        <v>653862</v>
      </c>
      <c r="G53" s="1125">
        <f t="shared" si="11"/>
        <v>653862</v>
      </c>
      <c r="H53" s="1125">
        <f t="shared" si="11"/>
        <v>653862</v>
      </c>
      <c r="I53" s="159">
        <f t="shared" si="2"/>
        <v>3923172</v>
      </c>
    </row>
    <row r="54" spans="1:14" ht="13.2" x14ac:dyDescent="0.25">
      <c r="A54" s="47" t="s">
        <v>387</v>
      </c>
      <c r="B54" s="151" t="s">
        <v>320</v>
      </c>
      <c r="C54" s="1125">
        <f>C45*C49+C46*C50+C47*C51</f>
        <v>0</v>
      </c>
      <c r="D54" s="1125">
        <f t="shared" ref="D54:H54" si="12">D45*D49+D46*D50+D47*D51</f>
        <v>0</v>
      </c>
      <c r="E54" s="1125">
        <f t="shared" si="12"/>
        <v>0</v>
      </c>
      <c r="F54" s="1125">
        <f t="shared" si="12"/>
        <v>0</v>
      </c>
      <c r="G54" s="1125">
        <f t="shared" si="12"/>
        <v>0</v>
      </c>
      <c r="H54" s="1125">
        <f t="shared" si="12"/>
        <v>0</v>
      </c>
      <c r="I54" s="159">
        <f t="shared" si="2"/>
        <v>0</v>
      </c>
    </row>
    <row r="55" spans="1:14" ht="13.2" x14ac:dyDescent="0.25">
      <c r="A55" s="47" t="s">
        <v>150</v>
      </c>
      <c r="B55" s="151" t="s">
        <v>39</v>
      </c>
      <c r="C55" s="1129">
        <v>115</v>
      </c>
      <c r="D55" s="1129">
        <v>115</v>
      </c>
      <c r="E55" s="1129">
        <v>115</v>
      </c>
      <c r="F55" s="1129">
        <v>115</v>
      </c>
      <c r="G55" s="1129">
        <v>115</v>
      </c>
      <c r="H55" s="1129">
        <v>115</v>
      </c>
      <c r="I55" s="159">
        <f t="shared" si="2"/>
        <v>690</v>
      </c>
    </row>
    <row r="56" spans="1:14" ht="13.2" x14ac:dyDescent="0.25">
      <c r="A56" s="47" t="s">
        <v>134</v>
      </c>
      <c r="B56" s="151" t="s">
        <v>388</v>
      </c>
      <c r="C56" s="1173">
        <f>+DispatchSchedule!F78*1000000</f>
        <v>0</v>
      </c>
      <c r="D56" s="1173">
        <f>+DispatchSchedule!G78*1000000</f>
        <v>0</v>
      </c>
      <c r="E56" s="1173">
        <f>+DispatchSchedule!H78*1000000</f>
        <v>0</v>
      </c>
      <c r="F56" s="1173">
        <f>+DispatchSchedule!I78*1000000</f>
        <v>0</v>
      </c>
      <c r="G56" s="1173">
        <f>+DispatchSchedule!J78*1000000</f>
        <v>0</v>
      </c>
      <c r="H56" s="1173">
        <f>+DispatchSchedule!K78*1000000</f>
        <v>0</v>
      </c>
      <c r="I56" s="159">
        <f t="shared" si="2"/>
        <v>0</v>
      </c>
    </row>
    <row r="57" spans="1:14" ht="13.2" x14ac:dyDescent="0.25">
      <c r="A57" s="484" t="s">
        <v>805</v>
      </c>
      <c r="B57" s="151" t="s">
        <v>214</v>
      </c>
      <c r="C57" s="143">
        <f>IF(C56=0,0,(C53/C56))</f>
        <v>0</v>
      </c>
      <c r="D57" s="143">
        <f t="shared" ref="D57:H57" si="13">IF(D56=0,0,(D53/D56))</f>
        <v>0</v>
      </c>
      <c r="E57" s="143">
        <f t="shared" si="13"/>
        <v>0</v>
      </c>
      <c r="F57" s="143">
        <f t="shared" si="13"/>
        <v>0</v>
      </c>
      <c r="G57" s="143">
        <f t="shared" si="13"/>
        <v>0</v>
      </c>
      <c r="H57" s="143">
        <f t="shared" si="13"/>
        <v>0</v>
      </c>
      <c r="I57" s="159">
        <f t="shared" si="2"/>
        <v>0</v>
      </c>
    </row>
    <row r="58" spans="1:14" ht="13.2" x14ac:dyDescent="0.25">
      <c r="A58" s="567" t="s">
        <v>804</v>
      </c>
      <c r="B58" s="508" t="s">
        <v>214</v>
      </c>
      <c r="C58" s="569">
        <f t="shared" ref="C58:H58" si="14">IF(C56=0,0,(C53+C54)/C56)</f>
        <v>0</v>
      </c>
      <c r="D58" s="569">
        <f t="shared" si="14"/>
        <v>0</v>
      </c>
      <c r="E58" s="569">
        <f t="shared" si="14"/>
        <v>0</v>
      </c>
      <c r="F58" s="569">
        <f t="shared" si="14"/>
        <v>0</v>
      </c>
      <c r="G58" s="569">
        <f t="shared" si="14"/>
        <v>0</v>
      </c>
      <c r="H58" s="569">
        <f t="shared" si="14"/>
        <v>0</v>
      </c>
      <c r="I58" s="159">
        <f t="shared" si="2"/>
        <v>0</v>
      </c>
    </row>
    <row r="59" spans="1:14" ht="13.2" x14ac:dyDescent="0.25">
      <c r="A59" s="140" t="s">
        <v>806</v>
      </c>
      <c r="B59" s="151" t="s">
        <v>214</v>
      </c>
      <c r="C59" s="143">
        <f t="shared" ref="C59:H59" si="15">IF(C56=0,0,C52/C56)</f>
        <v>0</v>
      </c>
      <c r="D59" s="143">
        <f t="shared" si="15"/>
        <v>0</v>
      </c>
      <c r="E59" s="143">
        <f t="shared" si="15"/>
        <v>0</v>
      </c>
      <c r="F59" s="143">
        <f t="shared" si="15"/>
        <v>0</v>
      </c>
      <c r="G59" s="143">
        <f t="shared" si="15"/>
        <v>0</v>
      </c>
      <c r="H59" s="143">
        <f t="shared" si="15"/>
        <v>0</v>
      </c>
      <c r="I59" s="159">
        <f t="shared" si="2"/>
        <v>0</v>
      </c>
    </row>
    <row r="60" spans="1:14" ht="13.2" x14ac:dyDescent="0.25">
      <c r="A60" s="140" t="s">
        <v>390</v>
      </c>
      <c r="B60" s="151" t="s">
        <v>322</v>
      </c>
      <c r="C60" s="145">
        <f t="shared" ref="C60:H60" si="16">C52/C55/1000</f>
        <v>245.06802617391304</v>
      </c>
      <c r="D60" s="145">
        <f t="shared" si="16"/>
        <v>339.72790286956518</v>
      </c>
      <c r="E60" s="145">
        <f t="shared" si="16"/>
        <v>245.06802617391304</v>
      </c>
      <c r="F60" s="145">
        <f t="shared" si="16"/>
        <v>310.11074502588605</v>
      </c>
      <c r="G60" s="145">
        <f t="shared" si="16"/>
        <v>310.11074502588605</v>
      </c>
      <c r="H60" s="145">
        <f t="shared" si="16"/>
        <v>310.11074502588605</v>
      </c>
      <c r="I60" s="159">
        <f t="shared" si="2"/>
        <v>1760.1961902950493</v>
      </c>
      <c r="J60" s="2682">
        <f>+C62*1000000</f>
        <v>28836685.009999998</v>
      </c>
    </row>
    <row r="61" spans="1:14" ht="13.2" x14ac:dyDescent="0.25">
      <c r="B61" s="82"/>
      <c r="H61" s="30"/>
      <c r="I61" s="159">
        <f t="shared" si="2"/>
        <v>0</v>
      </c>
      <c r="J61" s="414">
        <f>+J60+C16</f>
        <v>30711080.009999998</v>
      </c>
    </row>
    <row r="62" spans="1:14" ht="13.2" x14ac:dyDescent="0.25">
      <c r="A62" s="507" t="s">
        <v>148</v>
      </c>
      <c r="B62" s="508" t="s">
        <v>460</v>
      </c>
      <c r="C62" s="1231">
        <f>IF(C56=0,(C52+C53)/1000000,C52/1000000)</f>
        <v>28.836685009999997</v>
      </c>
      <c r="D62" s="1231">
        <f t="shared" ref="D62:H62" si="17">IF(D56=0,(D52+D53)/1000000,D52/1000000)</f>
        <v>39.722570829999995</v>
      </c>
      <c r="E62" s="1231">
        <f t="shared" si="17"/>
        <v>28.836685009999997</v>
      </c>
      <c r="F62" s="1231">
        <f t="shared" si="17"/>
        <v>36.316597677976901</v>
      </c>
      <c r="G62" s="1231">
        <f t="shared" si="17"/>
        <v>36.316597677976901</v>
      </c>
      <c r="H62" s="1231">
        <f t="shared" si="17"/>
        <v>36.316597677976901</v>
      </c>
      <c r="I62" s="159">
        <f t="shared" si="2"/>
        <v>206.34573388393073</v>
      </c>
    </row>
    <row r="63" spans="1:14" ht="13.2" x14ac:dyDescent="0.25">
      <c r="A63" s="47" t="s">
        <v>149</v>
      </c>
      <c r="B63" s="151" t="s">
        <v>460</v>
      </c>
      <c r="C63" s="1232">
        <f>IF(C56=0,0,(C53+C54)/1000000)</f>
        <v>0</v>
      </c>
      <c r="D63" s="1232">
        <f t="shared" ref="D63:H63" si="18">IF(D56=0,0,(D53+D54)/1000000)</f>
        <v>0</v>
      </c>
      <c r="E63" s="1232">
        <f t="shared" si="18"/>
        <v>0</v>
      </c>
      <c r="F63" s="1232">
        <f t="shared" si="18"/>
        <v>0</v>
      </c>
      <c r="G63" s="1232">
        <f t="shared" si="18"/>
        <v>0</v>
      </c>
      <c r="H63" s="1232">
        <f t="shared" si="18"/>
        <v>0</v>
      </c>
      <c r="I63" s="159">
        <f t="shared" si="2"/>
        <v>0</v>
      </c>
    </row>
    <row r="64" spans="1:14" ht="13.2" x14ac:dyDescent="0.25">
      <c r="A64" s="47" t="s">
        <v>134</v>
      </c>
      <c r="B64" s="151" t="s">
        <v>56</v>
      </c>
      <c r="C64" s="1233">
        <f t="shared" ref="C64:H64" si="19">+C56/1000000</f>
        <v>0</v>
      </c>
      <c r="D64" s="1233">
        <f t="shared" si="19"/>
        <v>0</v>
      </c>
      <c r="E64" s="1233">
        <f t="shared" si="19"/>
        <v>0</v>
      </c>
      <c r="F64" s="1233">
        <f t="shared" si="19"/>
        <v>0</v>
      </c>
      <c r="G64" s="1234">
        <f t="shared" si="19"/>
        <v>0</v>
      </c>
      <c r="H64" s="1234">
        <f t="shared" si="19"/>
        <v>0</v>
      </c>
      <c r="I64" s="159">
        <f t="shared" si="2"/>
        <v>0</v>
      </c>
    </row>
    <row r="66" spans="1:8" x14ac:dyDescent="0.2">
      <c r="A66" s="183"/>
    </row>
    <row r="67" spans="1:8" x14ac:dyDescent="0.2">
      <c r="C67" s="155"/>
      <c r="D67" s="403"/>
      <c r="E67" s="403"/>
      <c r="F67" s="403"/>
      <c r="G67" s="869"/>
      <c r="H67" s="869"/>
    </row>
    <row r="68" spans="1:8" ht="13.8" x14ac:dyDescent="0.25">
      <c r="A68" s="1083"/>
      <c r="B68" s="456"/>
      <c r="C68" s="587"/>
      <c r="D68" s="587"/>
      <c r="E68" s="587"/>
      <c r="F68" s="587"/>
      <c r="G68" s="587"/>
      <c r="H68" s="587"/>
    </row>
    <row r="69" spans="1:8" ht="36" customHeight="1" x14ac:dyDescent="0.2">
      <c r="A69" s="1156"/>
      <c r="B69" s="1156"/>
      <c r="C69" s="1156"/>
      <c r="D69" s="1156"/>
      <c r="E69" s="1156"/>
      <c r="F69" s="1156"/>
      <c r="G69" s="1156"/>
      <c r="H69" s="1156"/>
    </row>
    <row r="70" spans="1:8" ht="13.8" x14ac:dyDescent="0.2">
      <c r="A70" s="1156"/>
      <c r="B70" s="1156"/>
      <c r="C70" s="1210"/>
      <c r="D70" s="1210"/>
      <c r="E70" s="1210"/>
      <c r="F70" s="1210"/>
      <c r="G70" s="1210"/>
      <c r="H70" s="1210"/>
    </row>
    <row r="71" spans="1:8" x14ac:dyDescent="0.2">
      <c r="D71" s="563"/>
    </row>
    <row r="72" spans="1:8" x14ac:dyDescent="0.2">
      <c r="C72" s="159"/>
      <c r="D72" s="563"/>
      <c r="E72" s="159"/>
      <c r="F72" s="159"/>
      <c r="G72" s="159"/>
      <c r="H72" s="159"/>
    </row>
    <row r="73" spans="1:8" x14ac:dyDescent="0.2">
      <c r="C73" s="562"/>
      <c r="D73" s="562"/>
      <c r="E73" s="562"/>
      <c r="F73" s="562"/>
      <c r="G73" s="562"/>
      <c r="H73" s="562"/>
    </row>
    <row r="74" spans="1:8" x14ac:dyDescent="0.2">
      <c r="C74" s="562"/>
      <c r="D74" s="562"/>
      <c r="E74" s="562"/>
      <c r="F74" s="562"/>
      <c r="G74" s="562"/>
      <c r="H74" s="562"/>
    </row>
    <row r="75" spans="1:8" x14ac:dyDescent="0.2">
      <c r="C75" s="562"/>
      <c r="D75" s="562"/>
      <c r="E75" s="562"/>
      <c r="F75" s="562"/>
      <c r="G75" s="562"/>
      <c r="H75" s="562"/>
    </row>
    <row r="76" spans="1:8" x14ac:dyDescent="0.2">
      <c r="B76" s="456"/>
      <c r="C76" s="562"/>
      <c r="D76" s="562"/>
      <c r="E76" s="562"/>
      <c r="F76" s="562"/>
      <c r="G76" s="562"/>
      <c r="H76" s="562"/>
    </row>
    <row r="77" spans="1:8" x14ac:dyDescent="0.2">
      <c r="B77" s="456"/>
      <c r="C77" s="562"/>
      <c r="D77" s="562"/>
      <c r="E77" s="562"/>
      <c r="F77" s="562"/>
      <c r="G77" s="562"/>
      <c r="H77" s="562"/>
    </row>
    <row r="78" spans="1:8" x14ac:dyDescent="0.2">
      <c r="C78" s="562"/>
      <c r="D78" s="562"/>
      <c r="E78" s="562"/>
      <c r="F78" s="562"/>
      <c r="G78" s="562"/>
      <c r="H78" s="562"/>
    </row>
    <row r="79" spans="1:8" x14ac:dyDescent="0.2">
      <c r="C79" s="562"/>
      <c r="D79" s="562"/>
      <c r="E79" s="562"/>
      <c r="F79" s="562"/>
      <c r="G79" s="562"/>
      <c r="H79" s="562"/>
    </row>
    <row r="80" spans="1:8" x14ac:dyDescent="0.2">
      <c r="C80" s="562"/>
      <c r="D80" s="562"/>
      <c r="E80" s="562"/>
      <c r="F80" s="562"/>
      <c r="G80" s="562"/>
      <c r="H80" s="562"/>
    </row>
    <row r="81" spans="1:8" x14ac:dyDescent="0.2">
      <c r="C81" s="562"/>
      <c r="D81" s="562"/>
      <c r="E81" s="562"/>
      <c r="F81" s="562"/>
      <c r="G81" s="562"/>
      <c r="H81" s="562"/>
    </row>
    <row r="82" spans="1:8" x14ac:dyDescent="0.2">
      <c r="A82" s="638"/>
      <c r="C82" s="562"/>
      <c r="D82" s="562"/>
      <c r="E82" s="562"/>
      <c r="F82" s="562"/>
      <c r="G82" s="562"/>
      <c r="H82" s="562"/>
    </row>
    <row r="83" spans="1:8" x14ac:dyDescent="0.2">
      <c r="C83" s="562"/>
      <c r="D83" s="562"/>
      <c r="E83" s="562"/>
      <c r="F83" s="562"/>
      <c r="G83" s="562"/>
      <c r="H83" s="562"/>
    </row>
  </sheetData>
  <phoneticPr fontId="54" type="noConversion"/>
  <dataValidations count="2">
    <dataValidation type="list" allowBlank="1" showInputMessage="1" showErrorMessage="1" sqref="B48" xr:uid="{00000000-0002-0000-1000-000000000000}">
      <formula1>Currency</formula1>
    </dataValidation>
    <dataValidation type="list" allowBlank="1" showInputMessage="1" showErrorMessage="1" sqref="C25" xr:uid="{00000000-0002-0000-1000-000001000000}">
      <formula1>Combustible</formula1>
    </dataValidation>
  </dataValidations>
  <pageMargins left="0.69" right="0" top="0.22" bottom="0" header="0.19684820647419074" footer="0.11810804899387577"/>
  <pageSetup paperSize="9" scale="6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tabColor rgb="FFFFC000"/>
    <pageSetUpPr fitToPage="1"/>
  </sheetPr>
  <dimension ref="A1:Q119"/>
  <sheetViews>
    <sheetView showGridLines="0" view="pageBreakPreview" zoomScale="85" zoomScaleNormal="85" zoomScaleSheetLayoutView="85" zoomScalePage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94" sqref="H94"/>
    </sheetView>
  </sheetViews>
  <sheetFormatPr defaultColWidth="9" defaultRowHeight="12.6" x14ac:dyDescent="0.2"/>
  <cols>
    <col min="1" max="1" width="37.7265625" customWidth="1"/>
    <col min="2" max="2" width="9.7265625" style="2" customWidth="1"/>
    <col min="3" max="3" width="18.453125" style="2" hidden="1" customWidth="1"/>
    <col min="4" max="5" width="18.453125" hidden="1" customWidth="1"/>
    <col min="6" max="8" width="18.453125" bestFit="1" customWidth="1"/>
    <col min="9" max="9" width="22.6328125" bestFit="1" customWidth="1"/>
    <col min="10" max="10" width="17.36328125" bestFit="1" customWidth="1"/>
    <col min="11" max="11" width="12.36328125" bestFit="1" customWidth="1"/>
  </cols>
  <sheetData>
    <row r="1" spans="1:10" ht="17.399999999999999" x14ac:dyDescent="0.3">
      <c r="A1" s="53" t="s">
        <v>412</v>
      </c>
      <c r="B1" s="131">
        <v>812</v>
      </c>
      <c r="C1" s="156"/>
      <c r="D1" s="415"/>
    </row>
    <row r="2" spans="1:10" ht="18" thickBot="1" x14ac:dyDescent="0.35">
      <c r="A2" s="53"/>
      <c r="B2" s="131"/>
      <c r="C2" s="298"/>
      <c r="D2" s="298"/>
      <c r="E2" s="298"/>
      <c r="F2" s="298"/>
      <c r="G2" s="298"/>
      <c r="H2" s="298"/>
      <c r="I2" s="561"/>
    </row>
    <row r="3" spans="1:10" x14ac:dyDescent="0.2">
      <c r="A3" s="376" t="s">
        <v>27</v>
      </c>
      <c r="B3" s="38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</row>
    <row r="4" spans="1:10" ht="13.2" x14ac:dyDescent="0.25">
      <c r="A4" s="377" t="s">
        <v>122</v>
      </c>
      <c r="B4" s="151"/>
      <c r="C4" s="466"/>
      <c r="D4" s="466"/>
      <c r="E4" s="466"/>
      <c r="F4" s="466"/>
      <c r="G4" s="467"/>
      <c r="H4" s="2006"/>
    </row>
    <row r="5" spans="1:10" ht="13.2" x14ac:dyDescent="0.25">
      <c r="A5" s="2046" t="s">
        <v>310</v>
      </c>
      <c r="B5" s="1133"/>
      <c r="C5" s="1125"/>
      <c r="D5" s="1125"/>
      <c r="E5" s="1125"/>
      <c r="F5" s="1125"/>
      <c r="G5" s="90"/>
      <c r="H5" s="48"/>
      <c r="J5" s="2"/>
    </row>
    <row r="6" spans="1:10" x14ac:dyDescent="0.2">
      <c r="A6" s="2037" t="s">
        <v>311</v>
      </c>
      <c r="B6" s="90" t="s">
        <v>312</v>
      </c>
      <c r="C6" s="1126">
        <f>SUM(C7:C15)</f>
        <v>42758858.399999999</v>
      </c>
      <c r="D6" s="1126">
        <f t="shared" ref="D6:G6" si="0">SUM(D7:D15)</f>
        <v>58377738.060000002</v>
      </c>
      <c r="E6" s="1126">
        <f t="shared" si="0"/>
        <v>42758858.399999999</v>
      </c>
      <c r="F6" s="1126">
        <f t="shared" si="0"/>
        <v>48745788.19166667</v>
      </c>
      <c r="G6" s="1126">
        <f t="shared" si="0"/>
        <v>48745788.19166667</v>
      </c>
      <c r="H6" s="2047">
        <f>SUM(H7:H15)</f>
        <v>48745788.19166667</v>
      </c>
      <c r="I6" s="281">
        <f>SUM(C6:H6)</f>
        <v>290132819.435</v>
      </c>
      <c r="J6" s="562"/>
    </row>
    <row r="7" spans="1:10" x14ac:dyDescent="0.2">
      <c r="A7" s="2048" t="s">
        <v>753</v>
      </c>
      <c r="B7" s="90"/>
      <c r="C7" s="1129">
        <f>15163966</f>
        <v>15163966</v>
      </c>
      <c r="D7" s="1129">
        <f t="shared" ref="D7:E7" si="1">15163966</f>
        <v>15163966</v>
      </c>
      <c r="E7" s="1129">
        <f t="shared" si="1"/>
        <v>15163966</v>
      </c>
      <c r="F7" s="1129">
        <f>15163966+5986929.79166667</f>
        <v>21150895.791666672</v>
      </c>
      <c r="G7" s="1129">
        <f t="shared" ref="G7:H7" si="2">15163966+5986929.79166667</f>
        <v>21150895.791666672</v>
      </c>
      <c r="H7" s="1129">
        <f t="shared" si="2"/>
        <v>21150895.791666672</v>
      </c>
      <c r="I7" s="281">
        <f>SUM(C7:H7)</f>
        <v>108944585.37500001</v>
      </c>
      <c r="J7" s="562"/>
    </row>
    <row r="8" spans="1:10" x14ac:dyDescent="0.2">
      <c r="A8" s="2048" t="s">
        <v>758</v>
      </c>
      <c r="B8" s="90"/>
      <c r="C8" s="1129">
        <v>1333333</v>
      </c>
      <c r="D8" s="1129">
        <v>1333333</v>
      </c>
      <c r="E8" s="1129">
        <v>1333333</v>
      </c>
      <c r="F8" s="1129">
        <v>1333333</v>
      </c>
      <c r="G8" s="1129">
        <v>1333333</v>
      </c>
      <c r="H8" s="1129">
        <v>1333333</v>
      </c>
      <c r="I8" s="281">
        <f t="shared" ref="I8:I71" si="3">SUM(C8:H8)</f>
        <v>7999998</v>
      </c>
      <c r="J8" s="562"/>
    </row>
    <row r="9" spans="1:10" x14ac:dyDescent="0.2">
      <c r="A9" s="2048" t="s">
        <v>754</v>
      </c>
      <c r="B9" s="90"/>
      <c r="C9" s="1129">
        <v>2150744</v>
      </c>
      <c r="D9" s="1129">
        <v>2150744</v>
      </c>
      <c r="E9" s="1129">
        <v>2150744</v>
      </c>
      <c r="F9" s="1129">
        <v>2150744</v>
      </c>
      <c r="G9" s="1129">
        <v>2150744</v>
      </c>
      <c r="H9" s="1129">
        <v>2150744</v>
      </c>
      <c r="I9" s="281">
        <f t="shared" si="3"/>
        <v>12904464</v>
      </c>
      <c r="J9" s="562"/>
    </row>
    <row r="10" spans="1:10" x14ac:dyDescent="0.2">
      <c r="A10" s="2048" t="s">
        <v>755</v>
      </c>
      <c r="B10" s="90"/>
      <c r="C10" s="1129">
        <v>1346072</v>
      </c>
      <c r="D10" s="1129">
        <v>1346072</v>
      </c>
      <c r="E10" s="1129">
        <v>1346072</v>
      </c>
      <c r="F10" s="1129">
        <v>1346072</v>
      </c>
      <c r="G10" s="1129">
        <v>1346072</v>
      </c>
      <c r="H10" s="1129">
        <v>1346072</v>
      </c>
      <c r="I10" s="281">
        <f t="shared" si="3"/>
        <v>8076432</v>
      </c>
      <c r="J10" s="562"/>
    </row>
    <row r="11" spans="1:10" x14ac:dyDescent="0.2">
      <c r="A11" s="2048" t="s">
        <v>752</v>
      </c>
      <c r="B11" s="90"/>
      <c r="C11" s="1129">
        <f>14167322*0.2</f>
        <v>2833464.4000000004</v>
      </c>
      <c r="D11" s="1129">
        <f t="shared" ref="D11:H11" si="4">14167322*0.2</f>
        <v>2833464.4000000004</v>
      </c>
      <c r="E11" s="1129">
        <f t="shared" si="4"/>
        <v>2833464.4000000004</v>
      </c>
      <c r="F11" s="1129">
        <f t="shared" si="4"/>
        <v>2833464.4000000004</v>
      </c>
      <c r="G11" s="1129">
        <f t="shared" si="4"/>
        <v>2833464.4000000004</v>
      </c>
      <c r="H11" s="1129">
        <f t="shared" si="4"/>
        <v>2833464.4000000004</v>
      </c>
      <c r="I11" s="281">
        <f t="shared" si="3"/>
        <v>17000786.400000002</v>
      </c>
      <c r="J11" s="562"/>
    </row>
    <row r="12" spans="1:10" x14ac:dyDescent="0.2">
      <c r="A12" s="2048" t="s">
        <v>757</v>
      </c>
      <c r="B12" s="90"/>
      <c r="C12" s="1129">
        <v>7721999</v>
      </c>
      <c r="D12" s="1129">
        <f>7721999+15618879.66</f>
        <v>23340878.66</v>
      </c>
      <c r="E12" s="1129">
        <v>7721999</v>
      </c>
      <c r="F12" s="1129">
        <v>7721999</v>
      </c>
      <c r="G12" s="1129">
        <v>7721999</v>
      </c>
      <c r="H12" s="1129">
        <v>7721999</v>
      </c>
      <c r="I12" s="281">
        <f t="shared" si="3"/>
        <v>61950873.659999996</v>
      </c>
      <c r="J12" s="562"/>
    </row>
    <row r="13" spans="1:10" x14ac:dyDescent="0.2">
      <c r="A13" s="2048" t="s">
        <v>756</v>
      </c>
      <c r="B13" s="90"/>
      <c r="C13" s="1129">
        <v>0</v>
      </c>
      <c r="D13" s="1129">
        <v>0</v>
      </c>
      <c r="E13" s="1129">
        <v>0</v>
      </c>
      <c r="F13" s="1129">
        <v>0</v>
      </c>
      <c r="G13" s="1129">
        <v>0</v>
      </c>
      <c r="H13" s="1129">
        <v>0</v>
      </c>
      <c r="I13" s="281">
        <f t="shared" si="3"/>
        <v>0</v>
      </c>
      <c r="J13" s="562"/>
    </row>
    <row r="14" spans="1:10" x14ac:dyDescent="0.2">
      <c r="A14" s="2048" t="s">
        <v>814</v>
      </c>
      <c r="B14" s="90"/>
      <c r="C14" s="1129">
        <v>12209280</v>
      </c>
      <c r="D14" s="1129">
        <v>12209280</v>
      </c>
      <c r="E14" s="1129">
        <v>12209280</v>
      </c>
      <c r="F14" s="1129">
        <v>12209280</v>
      </c>
      <c r="G14" s="1129">
        <v>12209280</v>
      </c>
      <c r="H14" s="1129">
        <v>12209280</v>
      </c>
      <c r="I14" s="281">
        <f t="shared" si="3"/>
        <v>73255680</v>
      </c>
      <c r="J14" s="562"/>
    </row>
    <row r="15" spans="1:10" x14ac:dyDescent="0.2">
      <c r="A15" s="2048" t="s">
        <v>815</v>
      </c>
      <c r="B15" s="90"/>
      <c r="C15" s="1129">
        <v>0</v>
      </c>
      <c r="D15" s="1129">
        <v>0</v>
      </c>
      <c r="E15" s="1129">
        <v>0</v>
      </c>
      <c r="F15" s="1129">
        <v>0</v>
      </c>
      <c r="G15" s="1129">
        <v>0</v>
      </c>
      <c r="H15" s="1129">
        <v>0</v>
      </c>
      <c r="I15" s="281">
        <f t="shared" si="3"/>
        <v>0</v>
      </c>
      <c r="J15" s="562"/>
    </row>
    <row r="16" spans="1:10" ht="13.5" customHeight="1" x14ac:dyDescent="0.2">
      <c r="A16" s="2037" t="s">
        <v>313</v>
      </c>
      <c r="B16" s="90" t="s">
        <v>312</v>
      </c>
      <c r="C16" s="1169">
        <v>2689350</v>
      </c>
      <c r="D16" s="1169">
        <v>2689350</v>
      </c>
      <c r="E16" s="1169">
        <v>2689350</v>
      </c>
      <c r="F16" s="1169">
        <f>6207022.74+760450.940382181</f>
        <v>6967473.680382181</v>
      </c>
      <c r="G16" s="1169">
        <f t="shared" ref="G16:H16" si="5">6207022.74+760450.940382181</f>
        <v>6967473.680382181</v>
      </c>
      <c r="H16" s="1169">
        <f t="shared" si="5"/>
        <v>6967473.680382181</v>
      </c>
      <c r="I16" s="281">
        <f t="shared" si="3"/>
        <v>28970471.041146543</v>
      </c>
      <c r="J16" s="562"/>
    </row>
    <row r="17" spans="1:12" x14ac:dyDescent="0.2">
      <c r="A17" s="2037" t="s">
        <v>314</v>
      </c>
      <c r="B17" s="90" t="s">
        <v>312</v>
      </c>
      <c r="C17" s="1127">
        <v>4638282.38</v>
      </c>
      <c r="D17" s="1127">
        <v>4638282.38</v>
      </c>
      <c r="E17" s="1127">
        <v>4638282.38</v>
      </c>
      <c r="F17" s="1127">
        <f>4638282.38+822832.197896791</f>
        <v>5461114.5778967906</v>
      </c>
      <c r="G17" s="1127">
        <f t="shared" ref="G17:H17" si="6">4638282.38+822832.197896791</f>
        <v>5461114.5778967906</v>
      </c>
      <c r="H17" s="1127">
        <f t="shared" si="6"/>
        <v>5461114.5778967906</v>
      </c>
      <c r="I17" s="281">
        <f t="shared" si="3"/>
        <v>30298190.873690367</v>
      </c>
      <c r="J17" s="562"/>
    </row>
    <row r="18" spans="1:12" s="157" customFormat="1" x14ac:dyDescent="0.2">
      <c r="A18" s="2122" t="s">
        <v>315</v>
      </c>
      <c r="B18" s="1159"/>
      <c r="C18" s="1139"/>
      <c r="D18" s="1139"/>
      <c r="E18" s="1139"/>
      <c r="F18" s="1139"/>
      <c r="G18" s="1139"/>
      <c r="H18" s="2070"/>
      <c r="I18" s="281">
        <f t="shared" si="3"/>
        <v>0</v>
      </c>
    </row>
    <row r="19" spans="1:12" s="157" customFormat="1" x14ac:dyDescent="0.2">
      <c r="A19" s="2122" t="s">
        <v>316</v>
      </c>
      <c r="B19" s="1159"/>
      <c r="C19" s="1137"/>
      <c r="D19" s="1137"/>
      <c r="E19" s="1137"/>
      <c r="F19" s="1137"/>
      <c r="G19" s="1137"/>
      <c r="H19" s="2071"/>
      <c r="I19" s="281">
        <f t="shared" si="3"/>
        <v>0</v>
      </c>
    </row>
    <row r="20" spans="1:12" x14ac:dyDescent="0.2">
      <c r="A20" s="2037"/>
      <c r="B20" s="90"/>
      <c r="C20" s="1125"/>
      <c r="D20" s="1125"/>
      <c r="E20" s="1125"/>
      <c r="F20" s="1125"/>
      <c r="G20" s="1125"/>
      <c r="H20" s="2123"/>
      <c r="I20" s="281">
        <f t="shared" si="3"/>
        <v>0</v>
      </c>
    </row>
    <row r="21" spans="1:12" ht="13.2" x14ac:dyDescent="0.25">
      <c r="A21" s="2046" t="s">
        <v>317</v>
      </c>
      <c r="B21" s="1133"/>
      <c r="C21" s="1125"/>
      <c r="D21" s="1125"/>
      <c r="E21" s="1125"/>
      <c r="F21" s="1125"/>
      <c r="G21" s="1125"/>
      <c r="H21" s="2123"/>
      <c r="I21" s="281">
        <f t="shared" si="3"/>
        <v>0</v>
      </c>
    </row>
    <row r="22" spans="1:12" x14ac:dyDescent="0.2">
      <c r="A22" s="2037" t="s">
        <v>318</v>
      </c>
      <c r="B22" s="90" t="s">
        <v>312</v>
      </c>
      <c r="C22" s="1129">
        <v>0</v>
      </c>
      <c r="D22" s="1129">
        <v>0</v>
      </c>
      <c r="E22" s="1129">
        <v>0</v>
      </c>
      <c r="F22" s="1129">
        <v>0</v>
      </c>
      <c r="G22" s="1129">
        <v>0</v>
      </c>
      <c r="H22" s="1129">
        <v>0</v>
      </c>
      <c r="I22" s="281">
        <f t="shared" si="3"/>
        <v>0</v>
      </c>
      <c r="J22" s="2"/>
    </row>
    <row r="23" spans="1:12" x14ac:dyDescent="0.2">
      <c r="A23" s="2037"/>
      <c r="B23" s="90"/>
      <c r="C23" s="1125"/>
      <c r="D23" s="1125"/>
      <c r="E23" s="1125"/>
      <c r="F23" s="1125"/>
      <c r="G23" s="90"/>
      <c r="H23" s="48"/>
      <c r="I23" s="281">
        <f t="shared" si="3"/>
        <v>0</v>
      </c>
    </row>
    <row r="24" spans="1:12" ht="13.2" x14ac:dyDescent="0.25">
      <c r="A24" s="147" t="s">
        <v>24</v>
      </c>
      <c r="B24" s="151"/>
      <c r="C24" s="1125"/>
      <c r="D24" s="1125"/>
      <c r="E24" s="1125"/>
      <c r="F24" s="1125"/>
      <c r="G24" s="90"/>
      <c r="H24" s="48"/>
      <c r="I24" s="281">
        <f t="shared" si="3"/>
        <v>0</v>
      </c>
      <c r="J24" s="415"/>
      <c r="K24" s="415"/>
      <c r="L24" s="415"/>
    </row>
    <row r="25" spans="1:12" x14ac:dyDescent="0.2">
      <c r="A25" s="2055" t="s">
        <v>89</v>
      </c>
      <c r="B25" s="518" t="s">
        <v>413</v>
      </c>
      <c r="C25" s="1125"/>
      <c r="D25" s="1125"/>
      <c r="E25" s="1125"/>
      <c r="F25" s="1125"/>
      <c r="G25" s="90"/>
      <c r="H25" s="2053"/>
      <c r="I25" s="281">
        <f t="shared" si="3"/>
        <v>0</v>
      </c>
    </row>
    <row r="26" spans="1:12" x14ac:dyDescent="0.2">
      <c r="A26" s="2055" t="s">
        <v>100</v>
      </c>
      <c r="B26" s="90" t="s">
        <v>371</v>
      </c>
      <c r="C26" s="143"/>
      <c r="D26" s="1125"/>
      <c r="E26" s="1125"/>
      <c r="F26" s="1125"/>
      <c r="G26" s="90"/>
      <c r="H26" s="2053"/>
      <c r="I26" s="281">
        <f t="shared" si="3"/>
        <v>0</v>
      </c>
    </row>
    <row r="27" spans="1:12" x14ac:dyDescent="0.2">
      <c r="A27" s="2055" t="s">
        <v>99</v>
      </c>
      <c r="B27" s="90" t="s">
        <v>372</v>
      </c>
      <c r="C27" s="143"/>
      <c r="D27" s="1125"/>
      <c r="E27" s="1125"/>
      <c r="F27" s="1125"/>
      <c r="G27" s="90"/>
      <c r="H27" s="2053"/>
      <c r="I27" s="281">
        <f t="shared" si="3"/>
        <v>0</v>
      </c>
    </row>
    <row r="28" spans="1:12" x14ac:dyDescent="0.2">
      <c r="A28" s="2037" t="s">
        <v>414</v>
      </c>
      <c r="B28" s="90" t="s">
        <v>374</v>
      </c>
      <c r="C28" s="1146">
        <f>Inputs!C77</f>
        <v>141</v>
      </c>
      <c r="D28" s="1146">
        <f>Inputs!D77</f>
        <v>141</v>
      </c>
      <c r="E28" s="1146">
        <f>Inputs!E77</f>
        <v>141</v>
      </c>
      <c r="F28" s="1146">
        <f>Inputs!F77</f>
        <v>141</v>
      </c>
      <c r="G28" s="1146">
        <f>Inputs!G77</f>
        <v>141</v>
      </c>
      <c r="H28" s="2056">
        <f>Inputs!H77</f>
        <v>141</v>
      </c>
      <c r="I28" s="281">
        <f t="shared" si="3"/>
        <v>846</v>
      </c>
    </row>
    <row r="29" spans="1:12" ht="13.2" x14ac:dyDescent="0.25">
      <c r="A29" s="465" t="s">
        <v>816</v>
      </c>
      <c r="B29" s="1165" t="s">
        <v>791</v>
      </c>
      <c r="C29" s="2714">
        <v>0.26640000000000003</v>
      </c>
      <c r="D29" s="2714">
        <v>0.26640000000000003</v>
      </c>
      <c r="E29" s="2714">
        <v>0.26640000000000003</v>
      </c>
      <c r="F29" s="2714">
        <v>0.26640000000000003</v>
      </c>
      <c r="G29" s="2714">
        <v>0.26640000000000003</v>
      </c>
      <c r="H29" s="2714">
        <v>0.26640000000000003</v>
      </c>
      <c r="I29" s="281">
        <f t="shared" si="3"/>
        <v>1.5984</v>
      </c>
    </row>
    <row r="30" spans="1:12" s="157" customFormat="1" x14ac:dyDescent="0.2">
      <c r="A30" s="2122" t="s">
        <v>315</v>
      </c>
      <c r="B30" s="1159"/>
      <c r="C30" s="1162">
        <f>C18</f>
        <v>0</v>
      </c>
      <c r="D30" s="1162">
        <f t="shared" ref="D30:H30" si="7">D18</f>
        <v>0</v>
      </c>
      <c r="E30" s="1162">
        <f t="shared" si="7"/>
        <v>0</v>
      </c>
      <c r="F30" s="1162">
        <f t="shared" si="7"/>
        <v>0</v>
      </c>
      <c r="G30" s="1162">
        <f t="shared" si="7"/>
        <v>0</v>
      </c>
      <c r="H30" s="2124">
        <f t="shared" si="7"/>
        <v>0</v>
      </c>
      <c r="I30" s="281">
        <f t="shared" si="3"/>
        <v>0</v>
      </c>
    </row>
    <row r="31" spans="1:12" s="157" customFormat="1" x14ac:dyDescent="0.2">
      <c r="A31" s="2122" t="s">
        <v>316</v>
      </c>
      <c r="B31" s="1159"/>
      <c r="C31" s="1161">
        <f>C19</f>
        <v>0</v>
      </c>
      <c r="D31" s="1161">
        <f t="shared" ref="D31:H31" si="8">D19</f>
        <v>0</v>
      </c>
      <c r="E31" s="1161">
        <f t="shared" si="8"/>
        <v>0</v>
      </c>
      <c r="F31" s="1161">
        <f t="shared" si="8"/>
        <v>0</v>
      </c>
      <c r="G31" s="1161">
        <f t="shared" si="8"/>
        <v>0</v>
      </c>
      <c r="H31" s="2125">
        <f t="shared" si="8"/>
        <v>0</v>
      </c>
      <c r="I31" s="281">
        <f t="shared" si="3"/>
        <v>0</v>
      </c>
    </row>
    <row r="32" spans="1:12" ht="13.2" x14ac:dyDescent="0.25">
      <c r="A32" s="1302" t="s">
        <v>397</v>
      </c>
      <c r="B32" s="1165" t="s">
        <v>398</v>
      </c>
      <c r="C32" s="1129"/>
      <c r="D32" s="1129"/>
      <c r="E32" s="1129"/>
      <c r="F32" s="1129"/>
      <c r="G32" s="1129"/>
      <c r="H32" s="2050"/>
      <c r="I32" s="281">
        <f t="shared" si="3"/>
        <v>0</v>
      </c>
    </row>
    <row r="33" spans="1:10" ht="13.2" x14ac:dyDescent="0.25">
      <c r="A33" s="1302" t="s">
        <v>399</v>
      </c>
      <c r="B33" s="90" t="s">
        <v>320</v>
      </c>
      <c r="C33" s="1163">
        <f>C28*C29*C34*1000000</f>
        <v>0</v>
      </c>
      <c r="D33" s="1163">
        <f t="shared" ref="D33:H33" si="9">D28*D29*D34*1000000</f>
        <v>0</v>
      </c>
      <c r="E33" s="1163">
        <f t="shared" si="9"/>
        <v>0</v>
      </c>
      <c r="F33" s="1163">
        <f t="shared" si="9"/>
        <v>3273409688.297328</v>
      </c>
      <c r="G33" s="1163">
        <f t="shared" si="9"/>
        <v>3273408913.7606401</v>
      </c>
      <c r="H33" s="2126">
        <f t="shared" si="9"/>
        <v>3273409688.297328</v>
      </c>
      <c r="I33" s="281">
        <f t="shared" si="3"/>
        <v>9820228290.3552971</v>
      </c>
    </row>
    <row r="34" spans="1:10" x14ac:dyDescent="0.2">
      <c r="A34" s="2037" t="s">
        <v>642</v>
      </c>
      <c r="B34" s="1174" t="s">
        <v>56</v>
      </c>
      <c r="C34" s="1125">
        <f>DispatchSchedule!F11</f>
        <v>0</v>
      </c>
      <c r="D34" s="1125">
        <f>DispatchSchedule!G11</f>
        <v>0</v>
      </c>
      <c r="E34" s="1125">
        <f>DispatchSchedule!H11</f>
        <v>0</v>
      </c>
      <c r="F34" s="1125">
        <f>DispatchSchedule!I11</f>
        <v>87.145914219999995</v>
      </c>
      <c r="G34" s="1125">
        <f>DispatchSchedule!J11</f>
        <v>87.145893599999994</v>
      </c>
      <c r="H34" s="2123">
        <f>DispatchSchedule!K11</f>
        <v>87.145914219999995</v>
      </c>
      <c r="I34" s="281">
        <f t="shared" si="3"/>
        <v>261.43772203999998</v>
      </c>
    </row>
    <row r="35" spans="1:10" x14ac:dyDescent="0.2">
      <c r="A35" s="2037"/>
      <c r="B35" s="90"/>
      <c r="C35" s="143"/>
      <c r="D35" s="143"/>
      <c r="E35" s="143"/>
      <c r="F35" s="143"/>
      <c r="G35" s="143"/>
      <c r="H35" s="2062"/>
      <c r="I35" s="281">
        <f t="shared" si="3"/>
        <v>0</v>
      </c>
    </row>
    <row r="36" spans="1:10" x14ac:dyDescent="0.2">
      <c r="A36" s="2055" t="s">
        <v>90</v>
      </c>
      <c r="B36" s="518" t="s">
        <v>393</v>
      </c>
      <c r="C36" s="143"/>
      <c r="D36" s="143"/>
      <c r="E36" s="143"/>
      <c r="F36" s="143"/>
      <c r="G36" s="143"/>
      <c r="H36" s="2062"/>
      <c r="I36" s="281">
        <f t="shared" si="3"/>
        <v>0</v>
      </c>
    </row>
    <row r="37" spans="1:10" x14ac:dyDescent="0.2">
      <c r="A37" s="2055" t="s">
        <v>100</v>
      </c>
      <c r="B37" s="90" t="s">
        <v>371</v>
      </c>
      <c r="C37" s="143"/>
      <c r="D37" s="143"/>
      <c r="E37" s="143"/>
      <c r="F37" s="143"/>
      <c r="G37" s="143"/>
      <c r="H37" s="2062"/>
      <c r="I37" s="281">
        <f t="shared" si="3"/>
        <v>0</v>
      </c>
    </row>
    <row r="38" spans="1:10" x14ac:dyDescent="0.2">
      <c r="A38" s="2055" t="s">
        <v>99</v>
      </c>
      <c r="B38" s="90" t="s">
        <v>372</v>
      </c>
      <c r="C38" s="143"/>
      <c r="D38" s="143"/>
      <c r="E38" s="143"/>
      <c r="F38" s="143"/>
      <c r="G38" s="143"/>
      <c r="H38" s="2062"/>
      <c r="I38" s="281">
        <f t="shared" si="3"/>
        <v>0</v>
      </c>
    </row>
    <row r="39" spans="1:10" x14ac:dyDescent="0.2">
      <c r="A39" s="2037" t="s">
        <v>401</v>
      </c>
      <c r="B39" s="90" t="s">
        <v>374</v>
      </c>
      <c r="C39" s="1146">
        <f>+Inputs!C66</f>
        <v>279</v>
      </c>
      <c r="D39" s="1146">
        <f>+Inputs!D66</f>
        <v>277</v>
      </c>
      <c r="E39" s="1146">
        <f>+Inputs!E66</f>
        <v>277</v>
      </c>
      <c r="F39" s="1146">
        <f>+Inputs!F66</f>
        <v>382</v>
      </c>
      <c r="G39" s="1146">
        <f>+Inputs!G66</f>
        <v>382</v>
      </c>
      <c r="H39" s="2056">
        <f>+Inputs!H66</f>
        <v>382</v>
      </c>
      <c r="I39" s="281">
        <f t="shared" si="3"/>
        <v>1979</v>
      </c>
    </row>
    <row r="40" spans="1:10" ht="13.2" x14ac:dyDescent="0.25">
      <c r="A40" s="465" t="s">
        <v>816</v>
      </c>
      <c r="B40" s="1165" t="s">
        <v>791</v>
      </c>
      <c r="C40" s="2715">
        <v>0.22140000000000001</v>
      </c>
      <c r="D40" s="2715">
        <v>0.22140000000000001</v>
      </c>
      <c r="E40" s="2715">
        <v>0.22140000000000001</v>
      </c>
      <c r="F40" s="2715">
        <v>0.22140000000000001</v>
      </c>
      <c r="G40" s="2715">
        <v>0.22140000000000001</v>
      </c>
      <c r="H40" s="2715">
        <v>0.22140000000000001</v>
      </c>
      <c r="I40" s="281">
        <f t="shared" si="3"/>
        <v>1.3284</v>
      </c>
    </row>
    <row r="41" spans="1:10" s="157" customFormat="1" x14ac:dyDescent="0.2">
      <c r="A41" s="2122" t="s">
        <v>315</v>
      </c>
      <c r="B41" s="1159"/>
      <c r="C41" s="1162">
        <f>C18</f>
        <v>0</v>
      </c>
      <c r="D41" s="1162">
        <f t="shared" ref="D41:H41" si="10">D18</f>
        <v>0</v>
      </c>
      <c r="E41" s="1162">
        <f t="shared" si="10"/>
        <v>0</v>
      </c>
      <c r="F41" s="1162">
        <f t="shared" si="10"/>
        <v>0</v>
      </c>
      <c r="G41" s="1162">
        <f t="shared" si="10"/>
        <v>0</v>
      </c>
      <c r="H41" s="2124">
        <f t="shared" si="10"/>
        <v>0</v>
      </c>
      <c r="I41" s="281">
        <f t="shared" si="3"/>
        <v>0</v>
      </c>
    </row>
    <row r="42" spans="1:10" s="157" customFormat="1" x14ac:dyDescent="0.2">
      <c r="A42" s="2122" t="s">
        <v>316</v>
      </c>
      <c r="B42" s="1159"/>
      <c r="C42" s="1162">
        <f>C19</f>
        <v>0</v>
      </c>
      <c r="D42" s="1162">
        <f t="shared" ref="D42:H42" si="11">D19</f>
        <v>0</v>
      </c>
      <c r="E42" s="1162">
        <f t="shared" si="11"/>
        <v>0</v>
      </c>
      <c r="F42" s="1162">
        <f t="shared" si="11"/>
        <v>0</v>
      </c>
      <c r="G42" s="1162">
        <f t="shared" si="11"/>
        <v>0</v>
      </c>
      <c r="H42" s="2124">
        <f t="shared" si="11"/>
        <v>0</v>
      </c>
      <c r="I42" s="281">
        <f t="shared" si="3"/>
        <v>0</v>
      </c>
    </row>
    <row r="43" spans="1:10" ht="13.2" x14ac:dyDescent="0.25">
      <c r="A43" s="1302" t="s">
        <v>397</v>
      </c>
      <c r="B43" s="1165" t="s">
        <v>398</v>
      </c>
      <c r="C43" s="1175"/>
      <c r="D43" s="1175"/>
      <c r="E43" s="1175"/>
      <c r="F43" s="1175"/>
      <c r="G43" s="1175"/>
      <c r="H43" s="2127"/>
      <c r="I43" s="281">
        <f t="shared" si="3"/>
        <v>0</v>
      </c>
    </row>
    <row r="44" spans="1:10" ht="13.2" x14ac:dyDescent="0.25">
      <c r="A44" s="1302" t="s">
        <v>399</v>
      </c>
      <c r="B44" s="90" t="s">
        <v>320</v>
      </c>
      <c r="C44" s="1125">
        <f>C39*C40*C45*1000000</f>
        <v>0</v>
      </c>
      <c r="D44" s="1125">
        <f t="shared" ref="D44:H44" si="12">D39*D40*D45*1000000</f>
        <v>0</v>
      </c>
      <c r="E44" s="1125">
        <f t="shared" si="12"/>
        <v>0</v>
      </c>
      <c r="F44" s="1125">
        <f t="shared" si="12"/>
        <v>0</v>
      </c>
      <c r="G44" s="1125">
        <f t="shared" si="12"/>
        <v>0</v>
      </c>
      <c r="H44" s="2123">
        <f t="shared" si="12"/>
        <v>0</v>
      </c>
      <c r="I44" s="281">
        <f t="shared" si="3"/>
        <v>0</v>
      </c>
    </row>
    <row r="45" spans="1:10" x14ac:dyDescent="0.2">
      <c r="A45" s="2037" t="s">
        <v>642</v>
      </c>
      <c r="B45" s="1174" t="s">
        <v>56</v>
      </c>
      <c r="C45" s="1166">
        <f>DispatchSchedule!F12</f>
        <v>0</v>
      </c>
      <c r="D45" s="1166">
        <f>DispatchSchedule!G12</f>
        <v>0</v>
      </c>
      <c r="E45" s="1166">
        <f>DispatchSchedule!H12</f>
        <v>0</v>
      </c>
      <c r="F45" s="1166">
        <f>DispatchSchedule!I12</f>
        <v>0</v>
      </c>
      <c r="G45" s="1166">
        <f>DispatchSchedule!J12</f>
        <v>0</v>
      </c>
      <c r="H45" s="2128">
        <f>DispatchSchedule!K12</f>
        <v>0</v>
      </c>
      <c r="I45" s="281">
        <f t="shared" si="3"/>
        <v>0</v>
      </c>
    </row>
    <row r="46" spans="1:10" x14ac:dyDescent="0.2">
      <c r="A46" s="2037"/>
      <c r="B46" s="90"/>
      <c r="C46" s="90"/>
      <c r="D46" s="47"/>
      <c r="E46" s="47"/>
      <c r="F46" s="47"/>
      <c r="G46" s="47"/>
      <c r="H46" s="48"/>
      <c r="I46" s="281">
        <f t="shared" si="3"/>
        <v>0</v>
      </c>
    </row>
    <row r="47" spans="1:10" ht="13.2" x14ac:dyDescent="0.25">
      <c r="A47" s="147" t="s">
        <v>132</v>
      </c>
      <c r="B47" s="151"/>
      <c r="C47" s="1125"/>
      <c r="D47" s="1125"/>
      <c r="E47" s="1125"/>
      <c r="F47" s="1125"/>
      <c r="G47" s="90"/>
      <c r="H47" s="48"/>
      <c r="I47" s="281">
        <f t="shared" si="3"/>
        <v>0</v>
      </c>
    </row>
    <row r="48" spans="1:10" x14ac:dyDescent="0.2">
      <c r="A48" s="2037" t="s">
        <v>376</v>
      </c>
      <c r="B48" s="90" t="s">
        <v>312</v>
      </c>
      <c r="C48" s="1169">
        <v>9558333</v>
      </c>
      <c r="D48" s="1169">
        <v>9558333</v>
      </c>
      <c r="E48" s="1169">
        <v>9558333</v>
      </c>
      <c r="F48" s="1169">
        <v>9558333</v>
      </c>
      <c r="G48" s="1169">
        <v>9558333</v>
      </c>
      <c r="H48" s="1169">
        <v>9558333</v>
      </c>
      <c r="I48" s="281">
        <f t="shared" si="3"/>
        <v>57349998</v>
      </c>
      <c r="J48">
        <f>+D83*1000000</f>
        <v>75263703.439999998</v>
      </c>
    </row>
    <row r="49" spans="1:10" x14ac:dyDescent="0.2">
      <c r="A49" s="2037" t="s">
        <v>376</v>
      </c>
      <c r="B49" s="90" t="s">
        <v>377</v>
      </c>
      <c r="C49" s="1129"/>
      <c r="D49" s="1129"/>
      <c r="E49" s="1129"/>
      <c r="F49" s="1129"/>
      <c r="G49" s="1129"/>
      <c r="H49" s="2050"/>
      <c r="I49" s="281">
        <f t="shared" si="3"/>
        <v>0</v>
      </c>
      <c r="J49" s="402">
        <f>+J48-6571699</f>
        <v>68692004.439999998</v>
      </c>
    </row>
    <row r="50" spans="1:10" s="157" customFormat="1" x14ac:dyDescent="0.2">
      <c r="A50" s="2122" t="s">
        <v>315</v>
      </c>
      <c r="B50" s="1159"/>
      <c r="C50" s="1168"/>
      <c r="D50" s="1168">
        <v>0</v>
      </c>
      <c r="E50" s="1168">
        <v>0</v>
      </c>
      <c r="F50" s="1168">
        <v>0</v>
      </c>
      <c r="G50" s="1168">
        <v>0</v>
      </c>
      <c r="H50" s="2129">
        <v>0</v>
      </c>
      <c r="I50" s="281">
        <f t="shared" si="3"/>
        <v>0</v>
      </c>
    </row>
    <row r="51" spans="1:10" s="157" customFormat="1" x14ac:dyDescent="0.2">
      <c r="A51" s="2122" t="s">
        <v>316</v>
      </c>
      <c r="B51" s="1159"/>
      <c r="C51" s="1168"/>
      <c r="D51" s="1168">
        <v>0</v>
      </c>
      <c r="E51" s="1168">
        <v>0</v>
      </c>
      <c r="F51" s="1168">
        <v>0</v>
      </c>
      <c r="G51" s="1168">
        <v>0</v>
      </c>
      <c r="H51" s="2129">
        <v>0</v>
      </c>
      <c r="I51" s="281">
        <f t="shared" si="3"/>
        <v>0</v>
      </c>
    </row>
    <row r="52" spans="1:10" x14ac:dyDescent="0.2">
      <c r="A52" s="2037" t="s">
        <v>378</v>
      </c>
      <c r="B52" s="90"/>
      <c r="C52" s="1140"/>
      <c r="D52" s="1125"/>
      <c r="E52" s="1125"/>
      <c r="F52" s="1125"/>
      <c r="G52" s="90"/>
      <c r="H52" s="2058"/>
      <c r="I52" s="281">
        <f t="shared" si="3"/>
        <v>0</v>
      </c>
    </row>
    <row r="53" spans="1:10" x14ac:dyDescent="0.2">
      <c r="A53" s="2037" t="s">
        <v>379</v>
      </c>
      <c r="B53" s="90"/>
      <c r="C53" s="1140"/>
      <c r="D53" s="1125"/>
      <c r="E53" s="1125"/>
      <c r="F53" s="1125"/>
      <c r="G53" s="90"/>
      <c r="H53" s="2058"/>
      <c r="I53" s="281">
        <f t="shared" si="3"/>
        <v>0</v>
      </c>
    </row>
    <row r="54" spans="1:10" ht="13.2" x14ac:dyDescent="0.25">
      <c r="A54" s="147" t="s">
        <v>380</v>
      </c>
      <c r="B54" s="90"/>
      <c r="C54" s="1125"/>
      <c r="D54" s="1125"/>
      <c r="E54" s="1125"/>
      <c r="F54" s="1125"/>
      <c r="G54" s="90"/>
      <c r="H54" s="2059"/>
      <c r="I54" s="281">
        <f t="shared" si="3"/>
        <v>0</v>
      </c>
    </row>
    <row r="55" spans="1:10" x14ac:dyDescent="0.2">
      <c r="A55" s="2037" t="s">
        <v>571</v>
      </c>
      <c r="B55" s="90" t="s">
        <v>411</v>
      </c>
      <c r="C55" s="1129">
        <v>12547000</v>
      </c>
      <c r="D55" s="1129">
        <v>12547000</v>
      </c>
      <c r="E55" s="1129">
        <v>12547000</v>
      </c>
      <c r="F55" s="1129">
        <v>12547000</v>
      </c>
      <c r="G55" s="1129">
        <v>12547000</v>
      </c>
      <c r="H55" s="1129">
        <v>12547000</v>
      </c>
      <c r="I55" s="281">
        <f t="shared" si="3"/>
        <v>75282000</v>
      </c>
      <c r="J55" s="653"/>
    </row>
    <row r="56" spans="1:10" x14ac:dyDescent="0.2">
      <c r="A56" s="2037" t="s">
        <v>572</v>
      </c>
      <c r="B56" s="90" t="s">
        <v>411</v>
      </c>
      <c r="C56" s="1129">
        <v>14876000</v>
      </c>
      <c r="D56" s="1129">
        <v>14876000</v>
      </c>
      <c r="E56" s="1129">
        <v>14876000</v>
      </c>
      <c r="F56" s="1129">
        <v>14876000</v>
      </c>
      <c r="G56" s="1129">
        <v>14876000</v>
      </c>
      <c r="H56" s="1129">
        <v>14876000</v>
      </c>
      <c r="I56" s="281">
        <f t="shared" si="3"/>
        <v>89256000</v>
      </c>
      <c r="J56" s="653"/>
    </row>
    <row r="57" spans="1:10" ht="12.75" customHeight="1" x14ac:dyDescent="0.2">
      <c r="A57" s="2037" t="s">
        <v>573</v>
      </c>
      <c r="B57" s="90" t="s">
        <v>411</v>
      </c>
      <c r="C57" s="1129">
        <v>17205000</v>
      </c>
      <c r="D57" s="1129">
        <v>17205000</v>
      </c>
      <c r="E57" s="1129">
        <v>17205000</v>
      </c>
      <c r="F57" s="1129">
        <v>17205000</v>
      </c>
      <c r="G57" s="1129">
        <v>17205000</v>
      </c>
      <c r="H57" s="1129">
        <v>17205000</v>
      </c>
      <c r="I57" s="281">
        <f t="shared" si="3"/>
        <v>103230000</v>
      </c>
      <c r="J57" s="653"/>
    </row>
    <row r="58" spans="1:10" ht="12.75" customHeight="1" x14ac:dyDescent="0.2">
      <c r="A58" s="2037" t="s">
        <v>574</v>
      </c>
      <c r="B58" s="90" t="s">
        <v>411</v>
      </c>
      <c r="C58" s="1129">
        <v>8387000</v>
      </c>
      <c r="D58" s="1129">
        <v>8387000</v>
      </c>
      <c r="E58" s="1129">
        <v>8387000</v>
      </c>
      <c r="F58" s="1129">
        <v>8387000</v>
      </c>
      <c r="G58" s="1129">
        <v>8387000</v>
      </c>
      <c r="H58" s="1129">
        <v>8387000</v>
      </c>
      <c r="I58" s="281">
        <f t="shared" si="3"/>
        <v>50322000</v>
      </c>
      <c r="J58" s="653"/>
    </row>
    <row r="59" spans="1:10" ht="12.75" customHeight="1" x14ac:dyDescent="0.2">
      <c r="A59" s="2037" t="s">
        <v>572</v>
      </c>
      <c r="B59" s="90" t="s">
        <v>411</v>
      </c>
      <c r="C59" s="1129">
        <v>9914000</v>
      </c>
      <c r="D59" s="1129">
        <v>9914000</v>
      </c>
      <c r="E59" s="1129">
        <v>9914000</v>
      </c>
      <c r="F59" s="1129">
        <v>9914000</v>
      </c>
      <c r="G59" s="1129">
        <v>9914000</v>
      </c>
      <c r="H59" s="1129">
        <v>9914000</v>
      </c>
      <c r="I59" s="281">
        <f t="shared" si="3"/>
        <v>59484000</v>
      </c>
      <c r="J59" s="653"/>
    </row>
    <row r="60" spans="1:10" ht="12.75" customHeight="1" x14ac:dyDescent="0.2">
      <c r="A60" s="2037" t="s">
        <v>573</v>
      </c>
      <c r="B60" s="90" t="s">
        <v>411</v>
      </c>
      <c r="C60" s="1129">
        <v>11442000</v>
      </c>
      <c r="D60" s="1129">
        <v>11442000</v>
      </c>
      <c r="E60" s="1129">
        <v>11442000</v>
      </c>
      <c r="F60" s="1129">
        <v>11442000</v>
      </c>
      <c r="G60" s="1129">
        <v>11442000</v>
      </c>
      <c r="H60" s="1129">
        <v>11442000</v>
      </c>
      <c r="I60" s="281">
        <f t="shared" si="3"/>
        <v>68652000</v>
      </c>
      <c r="J60" s="653"/>
    </row>
    <row r="61" spans="1:10" ht="12.75" customHeight="1" x14ac:dyDescent="0.2">
      <c r="A61" s="465" t="s">
        <v>575</v>
      </c>
      <c r="B61" s="90" t="s">
        <v>411</v>
      </c>
      <c r="C61" s="1169">
        <v>5165000</v>
      </c>
      <c r="D61" s="1169">
        <v>5165000</v>
      </c>
      <c r="E61" s="1169">
        <v>5165000</v>
      </c>
      <c r="F61" s="1169">
        <v>5165000</v>
      </c>
      <c r="G61" s="1169">
        <v>5165000</v>
      </c>
      <c r="H61" s="1169">
        <v>5165000</v>
      </c>
      <c r="I61" s="281">
        <f t="shared" si="3"/>
        <v>30990000</v>
      </c>
    </row>
    <row r="62" spans="1:10" x14ac:dyDescent="0.2">
      <c r="A62" s="465" t="s">
        <v>734</v>
      </c>
      <c r="B62" s="90" t="s">
        <v>385</v>
      </c>
      <c r="C62" s="1127">
        <v>1</v>
      </c>
      <c r="D62" s="1127">
        <v>1</v>
      </c>
      <c r="E62" s="1127">
        <v>1</v>
      </c>
      <c r="F62" s="1127">
        <v>1</v>
      </c>
      <c r="G62" s="1127">
        <v>0</v>
      </c>
      <c r="H62" s="1127">
        <v>0</v>
      </c>
      <c r="I62" s="281">
        <f t="shared" si="3"/>
        <v>4</v>
      </c>
    </row>
    <row r="63" spans="1:10" x14ac:dyDescent="0.2">
      <c r="A63" s="465" t="s">
        <v>1157</v>
      </c>
      <c r="B63" s="514" t="s">
        <v>385</v>
      </c>
      <c r="C63" s="1127"/>
      <c r="D63" s="1127"/>
      <c r="E63" s="1127"/>
      <c r="F63" s="1127"/>
      <c r="G63" s="1127"/>
      <c r="H63" s="2130"/>
      <c r="I63" s="281">
        <f t="shared" si="3"/>
        <v>0</v>
      </c>
    </row>
    <row r="64" spans="1:10" x14ac:dyDescent="0.2">
      <c r="A64" s="465" t="s">
        <v>735</v>
      </c>
      <c r="B64" s="90" t="s">
        <v>385</v>
      </c>
      <c r="C64" s="1127">
        <v>1</v>
      </c>
      <c r="D64" s="1127">
        <v>1</v>
      </c>
      <c r="E64" s="1127">
        <v>1</v>
      </c>
      <c r="F64" s="1127">
        <v>1</v>
      </c>
      <c r="G64" s="1127">
        <v>1</v>
      </c>
      <c r="H64" s="1127">
        <v>1</v>
      </c>
      <c r="I64" s="281">
        <f t="shared" si="3"/>
        <v>6</v>
      </c>
    </row>
    <row r="65" spans="1:17" x14ac:dyDescent="0.2">
      <c r="A65" s="465" t="s">
        <v>1080</v>
      </c>
      <c r="B65" s="90" t="s">
        <v>385</v>
      </c>
      <c r="C65" s="1127">
        <v>1</v>
      </c>
      <c r="D65" s="1127">
        <v>1</v>
      </c>
      <c r="E65" s="1127">
        <v>1</v>
      </c>
      <c r="F65" s="1127">
        <v>2</v>
      </c>
      <c r="G65" s="1127">
        <v>2</v>
      </c>
      <c r="H65" s="1127">
        <v>2</v>
      </c>
      <c r="I65" s="281">
        <f t="shared" si="3"/>
        <v>9</v>
      </c>
    </row>
    <row r="66" spans="1:17" x14ac:dyDescent="0.2">
      <c r="A66" s="465" t="s">
        <v>1158</v>
      </c>
      <c r="B66" s="514" t="s">
        <v>385</v>
      </c>
      <c r="C66" s="1127"/>
      <c r="D66" s="1127"/>
      <c r="E66" s="1127"/>
      <c r="F66" s="1127"/>
      <c r="G66" s="1127"/>
      <c r="H66" s="2130"/>
      <c r="I66" s="281">
        <f t="shared" si="3"/>
        <v>0</v>
      </c>
    </row>
    <row r="67" spans="1:17" x14ac:dyDescent="0.2">
      <c r="A67" s="465" t="s">
        <v>735</v>
      </c>
      <c r="B67" s="90" t="s">
        <v>385</v>
      </c>
      <c r="C67" s="1127"/>
      <c r="D67" s="1127"/>
      <c r="E67" s="1127"/>
      <c r="F67" s="1127"/>
      <c r="G67" s="1127"/>
      <c r="H67" s="2130"/>
      <c r="I67" s="281">
        <f t="shared" si="3"/>
        <v>0</v>
      </c>
    </row>
    <row r="68" spans="1:17" x14ac:dyDescent="0.2">
      <c r="A68" s="465" t="s">
        <v>1080</v>
      </c>
      <c r="B68" s="90" t="s">
        <v>385</v>
      </c>
      <c r="C68" s="1127">
        <v>0</v>
      </c>
      <c r="D68" s="1127"/>
      <c r="E68" s="1127"/>
      <c r="F68" s="1127"/>
      <c r="G68" s="1127"/>
      <c r="H68" s="2130"/>
      <c r="I68" s="281">
        <f t="shared" si="3"/>
        <v>0</v>
      </c>
    </row>
    <row r="69" spans="1:17" x14ac:dyDescent="0.2">
      <c r="A69" s="2037"/>
      <c r="B69" s="90"/>
      <c r="C69" s="1125"/>
      <c r="D69" s="1125"/>
      <c r="E69" s="1125"/>
      <c r="F69" s="1125"/>
      <c r="G69" s="90"/>
      <c r="H69" s="2060"/>
      <c r="I69" s="281">
        <f t="shared" si="3"/>
        <v>0</v>
      </c>
    </row>
    <row r="70" spans="1:17" ht="13.2" x14ac:dyDescent="0.25">
      <c r="A70" s="2037" t="s">
        <v>148</v>
      </c>
      <c r="B70" s="151" t="s">
        <v>320</v>
      </c>
      <c r="C70" s="2831">
        <f t="shared" ref="C70:H70" si="13">C6+C16+C17+C22</f>
        <v>50086490.780000001</v>
      </c>
      <c r="D70" s="2831">
        <f t="shared" si="13"/>
        <v>65705370.440000005</v>
      </c>
      <c r="E70" s="2831">
        <f t="shared" si="13"/>
        <v>50086490.780000001</v>
      </c>
      <c r="F70" s="2831">
        <f t="shared" si="13"/>
        <v>61174376.449945644</v>
      </c>
      <c r="G70" s="2831">
        <f t="shared" si="13"/>
        <v>61174376.449945644</v>
      </c>
      <c r="H70" s="2829">
        <f t="shared" si="13"/>
        <v>61174376.449945644</v>
      </c>
      <c r="I70" s="281">
        <f t="shared" si="3"/>
        <v>349401481.34983689</v>
      </c>
      <c r="K70" s="82"/>
      <c r="L70" s="134"/>
      <c r="M70" s="134"/>
      <c r="N70" s="134"/>
      <c r="O70" s="134"/>
      <c r="P70" s="134"/>
      <c r="Q70" s="134"/>
    </row>
    <row r="71" spans="1:17" ht="13.2" x14ac:dyDescent="0.25">
      <c r="A71" s="2037" t="s">
        <v>149</v>
      </c>
      <c r="B71" s="151" t="s">
        <v>320</v>
      </c>
      <c r="C71" s="1125">
        <f>C33+C44+C48</f>
        <v>9558333</v>
      </c>
      <c r="D71" s="1125">
        <f t="shared" ref="D71:H71" si="14">D33+D44+D48</f>
        <v>9558333</v>
      </c>
      <c r="E71" s="1125">
        <f t="shared" si="14"/>
        <v>9558333</v>
      </c>
      <c r="F71" s="1125">
        <f t="shared" si="14"/>
        <v>3282968021.297328</v>
      </c>
      <c r="G71" s="1125">
        <f t="shared" si="14"/>
        <v>3282967246.7606401</v>
      </c>
      <c r="H71" s="2123">
        <f t="shared" si="14"/>
        <v>3282968021.297328</v>
      </c>
      <c r="I71" s="281">
        <f t="shared" si="3"/>
        <v>9877578288.3552971</v>
      </c>
      <c r="K71" s="82"/>
      <c r="L71" s="134"/>
      <c r="M71" s="134"/>
      <c r="N71" s="134"/>
      <c r="O71" s="134"/>
      <c r="P71" s="134"/>
      <c r="Q71" s="134"/>
    </row>
    <row r="72" spans="1:17" ht="13.2" x14ac:dyDescent="0.25">
      <c r="A72" s="2037" t="s">
        <v>387</v>
      </c>
      <c r="B72" s="151" t="s">
        <v>320</v>
      </c>
      <c r="C72" s="1176">
        <f>C61*C62+C58*C63+C59*C64+C60*C65+C55*C66+C56*C67+C57*C68</f>
        <v>26521000</v>
      </c>
      <c r="D72" s="1176">
        <f t="shared" ref="D72:H72" si="15">D61*D62+D58*D63+D59*D64+D60*D65+D55*D66+D56*D67+D57*D68</f>
        <v>26521000</v>
      </c>
      <c r="E72" s="1176">
        <f t="shared" si="15"/>
        <v>26521000</v>
      </c>
      <c r="F72" s="1176">
        <f t="shared" si="15"/>
        <v>37963000</v>
      </c>
      <c r="G72" s="1176">
        <f t="shared" si="15"/>
        <v>32798000</v>
      </c>
      <c r="H72" s="2131">
        <f t="shared" si="15"/>
        <v>32798000</v>
      </c>
      <c r="I72" s="281">
        <f t="shared" ref="I72:I85" si="16">SUM(C72:H72)</f>
        <v>183122000</v>
      </c>
      <c r="K72" s="82"/>
      <c r="L72" s="134"/>
      <c r="M72" s="134"/>
      <c r="N72" s="134"/>
      <c r="O72" s="134"/>
      <c r="P72" s="134"/>
      <c r="Q72" s="134"/>
    </row>
    <row r="73" spans="1:17" ht="13.2" x14ac:dyDescent="0.25">
      <c r="A73" s="2037" t="s">
        <v>150</v>
      </c>
      <c r="B73" s="151" t="s">
        <v>39</v>
      </c>
      <c r="C73" s="1129">
        <v>165</v>
      </c>
      <c r="D73" s="1129">
        <v>165</v>
      </c>
      <c r="E73" s="1129">
        <v>165</v>
      </c>
      <c r="F73" s="1129">
        <v>165</v>
      </c>
      <c r="G73" s="1129">
        <v>165</v>
      </c>
      <c r="H73" s="2050">
        <v>165</v>
      </c>
      <c r="I73" s="281">
        <f t="shared" si="16"/>
        <v>990</v>
      </c>
      <c r="K73" s="82"/>
      <c r="L73" s="134"/>
      <c r="M73" s="134"/>
      <c r="N73" s="134"/>
      <c r="O73" s="134"/>
      <c r="P73" s="134"/>
      <c r="Q73" s="134"/>
    </row>
    <row r="74" spans="1:17" ht="13.2" x14ac:dyDescent="0.25">
      <c r="A74" s="2037" t="s">
        <v>134</v>
      </c>
      <c r="B74" s="151" t="s">
        <v>388</v>
      </c>
      <c r="C74" s="1177">
        <f>+DispatchSchedule!F79*1000000</f>
        <v>0</v>
      </c>
      <c r="D74" s="1177">
        <f>+DispatchSchedule!G79*1000000</f>
        <v>0</v>
      </c>
      <c r="E74" s="1177">
        <f>+DispatchSchedule!H79*1000000</f>
        <v>0</v>
      </c>
      <c r="F74" s="1177">
        <f>+DispatchSchedule!I79*1000000</f>
        <v>84525620</v>
      </c>
      <c r="G74" s="1177">
        <f>+DispatchSchedule!J79*1000000</f>
        <v>84525600</v>
      </c>
      <c r="H74" s="2132">
        <f>+DispatchSchedule!K79*1000000</f>
        <v>84525620</v>
      </c>
      <c r="I74" s="281">
        <f t="shared" si="16"/>
        <v>253576840</v>
      </c>
      <c r="J74" s="415"/>
      <c r="K74" s="82"/>
      <c r="L74" s="134"/>
      <c r="M74" s="134"/>
      <c r="N74" s="134"/>
      <c r="O74" s="134"/>
      <c r="P74" s="134"/>
      <c r="Q74" s="134"/>
    </row>
    <row r="75" spans="1:17" ht="13.2" hidden="1" x14ac:dyDescent="0.25">
      <c r="A75" s="2133" t="s">
        <v>807</v>
      </c>
      <c r="B75" s="1123" t="s">
        <v>214</v>
      </c>
      <c r="C75" s="1124"/>
      <c r="D75" s="1124"/>
      <c r="E75" s="1124"/>
      <c r="F75" s="1124"/>
      <c r="G75" s="1124"/>
      <c r="H75" s="2134"/>
      <c r="I75" s="281">
        <f t="shared" si="16"/>
        <v>0</v>
      </c>
      <c r="J75" s="415"/>
      <c r="K75" s="82"/>
      <c r="L75" s="134"/>
      <c r="M75" s="134"/>
      <c r="N75" s="134"/>
      <c r="O75" s="134"/>
      <c r="P75" s="134"/>
      <c r="Q75" s="134"/>
    </row>
    <row r="76" spans="1:17" ht="13.2" hidden="1" x14ac:dyDescent="0.25">
      <c r="A76" s="2133" t="s">
        <v>808</v>
      </c>
      <c r="B76" s="1123" t="s">
        <v>214</v>
      </c>
      <c r="C76" s="1124"/>
      <c r="D76" s="1124"/>
      <c r="E76" s="1124"/>
      <c r="F76" s="1124"/>
      <c r="G76" s="1124"/>
      <c r="H76" s="2134"/>
      <c r="I76" s="281">
        <f t="shared" si="16"/>
        <v>0</v>
      </c>
      <c r="J76" s="415"/>
      <c r="K76" s="82"/>
      <c r="L76" s="134"/>
      <c r="M76" s="134"/>
      <c r="N76" s="134"/>
      <c r="O76" s="134"/>
      <c r="P76" s="134"/>
      <c r="Q76" s="134"/>
    </row>
    <row r="77" spans="1:17" ht="13.2" x14ac:dyDescent="0.25">
      <c r="A77" s="465" t="s">
        <v>820</v>
      </c>
      <c r="B77" s="151" t="s">
        <v>214</v>
      </c>
      <c r="C77" s="143">
        <f>IF(C74=0,0,(C71/C74))</f>
        <v>0</v>
      </c>
      <c r="D77" s="143">
        <f t="shared" ref="D77:H77" si="17">IF(D74=0,0,(D71/D74))</f>
        <v>0</v>
      </c>
      <c r="E77" s="143">
        <f t="shared" si="17"/>
        <v>0</v>
      </c>
      <c r="F77" s="143">
        <f t="shared" si="17"/>
        <v>38.839916480912272</v>
      </c>
      <c r="G77" s="143">
        <f t="shared" si="17"/>
        <v>38.839916507669159</v>
      </c>
      <c r="H77" s="2062">
        <f t="shared" si="17"/>
        <v>38.839916480912272</v>
      </c>
      <c r="I77" s="281">
        <f t="shared" si="16"/>
        <v>116.51974946949372</v>
      </c>
      <c r="J77" s="415"/>
      <c r="K77" s="82"/>
      <c r="L77" s="134"/>
      <c r="M77" s="134"/>
      <c r="N77" s="134"/>
      <c r="O77" s="134"/>
      <c r="P77" s="134"/>
      <c r="Q77" s="134"/>
    </row>
    <row r="78" spans="1:17" ht="13.2" x14ac:dyDescent="0.25">
      <c r="A78" s="2032" t="s">
        <v>821</v>
      </c>
      <c r="B78" s="508" t="s">
        <v>214</v>
      </c>
      <c r="C78" s="569">
        <f t="shared" ref="C78" si="18">IF(C74=0,0,((C71+C72)/C74))</f>
        <v>0</v>
      </c>
      <c r="D78" s="569">
        <f t="shared" ref="D78:H78" si="19">IF(D74=0,0,((D71+D72)/D74))</f>
        <v>0</v>
      </c>
      <c r="E78" s="569">
        <f>IF(E74=0,0,((E71+E72)/E74))</f>
        <v>0</v>
      </c>
      <c r="F78" s="569">
        <f t="shared" si="19"/>
        <v>39.289046578981946</v>
      </c>
      <c r="G78" s="569">
        <f t="shared" si="19"/>
        <v>39.227940964165178</v>
      </c>
      <c r="H78" s="2033">
        <f t="shared" si="19"/>
        <v>39.227940845596024</v>
      </c>
      <c r="I78" s="281">
        <f t="shared" si="16"/>
        <v>117.74492838874315</v>
      </c>
      <c r="K78" s="82"/>
      <c r="L78" s="134"/>
      <c r="M78" s="134"/>
      <c r="N78" s="134"/>
      <c r="O78" s="134"/>
      <c r="P78" s="134"/>
      <c r="Q78" s="134"/>
    </row>
    <row r="79" spans="1:17" ht="13.2" x14ac:dyDescent="0.25">
      <c r="A79" s="55" t="s">
        <v>806</v>
      </c>
      <c r="B79" s="151" t="s">
        <v>214</v>
      </c>
      <c r="C79" s="143">
        <f>IF(C74=0,0,C70/C74)</f>
        <v>0</v>
      </c>
      <c r="D79" s="143">
        <f t="shared" ref="D79:H79" si="20">IF(D74=0,0,D70/D74)</f>
        <v>0</v>
      </c>
      <c r="E79" s="143">
        <f t="shared" si="20"/>
        <v>0</v>
      </c>
      <c r="F79" s="143">
        <f t="shared" si="20"/>
        <v>0.72373768391105142</v>
      </c>
      <c r="G79" s="143">
        <f t="shared" si="20"/>
        <v>0.7237378551580308</v>
      </c>
      <c r="H79" s="2062">
        <f t="shared" si="20"/>
        <v>0.72373768391105142</v>
      </c>
      <c r="I79" s="281">
        <f t="shared" si="16"/>
        <v>2.1712132229801338</v>
      </c>
      <c r="J79" s="155">
        <f>+D83*1000000</f>
        <v>75263703.439999998</v>
      </c>
    </row>
    <row r="80" spans="1:17" ht="13.2" x14ac:dyDescent="0.25">
      <c r="A80" s="55" t="s">
        <v>390</v>
      </c>
      <c r="B80" s="151" t="s">
        <v>322</v>
      </c>
      <c r="C80" s="145">
        <f t="shared" ref="C80:H80" si="21">C70/C73/1000</f>
        <v>303.5544895757576</v>
      </c>
      <c r="D80" s="145">
        <f t="shared" si="21"/>
        <v>398.21436630303032</v>
      </c>
      <c r="E80" s="145">
        <f t="shared" si="21"/>
        <v>303.5544895757576</v>
      </c>
      <c r="F80" s="145">
        <f t="shared" si="21"/>
        <v>370.75379666633722</v>
      </c>
      <c r="G80" s="145">
        <f t="shared" si="21"/>
        <v>370.75379666633722</v>
      </c>
      <c r="H80" s="2034">
        <f t="shared" si="21"/>
        <v>370.75379666633722</v>
      </c>
      <c r="I80" s="281">
        <f t="shared" si="16"/>
        <v>2117.5847354535572</v>
      </c>
      <c r="J80" s="414"/>
    </row>
    <row r="81" spans="1:9" ht="13.2" x14ac:dyDescent="0.25">
      <c r="A81" s="2135"/>
      <c r="B81" s="82"/>
      <c r="C81" s="403"/>
      <c r="D81" s="403"/>
      <c r="E81" s="403"/>
      <c r="F81" s="403"/>
      <c r="G81" s="403"/>
      <c r="H81" s="2136"/>
      <c r="I81" s="281">
        <f t="shared" si="16"/>
        <v>0</v>
      </c>
    </row>
    <row r="82" spans="1:9" ht="13.2" x14ac:dyDescent="0.25">
      <c r="A82" s="75"/>
      <c r="B82" s="82"/>
      <c r="H82" s="171"/>
      <c r="I82" s="281">
        <f t="shared" si="16"/>
        <v>0</v>
      </c>
    </row>
    <row r="83" spans="1:9" ht="13.2" x14ac:dyDescent="0.25">
      <c r="A83" s="2035" t="s">
        <v>148</v>
      </c>
      <c r="B83" s="508" t="s">
        <v>460</v>
      </c>
      <c r="C83" s="2257">
        <f t="shared" ref="C83:D83" si="22">IF(C74=0,(C70+C71)/1000000,+C70/1000000)</f>
        <v>59.644823780000003</v>
      </c>
      <c r="D83" s="2257">
        <f t="shared" si="22"/>
        <v>75.26370344</v>
      </c>
      <c r="E83" s="2257">
        <f>IF(E74=0,(E70+E71)/1000000,+E70/1000000)</f>
        <v>59.644823780000003</v>
      </c>
      <c r="F83" s="2257">
        <f t="shared" ref="F83:H83" si="23">IF(F74=0,(F70+F71)/1000000,+F70/1000000)</f>
        <v>61.17437644994564</v>
      </c>
      <c r="G83" s="2257">
        <f t="shared" si="23"/>
        <v>61.17437644994564</v>
      </c>
      <c r="H83" s="2258">
        <f t="shared" si="23"/>
        <v>61.17437644994564</v>
      </c>
      <c r="I83" s="281">
        <f t="shared" si="16"/>
        <v>378.07648034983686</v>
      </c>
    </row>
    <row r="84" spans="1:9" ht="13.8" thickBot="1" x14ac:dyDescent="0.3">
      <c r="A84" s="2039" t="s">
        <v>149</v>
      </c>
      <c r="B84" s="2040" t="s">
        <v>460</v>
      </c>
      <c r="C84" s="2259">
        <f>IF(C74=0,0,(C71+C72)/1000000)</f>
        <v>0</v>
      </c>
      <c r="D84" s="2259">
        <f t="shared" ref="D84:H84" si="24">IF(D74=0,0,(D71+D72)/1000000)</f>
        <v>0</v>
      </c>
      <c r="E84" s="2259">
        <f t="shared" si="24"/>
        <v>0</v>
      </c>
      <c r="F84" s="2259">
        <f t="shared" si="24"/>
        <v>3320.9310212973278</v>
      </c>
      <c r="G84" s="2259">
        <f t="shared" si="24"/>
        <v>3315.7652467606404</v>
      </c>
      <c r="H84" s="2260">
        <f t="shared" si="24"/>
        <v>3315.7660212973278</v>
      </c>
      <c r="I84" s="281">
        <f t="shared" si="16"/>
        <v>9952.4622893552951</v>
      </c>
    </row>
    <row r="85" spans="1:9" ht="13.2" x14ac:dyDescent="0.25">
      <c r="A85" s="512" t="s">
        <v>134</v>
      </c>
      <c r="B85" s="511" t="s">
        <v>56</v>
      </c>
      <c r="C85" s="2121">
        <f t="shared" ref="C85:H85" si="25">+C74/1000000</f>
        <v>0</v>
      </c>
      <c r="D85" s="2121">
        <f t="shared" si="25"/>
        <v>0</v>
      </c>
      <c r="E85" s="2121">
        <f t="shared" si="25"/>
        <v>0</v>
      </c>
      <c r="F85" s="2121">
        <f t="shared" si="25"/>
        <v>84.525620000000004</v>
      </c>
      <c r="G85" s="2121">
        <f t="shared" si="25"/>
        <v>84.525599999999997</v>
      </c>
      <c r="H85" s="2121">
        <f t="shared" si="25"/>
        <v>84.525620000000004</v>
      </c>
      <c r="I85" s="281">
        <f t="shared" si="16"/>
        <v>253.57684</v>
      </c>
    </row>
    <row r="87" spans="1:9" x14ac:dyDescent="0.2">
      <c r="C87" s="155">
        <f>+C29*266</f>
        <v>70.862400000000008</v>
      </c>
      <c r="D87" s="403" t="s">
        <v>599</v>
      </c>
      <c r="E87" s="403"/>
      <c r="F87" s="403"/>
      <c r="G87" s="403"/>
      <c r="H87" s="403"/>
      <c r="I87" s="241">
        <f>+I85-I84</f>
        <v>-9698.8854493552953</v>
      </c>
    </row>
    <row r="88" spans="1:9" ht="13.8" x14ac:dyDescent="0.25">
      <c r="A88" s="1084" t="s">
        <v>822</v>
      </c>
      <c r="B88" s="456"/>
      <c r="C88" s="2280">
        <f>+C40*Inputs!C66</f>
        <v>61.770600000000002</v>
      </c>
      <c r="D88" s="587" t="s">
        <v>393</v>
      </c>
      <c r="E88" s="587"/>
      <c r="F88" s="587"/>
      <c r="G88" s="587"/>
      <c r="H88" s="587"/>
    </row>
    <row r="89" spans="1:9" ht="24" customHeight="1" x14ac:dyDescent="0.2">
      <c r="A89" s="183"/>
      <c r="B89" s="1156"/>
      <c r="C89" s="1178"/>
      <c r="D89" s="1178"/>
      <c r="E89" s="1178"/>
      <c r="F89" s="1178"/>
      <c r="G89" s="1178"/>
      <c r="H89" s="1178"/>
    </row>
    <row r="90" spans="1:9" ht="13.8" x14ac:dyDescent="0.2">
      <c r="A90" s="2968"/>
      <c r="B90" s="2968"/>
      <c r="C90" s="2968"/>
      <c r="D90" s="2968"/>
      <c r="E90" s="2968"/>
      <c r="F90" s="2968"/>
      <c r="G90" s="2968"/>
      <c r="H90" s="2968"/>
    </row>
    <row r="91" spans="1:9" x14ac:dyDescent="0.2">
      <c r="D91" s="150"/>
    </row>
    <row r="92" spans="1:9" x14ac:dyDescent="0.2">
      <c r="C92" s="159"/>
      <c r="D92" s="150"/>
      <c r="I92">
        <v>175887</v>
      </c>
    </row>
    <row r="93" spans="1:9" x14ac:dyDescent="0.2">
      <c r="B93" s="456"/>
      <c r="C93" s="159"/>
      <c r="D93" s="150"/>
      <c r="E93" s="159"/>
      <c r="F93" s="159"/>
      <c r="G93" s="159"/>
      <c r="H93" s="159"/>
      <c r="I93">
        <v>11089</v>
      </c>
    </row>
    <row r="94" spans="1:9" x14ac:dyDescent="0.2">
      <c r="B94" s="456"/>
      <c r="C94" s="562"/>
      <c r="D94" s="562"/>
      <c r="E94" s="562"/>
      <c r="F94" s="562"/>
      <c r="G94" s="562"/>
      <c r="H94" s="562"/>
      <c r="I94">
        <v>91</v>
      </c>
    </row>
    <row r="95" spans="1:9" x14ac:dyDescent="0.2">
      <c r="C95" s="159"/>
      <c r="D95" s="150"/>
      <c r="E95" s="159"/>
      <c r="F95" s="159"/>
      <c r="G95" s="159"/>
      <c r="H95" s="159"/>
      <c r="I95">
        <v>988</v>
      </c>
    </row>
    <row r="96" spans="1:9" x14ac:dyDescent="0.2">
      <c r="D96" s="150"/>
      <c r="I96" s="402">
        <f>+I92-I93-I94-I95</f>
        <v>163719</v>
      </c>
    </row>
    <row r="97" spans="1:9" x14ac:dyDescent="0.2">
      <c r="C97" s="159"/>
      <c r="D97" s="159"/>
      <c r="E97" s="159"/>
      <c r="F97" s="159"/>
      <c r="G97" s="159"/>
      <c r="H97" s="159"/>
    </row>
    <row r="98" spans="1:9" x14ac:dyDescent="0.2">
      <c r="D98" s="150"/>
    </row>
    <row r="99" spans="1:9" x14ac:dyDescent="0.2">
      <c r="C99" s="562"/>
      <c r="D99" s="562"/>
      <c r="E99" s="562"/>
      <c r="F99" s="562"/>
      <c r="G99" s="562"/>
      <c r="H99" s="562"/>
    </row>
    <row r="100" spans="1:9" x14ac:dyDescent="0.2">
      <c r="C100" s="562"/>
      <c r="D100" s="562"/>
      <c r="E100" s="562"/>
      <c r="F100" s="562"/>
      <c r="G100" s="562"/>
      <c r="H100" s="562"/>
      <c r="I100" s="562"/>
    </row>
    <row r="101" spans="1:9" x14ac:dyDescent="0.2">
      <c r="C101" s="562"/>
      <c r="D101" s="562"/>
      <c r="E101" s="562"/>
      <c r="F101" s="562"/>
      <c r="G101" s="562"/>
      <c r="H101" s="562"/>
    </row>
    <row r="102" spans="1:9" x14ac:dyDescent="0.2">
      <c r="C102" s="562"/>
      <c r="D102" s="562"/>
      <c r="E102" s="562"/>
      <c r="F102" s="562"/>
      <c r="G102" s="562"/>
      <c r="H102" s="562"/>
    </row>
    <row r="103" spans="1:9" x14ac:dyDescent="0.2">
      <c r="C103" s="562"/>
      <c r="D103" s="562"/>
      <c r="E103" s="562"/>
      <c r="F103" s="562"/>
      <c r="G103" s="562"/>
      <c r="H103" s="562"/>
    </row>
    <row r="104" spans="1:9" x14ac:dyDescent="0.2">
      <c r="C104" s="562"/>
      <c r="D104" s="562"/>
      <c r="E104" s="562"/>
      <c r="F104" s="562"/>
      <c r="G104" s="562"/>
      <c r="H104" s="562"/>
    </row>
    <row r="105" spans="1:9" x14ac:dyDescent="0.2">
      <c r="A105" s="638"/>
      <c r="C105" s="562"/>
      <c r="D105" s="562"/>
      <c r="E105" s="562"/>
      <c r="F105" s="562"/>
      <c r="G105" s="562"/>
      <c r="H105" s="562"/>
      <c r="I105" s="562"/>
    </row>
    <row r="106" spans="1:9" x14ac:dyDescent="0.2">
      <c r="C106" s="1339"/>
      <c r="D106" s="1339"/>
      <c r="E106" s="1339"/>
      <c r="F106" s="1339"/>
      <c r="G106" s="1339"/>
      <c r="H106" s="1339"/>
      <c r="I106" s="562"/>
    </row>
    <row r="107" spans="1:9" x14ac:dyDescent="0.2">
      <c r="C107" s="1339"/>
      <c r="D107" s="1339"/>
      <c r="E107" s="1339"/>
      <c r="F107" s="1339"/>
      <c r="G107" s="1339"/>
      <c r="H107" s="1339"/>
      <c r="I107" s="562"/>
    </row>
    <row r="108" spans="1:9" x14ac:dyDescent="0.2">
      <c r="C108" s="1339"/>
      <c r="D108" s="1339"/>
      <c r="E108" s="1339"/>
      <c r="F108" s="1339"/>
      <c r="G108" s="1339"/>
      <c r="H108" s="1339"/>
      <c r="I108" s="562"/>
    </row>
    <row r="109" spans="1:9" x14ac:dyDescent="0.2">
      <c r="C109" s="1339"/>
      <c r="D109" s="1339"/>
      <c r="E109" s="1339"/>
      <c r="F109" s="1339"/>
      <c r="G109" s="1339"/>
      <c r="H109" s="1339"/>
      <c r="I109" s="562"/>
    </row>
    <row r="110" spans="1:9" x14ac:dyDescent="0.2">
      <c r="C110" s="1339"/>
      <c r="D110" s="1339"/>
      <c r="E110" s="1339"/>
      <c r="F110" s="1339"/>
      <c r="G110" s="1339"/>
      <c r="H110" s="1339"/>
      <c r="I110" s="562"/>
    </row>
    <row r="117" spans="3:8" x14ac:dyDescent="0.2">
      <c r="C117" s="159"/>
      <c r="D117" s="159"/>
      <c r="E117" s="159"/>
      <c r="F117" s="159"/>
      <c r="G117" s="159"/>
      <c r="H117" s="159"/>
    </row>
    <row r="118" spans="3:8" x14ac:dyDescent="0.2">
      <c r="C118" s="159"/>
      <c r="D118" s="159"/>
      <c r="E118" s="159"/>
      <c r="F118" s="159"/>
      <c r="G118" s="159"/>
      <c r="H118" s="159"/>
    </row>
    <row r="119" spans="3:8" x14ac:dyDescent="0.2">
      <c r="C119" s="159"/>
      <c r="D119" s="159"/>
      <c r="E119" s="159"/>
      <c r="F119" s="159"/>
      <c r="G119" s="159"/>
      <c r="H119" s="159"/>
    </row>
  </sheetData>
  <mergeCells count="1">
    <mergeCell ref="A90:H90"/>
  </mergeCells>
  <phoneticPr fontId="54" type="noConversion"/>
  <dataValidations count="1">
    <dataValidation type="list" allowBlank="1" showInputMessage="1" showErrorMessage="1" sqref="C25" xr:uid="{00000000-0002-0000-1100-000000000000}">
      <formula1>Combustible</formula1>
    </dataValidation>
  </dataValidations>
  <pageMargins left="0.69" right="0" top="0.22" bottom="0" header="0.19684820647419074" footer="0.11810804899387577"/>
  <pageSetup paperSize="9" scale="5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R103"/>
  <sheetViews>
    <sheetView view="pageBreakPreview" zoomScaleNormal="100" zoomScaleSheetLayoutView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1" sqref="G1:H1"/>
    </sheetView>
  </sheetViews>
  <sheetFormatPr defaultColWidth="9" defaultRowHeight="12.6" x14ac:dyDescent="0.2"/>
  <cols>
    <col min="1" max="1" width="37.7265625" customWidth="1"/>
    <col min="2" max="2" width="9.7265625" style="2" customWidth="1"/>
    <col min="3" max="3" width="18.453125" style="2" hidden="1" customWidth="1"/>
    <col min="4" max="5" width="18.453125" hidden="1" customWidth="1"/>
    <col min="6" max="7" width="18.453125" bestFit="1" customWidth="1"/>
    <col min="8" max="9" width="17.90625" customWidth="1"/>
    <col min="10" max="10" width="19.453125" bestFit="1" customWidth="1"/>
    <col min="11" max="11" width="17.36328125" bestFit="1" customWidth="1"/>
    <col min="12" max="12" width="12.36328125" bestFit="1" customWidth="1"/>
  </cols>
  <sheetData>
    <row r="1" spans="1:11" ht="74.099999999999994" customHeight="1" x14ac:dyDescent="0.3">
      <c r="A1" s="53" t="s">
        <v>1175</v>
      </c>
      <c r="B1" s="131">
        <v>812</v>
      </c>
      <c r="C1" s="156"/>
      <c r="D1" s="415"/>
      <c r="G1" s="2969"/>
      <c r="H1" s="2970"/>
      <c r="I1" s="2695"/>
    </row>
    <row r="2" spans="1:11" ht="18" thickBot="1" x14ac:dyDescent="0.35">
      <c r="A2" s="53"/>
      <c r="B2" s="131"/>
      <c r="C2" s="298"/>
      <c r="D2" s="298"/>
      <c r="E2" s="298"/>
      <c r="F2" s="298"/>
      <c r="G2" s="298"/>
      <c r="H2" s="298"/>
      <c r="I2" s="298"/>
      <c r="J2" s="561"/>
    </row>
    <row r="3" spans="1:11" x14ac:dyDescent="0.2">
      <c r="A3" s="376" t="s">
        <v>27</v>
      </c>
      <c r="B3" s="38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  <c r="I3" s="2697"/>
    </row>
    <row r="4" spans="1:11" ht="13.2" x14ac:dyDescent="0.25">
      <c r="A4" s="377" t="s">
        <v>122</v>
      </c>
      <c r="B4" s="151"/>
      <c r="C4" s="466"/>
      <c r="D4" s="466"/>
      <c r="E4" s="466"/>
      <c r="F4" s="466"/>
      <c r="G4" s="467"/>
      <c r="H4" s="2006"/>
    </row>
    <row r="5" spans="1:11" ht="13.2" x14ac:dyDescent="0.25">
      <c r="A5" s="2046" t="s">
        <v>310</v>
      </c>
      <c r="B5" s="1133"/>
      <c r="C5" s="1125"/>
      <c r="D5" s="1125"/>
      <c r="E5" s="1125"/>
      <c r="F5" s="1125"/>
      <c r="G5" s="90"/>
      <c r="H5" s="48"/>
      <c r="K5" s="2"/>
    </row>
    <row r="6" spans="1:11" x14ac:dyDescent="0.2">
      <c r="A6" s="2037" t="s">
        <v>311</v>
      </c>
      <c r="B6" s="90" t="s">
        <v>312</v>
      </c>
      <c r="C6" s="1174">
        <f>SUM(C7:C15)</f>
        <v>35258161</v>
      </c>
      <c r="D6" s="1174">
        <f t="shared" ref="D6:G6" si="0">SUM(D7:D15)</f>
        <v>50119761.649999999</v>
      </c>
      <c r="E6" s="1174">
        <f t="shared" si="0"/>
        <v>35258161</v>
      </c>
      <c r="F6" s="1174">
        <f t="shared" si="0"/>
        <v>37832061.833333328</v>
      </c>
      <c r="G6" s="1174">
        <f t="shared" si="0"/>
        <v>37832061.833333328</v>
      </c>
      <c r="H6" s="2160">
        <f>SUM(H7:H15)</f>
        <v>37832061.833333328</v>
      </c>
      <c r="I6" s="2004">
        <f>SUM(C6:H6)</f>
        <v>234132269.14999998</v>
      </c>
      <c r="J6" s="821">
        <v>1052423.3962606397</v>
      </c>
      <c r="K6" s="562"/>
    </row>
    <row r="7" spans="1:11" x14ac:dyDescent="0.2">
      <c r="A7" s="2048" t="s">
        <v>753</v>
      </c>
      <c r="B7" s="90"/>
      <c r="C7" s="1169">
        <f>8565597</f>
        <v>8565597</v>
      </c>
      <c r="D7" s="1169">
        <f t="shared" ref="D7:E7" si="1">8565597</f>
        <v>8565597</v>
      </c>
      <c r="E7" s="1169">
        <f t="shared" si="1"/>
        <v>8565597</v>
      </c>
      <c r="F7" s="1169">
        <f>8565597+2573900.83333333</f>
        <v>11139497.83333333</v>
      </c>
      <c r="G7" s="1169">
        <f t="shared" ref="G7:H7" si="2">8565597+2573900.83333333</f>
        <v>11139497.83333333</v>
      </c>
      <c r="H7" s="1169">
        <f t="shared" si="2"/>
        <v>11139497.83333333</v>
      </c>
      <c r="I7" s="2004">
        <f>SUM(C7:H7)</f>
        <v>59115284.499999985</v>
      </c>
      <c r="J7" s="821">
        <v>1052423.3962606397</v>
      </c>
      <c r="K7" s="562"/>
    </row>
    <row r="8" spans="1:11" x14ac:dyDescent="0.2">
      <c r="A8" s="2048" t="s">
        <v>758</v>
      </c>
      <c r="B8" s="90"/>
      <c r="C8" s="1169">
        <v>5966667</v>
      </c>
      <c r="D8" s="1169">
        <v>5966667</v>
      </c>
      <c r="E8" s="1169">
        <v>5966667</v>
      </c>
      <c r="F8" s="1169">
        <v>5966667</v>
      </c>
      <c r="G8" s="1169">
        <v>5966667</v>
      </c>
      <c r="H8" s="1169">
        <v>5966667</v>
      </c>
      <c r="I8" s="2004">
        <f t="shared" ref="I8:I69" si="3">SUM(C8:H8)</f>
        <v>35800002</v>
      </c>
      <c r="J8" s="821">
        <v>1052423.3962606397</v>
      </c>
      <c r="K8" s="562"/>
    </row>
    <row r="9" spans="1:11" x14ac:dyDescent="0.2">
      <c r="A9" s="2048" t="s">
        <v>754</v>
      </c>
      <c r="B9" s="90"/>
      <c r="C9" s="1169">
        <v>2686431</v>
      </c>
      <c r="D9" s="1169">
        <v>2686431</v>
      </c>
      <c r="E9" s="1169">
        <v>2686431</v>
      </c>
      <c r="F9" s="1169">
        <v>2686431</v>
      </c>
      <c r="G9" s="1169">
        <v>2686431</v>
      </c>
      <c r="H9" s="1169">
        <v>2686431</v>
      </c>
      <c r="I9" s="2004">
        <f t="shared" si="3"/>
        <v>16118586</v>
      </c>
      <c r="J9" s="821"/>
      <c r="K9" s="562"/>
    </row>
    <row r="10" spans="1:11" x14ac:dyDescent="0.2">
      <c r="A10" s="2048" t="s">
        <v>755</v>
      </c>
      <c r="B10" s="90"/>
      <c r="C10" s="1169">
        <v>796559</v>
      </c>
      <c r="D10" s="1169">
        <v>796559</v>
      </c>
      <c r="E10" s="1169">
        <v>796559</v>
      </c>
      <c r="F10" s="1169">
        <v>796559</v>
      </c>
      <c r="G10" s="1169">
        <v>796559</v>
      </c>
      <c r="H10" s="1169">
        <v>796559</v>
      </c>
      <c r="I10" s="2004">
        <f t="shared" si="3"/>
        <v>4779354</v>
      </c>
      <c r="J10" s="821"/>
      <c r="K10" s="562"/>
    </row>
    <row r="11" spans="1:11" x14ac:dyDescent="0.2">
      <c r="A11" s="2048" t="s">
        <v>752</v>
      </c>
      <c r="B11" s="90"/>
      <c r="C11" s="1169">
        <f>1763860*0.2</f>
        <v>352772</v>
      </c>
      <c r="D11" s="1169">
        <f t="shared" ref="D11:H11" si="4">1763860*0.2</f>
        <v>352772</v>
      </c>
      <c r="E11" s="1169">
        <f t="shared" si="4"/>
        <v>352772</v>
      </c>
      <c r="F11" s="1169">
        <f t="shared" si="4"/>
        <v>352772</v>
      </c>
      <c r="G11" s="1169">
        <f t="shared" si="4"/>
        <v>352772</v>
      </c>
      <c r="H11" s="1169">
        <f t="shared" si="4"/>
        <v>352772</v>
      </c>
      <c r="I11" s="2004">
        <f t="shared" si="3"/>
        <v>2116632</v>
      </c>
      <c r="J11" s="821"/>
      <c r="K11" s="562"/>
    </row>
    <row r="12" spans="1:11" x14ac:dyDescent="0.2">
      <c r="A12" s="2048" t="s">
        <v>757</v>
      </c>
      <c r="B12" s="90"/>
      <c r="C12" s="1169">
        <v>5272820</v>
      </c>
      <c r="D12" s="1169">
        <f>5272820+14861600.65</f>
        <v>20134420.649999999</v>
      </c>
      <c r="E12" s="1169">
        <v>5272820</v>
      </c>
      <c r="F12" s="1169">
        <v>5272820</v>
      </c>
      <c r="G12" s="1169">
        <v>5272820</v>
      </c>
      <c r="H12" s="1169">
        <v>5272820</v>
      </c>
      <c r="I12" s="2004">
        <f t="shared" si="3"/>
        <v>46498520.649999999</v>
      </c>
      <c r="J12" s="281"/>
      <c r="K12" s="562"/>
    </row>
    <row r="13" spans="1:11" x14ac:dyDescent="0.2">
      <c r="A13" s="2048" t="s">
        <v>756</v>
      </c>
      <c r="B13" s="90"/>
      <c r="C13" s="2721">
        <v>0</v>
      </c>
      <c r="D13" s="2721">
        <v>0</v>
      </c>
      <c r="E13" s="2721">
        <v>0</v>
      </c>
      <c r="F13" s="2721">
        <v>0</v>
      </c>
      <c r="G13" s="2721">
        <v>0</v>
      </c>
      <c r="H13" s="2721">
        <v>0</v>
      </c>
      <c r="I13" s="2004">
        <f t="shared" si="3"/>
        <v>0</v>
      </c>
      <c r="J13" s="281">
        <f>SUM(C13:H13)</f>
        <v>0</v>
      </c>
      <c r="K13" s="562"/>
    </row>
    <row r="14" spans="1:11" x14ac:dyDescent="0.2">
      <c r="A14" s="2048" t="s">
        <v>814</v>
      </c>
      <c r="B14" s="90"/>
      <c r="C14" s="1169">
        <v>11617315</v>
      </c>
      <c r="D14" s="1169">
        <v>11617315</v>
      </c>
      <c r="E14" s="1169">
        <v>11617315</v>
      </c>
      <c r="F14" s="1169">
        <v>11617315</v>
      </c>
      <c r="G14" s="1169">
        <v>11617315</v>
      </c>
      <c r="H14" s="1169">
        <v>11617315</v>
      </c>
      <c r="I14" s="2004">
        <f t="shared" si="3"/>
        <v>69703890</v>
      </c>
      <c r="J14" s="281"/>
      <c r="K14" s="562"/>
    </row>
    <row r="15" spans="1:11" x14ac:dyDescent="0.2">
      <c r="A15" s="2048" t="s">
        <v>815</v>
      </c>
      <c r="B15" s="90"/>
      <c r="C15" s="1169">
        <v>0</v>
      </c>
      <c r="D15" s="1169">
        <v>0</v>
      </c>
      <c r="E15" s="1169">
        <v>0</v>
      </c>
      <c r="F15" s="1169">
        <v>0</v>
      </c>
      <c r="G15" s="1169">
        <v>0</v>
      </c>
      <c r="H15" s="1169">
        <v>0</v>
      </c>
      <c r="I15" s="2004">
        <f t="shared" si="3"/>
        <v>0</v>
      </c>
      <c r="J15" s="281"/>
      <c r="K15" s="562"/>
    </row>
    <row r="16" spans="1:11" ht="13.5" customHeight="1" x14ac:dyDescent="0.2">
      <c r="A16" s="2037" t="s">
        <v>313</v>
      </c>
      <c r="B16" s="90" t="s">
        <v>312</v>
      </c>
      <c r="C16" s="1169">
        <v>2558957</v>
      </c>
      <c r="D16" s="1169">
        <v>2558957</v>
      </c>
      <c r="E16" s="1169">
        <v>2558957</v>
      </c>
      <c r="F16" s="1169">
        <f>5906076.18+723580.59175759</f>
        <v>6629656.7717575897</v>
      </c>
      <c r="G16" s="1169">
        <f t="shared" ref="G16:H16" si="5">5906076.18+723580.59175759</f>
        <v>6629656.7717575897</v>
      </c>
      <c r="H16" s="1169">
        <f t="shared" si="5"/>
        <v>6629656.7717575897</v>
      </c>
      <c r="I16" s="2004">
        <f t="shared" si="3"/>
        <v>27565841.315272771</v>
      </c>
      <c r="J16" s="866"/>
      <c r="K16" s="562"/>
    </row>
    <row r="17" spans="1:13" x14ac:dyDescent="0.2">
      <c r="A17" s="2037" t="s">
        <v>314</v>
      </c>
      <c r="B17" s="90" t="s">
        <v>312</v>
      </c>
      <c r="C17" s="1127">
        <v>4413395.96</v>
      </c>
      <c r="D17" s="1127">
        <v>4413395.96</v>
      </c>
      <c r="E17" s="1127">
        <v>4413395.96</v>
      </c>
      <c r="F17" s="1127">
        <f>4413395.96+782937.30345331</f>
        <v>5196333.2634533104</v>
      </c>
      <c r="G17" s="1127">
        <f t="shared" ref="G17:H17" si="6">4413395.96+782937.30345331</f>
        <v>5196333.2634533104</v>
      </c>
      <c r="H17" s="1127">
        <f t="shared" si="6"/>
        <v>5196333.2634533104</v>
      </c>
      <c r="I17" s="2004">
        <f t="shared" si="3"/>
        <v>28829187.670359932</v>
      </c>
      <c r="J17" s="281">
        <f>SUM(C17:H17)</f>
        <v>28829187.670359932</v>
      </c>
      <c r="K17" s="562"/>
    </row>
    <row r="18" spans="1:13" s="157" customFormat="1" x14ac:dyDescent="0.2">
      <c r="A18" s="2122" t="s">
        <v>315</v>
      </c>
      <c r="B18" s="1159"/>
      <c r="C18" s="1316"/>
      <c r="D18" s="1316"/>
      <c r="E18" s="1316"/>
      <c r="F18" s="1316"/>
      <c r="G18" s="1316"/>
      <c r="H18" s="2051"/>
      <c r="I18" s="2004">
        <f t="shared" si="3"/>
        <v>0</v>
      </c>
      <c r="J18" s="348"/>
    </row>
    <row r="19" spans="1:13" s="157" customFormat="1" x14ac:dyDescent="0.2">
      <c r="A19" s="2122" t="s">
        <v>316</v>
      </c>
      <c r="B19" s="1159"/>
      <c r="C19" s="1137"/>
      <c r="D19" s="1137"/>
      <c r="E19" s="1137"/>
      <c r="F19" s="1137"/>
      <c r="G19" s="1137"/>
      <c r="H19" s="2071"/>
      <c r="I19" s="2004">
        <f t="shared" si="3"/>
        <v>0</v>
      </c>
    </row>
    <row r="20" spans="1:13" x14ac:dyDescent="0.2">
      <c r="A20" s="2037"/>
      <c r="B20" s="90"/>
      <c r="C20" s="1125"/>
      <c r="D20" s="1125"/>
      <c r="E20" s="1125"/>
      <c r="F20" s="1125"/>
      <c r="G20" s="1125"/>
      <c r="H20" s="2123"/>
      <c r="I20" s="2004">
        <f t="shared" si="3"/>
        <v>0</v>
      </c>
    </row>
    <row r="21" spans="1:13" ht="13.2" x14ac:dyDescent="0.25">
      <c r="A21" s="2046" t="s">
        <v>317</v>
      </c>
      <c r="B21" s="1133"/>
      <c r="C21" s="1125"/>
      <c r="D21" s="1125"/>
      <c r="E21" s="1125"/>
      <c r="F21" s="1125"/>
      <c r="G21" s="1125"/>
      <c r="H21" s="2123"/>
      <c r="I21" s="2004">
        <f t="shared" si="3"/>
        <v>0</v>
      </c>
    </row>
    <row r="22" spans="1:13" x14ac:dyDescent="0.2">
      <c r="A22" s="2037" t="s">
        <v>318</v>
      </c>
      <c r="B22" s="90" t="s">
        <v>312</v>
      </c>
      <c r="C22" s="2721">
        <v>0</v>
      </c>
      <c r="D22" s="2721">
        <v>0</v>
      </c>
      <c r="E22" s="2721">
        <v>0</v>
      </c>
      <c r="F22" s="2721">
        <v>0</v>
      </c>
      <c r="G22" s="2721">
        <v>0</v>
      </c>
      <c r="H22" s="2721">
        <v>0</v>
      </c>
      <c r="I22" s="2004">
        <f t="shared" si="3"/>
        <v>0</v>
      </c>
      <c r="J22" s="150">
        <f>SUM(C22:H22)</f>
        <v>0</v>
      </c>
      <c r="K22" s="2"/>
    </row>
    <row r="23" spans="1:13" x14ac:dyDescent="0.2">
      <c r="A23" s="2037"/>
      <c r="B23" s="90"/>
      <c r="C23" s="1125"/>
      <c r="D23" s="1125"/>
      <c r="E23" s="1125"/>
      <c r="F23" s="1125"/>
      <c r="G23" s="90"/>
      <c r="H23" s="48"/>
      <c r="I23" s="2004">
        <f t="shared" si="3"/>
        <v>0</v>
      </c>
    </row>
    <row r="24" spans="1:13" ht="13.2" x14ac:dyDescent="0.25">
      <c r="A24" s="147" t="s">
        <v>24</v>
      </c>
      <c r="B24" s="151"/>
      <c r="C24" s="1125"/>
      <c r="D24" s="1125"/>
      <c r="E24" s="1125"/>
      <c r="F24" s="1125"/>
      <c r="G24" s="90"/>
      <c r="H24" s="48"/>
      <c r="I24" s="2004">
        <f t="shared" si="3"/>
        <v>0</v>
      </c>
      <c r="J24" s="415"/>
      <c r="K24" s="415"/>
      <c r="L24" s="415"/>
      <c r="M24" s="415"/>
    </row>
    <row r="25" spans="1:13" x14ac:dyDescent="0.2">
      <c r="A25" s="2055" t="s">
        <v>89</v>
      </c>
      <c r="B25" s="518" t="s">
        <v>393</v>
      </c>
      <c r="C25" s="1125"/>
      <c r="D25" s="1125"/>
      <c r="E25" s="1125"/>
      <c r="F25" s="1125"/>
      <c r="G25" s="90"/>
      <c r="H25" s="2053"/>
      <c r="I25" s="2004">
        <f t="shared" si="3"/>
        <v>0</v>
      </c>
      <c r="J25" s="2"/>
    </row>
    <row r="26" spans="1:13" x14ac:dyDescent="0.2">
      <c r="A26" s="2055" t="s">
        <v>100</v>
      </c>
      <c r="B26" s="90" t="s">
        <v>371</v>
      </c>
      <c r="C26" s="143"/>
      <c r="D26" s="1125"/>
      <c r="E26" s="1125"/>
      <c r="F26" s="1125"/>
      <c r="G26" s="90"/>
      <c r="H26" s="2053"/>
      <c r="I26" s="2004">
        <f t="shared" si="3"/>
        <v>0</v>
      </c>
      <c r="J26" s="2"/>
    </row>
    <row r="27" spans="1:13" x14ac:dyDescent="0.2">
      <c r="A27" s="2055" t="s">
        <v>99</v>
      </c>
      <c r="B27" s="90" t="s">
        <v>372</v>
      </c>
      <c r="C27" s="143"/>
      <c r="D27" s="1125"/>
      <c r="E27" s="1125"/>
      <c r="F27" s="1125"/>
      <c r="G27" s="90"/>
      <c r="H27" s="2053"/>
      <c r="I27" s="2004">
        <f t="shared" si="3"/>
        <v>0</v>
      </c>
      <c r="J27" s="2"/>
    </row>
    <row r="28" spans="1:13" x14ac:dyDescent="0.2">
      <c r="A28" s="2037" t="s">
        <v>414</v>
      </c>
      <c r="B28" s="90" t="s">
        <v>374</v>
      </c>
      <c r="C28" s="2283">
        <f>+Inputs!C67</f>
        <v>279</v>
      </c>
      <c r="D28" s="2283">
        <f>+Inputs!D67</f>
        <v>277</v>
      </c>
      <c r="E28" s="2283">
        <f>+Inputs!E67</f>
        <v>277</v>
      </c>
      <c r="F28" s="2283">
        <f>+Inputs!F67</f>
        <v>382</v>
      </c>
      <c r="G28" s="2283">
        <f>+Inputs!G67</f>
        <v>382</v>
      </c>
      <c r="H28" s="2283">
        <f>+Inputs!H67</f>
        <v>382</v>
      </c>
      <c r="I28" s="2004">
        <f t="shared" si="3"/>
        <v>1979</v>
      </c>
      <c r="J28" s="158"/>
    </row>
    <row r="29" spans="1:13" ht="13.2" x14ac:dyDescent="0.25">
      <c r="A29" s="465" t="s">
        <v>816</v>
      </c>
      <c r="B29" s="1165" t="s">
        <v>791</v>
      </c>
      <c r="C29" s="2716">
        <v>0.25929999999999997</v>
      </c>
      <c r="D29" s="2716">
        <v>0.25929999999999997</v>
      </c>
      <c r="E29" s="2716">
        <v>0.25929999999999997</v>
      </c>
      <c r="F29" s="2716">
        <v>0.25929999999999997</v>
      </c>
      <c r="G29" s="2716">
        <v>0.25929999999999997</v>
      </c>
      <c r="H29" s="2716">
        <v>0.25929999999999997</v>
      </c>
      <c r="I29" s="2004">
        <f t="shared" si="3"/>
        <v>1.5558000000000001</v>
      </c>
      <c r="J29" s="458"/>
    </row>
    <row r="30" spans="1:13" s="157" customFormat="1" x14ac:dyDescent="0.2">
      <c r="A30" s="2122" t="s">
        <v>315</v>
      </c>
      <c r="B30" s="1159"/>
      <c r="C30" s="1162">
        <f>C18</f>
        <v>0</v>
      </c>
      <c r="D30" s="1162">
        <f t="shared" ref="D30:H31" si="7">D18</f>
        <v>0</v>
      </c>
      <c r="E30" s="1162">
        <f t="shared" si="7"/>
        <v>0</v>
      </c>
      <c r="F30" s="1162">
        <f t="shared" si="7"/>
        <v>0</v>
      </c>
      <c r="G30" s="1162">
        <f t="shared" si="7"/>
        <v>0</v>
      </c>
      <c r="H30" s="2124">
        <f t="shared" si="7"/>
        <v>0</v>
      </c>
      <c r="I30" s="2004">
        <f t="shared" si="3"/>
        <v>0</v>
      </c>
    </row>
    <row r="31" spans="1:13" s="157" customFormat="1" x14ac:dyDescent="0.2">
      <c r="A31" s="2122" t="s">
        <v>316</v>
      </c>
      <c r="B31" s="1159"/>
      <c r="C31" s="1161">
        <f>C19</f>
        <v>0</v>
      </c>
      <c r="D31" s="1161">
        <f t="shared" si="7"/>
        <v>0</v>
      </c>
      <c r="E31" s="1161">
        <f t="shared" si="7"/>
        <v>0</v>
      </c>
      <c r="F31" s="1161">
        <f t="shared" si="7"/>
        <v>0</v>
      </c>
      <c r="G31" s="1161">
        <f t="shared" si="7"/>
        <v>0</v>
      </c>
      <c r="H31" s="2125">
        <f t="shared" si="7"/>
        <v>0</v>
      </c>
      <c r="I31" s="2004">
        <f t="shared" si="3"/>
        <v>0</v>
      </c>
    </row>
    <row r="32" spans="1:13" ht="13.2" x14ac:dyDescent="0.25">
      <c r="A32" s="1302" t="s">
        <v>397</v>
      </c>
      <c r="B32" s="1165" t="s">
        <v>398</v>
      </c>
      <c r="C32" s="1129"/>
      <c r="D32" s="1129"/>
      <c r="E32" s="1129"/>
      <c r="F32" s="1129"/>
      <c r="G32" s="1129"/>
      <c r="H32" s="2050"/>
      <c r="I32" s="2004">
        <f t="shared" si="3"/>
        <v>0</v>
      </c>
    </row>
    <row r="33" spans="1:11" ht="13.2" x14ac:dyDescent="0.25">
      <c r="A33" s="1302" t="s">
        <v>399</v>
      </c>
      <c r="B33" s="90" t="s">
        <v>320</v>
      </c>
      <c r="C33" s="1163">
        <f>C28*C29*C34*1000000</f>
        <v>0</v>
      </c>
      <c r="D33" s="1163">
        <f t="shared" ref="D33:H33" si="8">D28*D29*D34*1000000</f>
        <v>0</v>
      </c>
      <c r="E33" s="1163">
        <f t="shared" si="8"/>
        <v>0</v>
      </c>
      <c r="F33" s="1163">
        <f t="shared" si="8"/>
        <v>3264457916.3111992</v>
      </c>
      <c r="G33" s="1163">
        <f t="shared" si="8"/>
        <v>0</v>
      </c>
      <c r="H33" s="2126">
        <f t="shared" si="8"/>
        <v>0</v>
      </c>
      <c r="I33" s="2004">
        <f t="shared" si="3"/>
        <v>3264457916.3111992</v>
      </c>
      <c r="J33" s="241"/>
    </row>
    <row r="34" spans="1:11" x14ac:dyDescent="0.2">
      <c r="A34" s="2037" t="s">
        <v>642</v>
      </c>
      <c r="B34" s="1174" t="s">
        <v>56</v>
      </c>
      <c r="C34" s="143">
        <f>+DispatchSchedule!F13</f>
        <v>0</v>
      </c>
      <c r="D34" s="143">
        <f>+DispatchSchedule!G13</f>
        <v>0</v>
      </c>
      <c r="E34" s="143">
        <f>+DispatchSchedule!H13</f>
        <v>0</v>
      </c>
      <c r="F34" s="143">
        <f>+DispatchSchedule!I13</f>
        <v>32.956811999999999</v>
      </c>
      <c r="G34" s="143">
        <f>+DispatchSchedule!J13</f>
        <v>0</v>
      </c>
      <c r="H34" s="2062">
        <f>+DispatchSchedule!K13</f>
        <v>0</v>
      </c>
      <c r="I34" s="2004">
        <f t="shared" si="3"/>
        <v>32.956811999999999</v>
      </c>
      <c r="J34" s="510"/>
    </row>
    <row r="35" spans="1:11" x14ac:dyDescent="0.2">
      <c r="A35" s="2037"/>
      <c r="B35" s="90"/>
      <c r="C35" s="143"/>
      <c r="D35" s="143"/>
      <c r="E35" s="143"/>
      <c r="F35" s="143"/>
      <c r="G35" s="143"/>
      <c r="H35" s="2062"/>
      <c r="I35" s="2004">
        <f t="shared" si="3"/>
        <v>0</v>
      </c>
      <c r="J35" s="510"/>
    </row>
    <row r="36" spans="1:11" x14ac:dyDescent="0.2">
      <c r="A36" s="2037"/>
      <c r="B36" s="90"/>
      <c r="C36" s="90"/>
      <c r="D36" s="47"/>
      <c r="E36" s="47"/>
      <c r="F36" s="47"/>
      <c r="G36" s="47"/>
      <c r="H36" s="48"/>
      <c r="I36" s="2004">
        <f t="shared" si="3"/>
        <v>0</v>
      </c>
    </row>
    <row r="37" spans="1:11" ht="13.2" x14ac:dyDescent="0.25">
      <c r="A37" s="147" t="s">
        <v>132</v>
      </c>
      <c r="B37" s="151"/>
      <c r="C37" s="1125"/>
      <c r="D37" s="1125"/>
      <c r="E37" s="1125"/>
      <c r="F37" s="1125"/>
      <c r="G37" s="90"/>
      <c r="H37" s="48"/>
      <c r="I37" s="2004">
        <f t="shared" si="3"/>
        <v>0</v>
      </c>
    </row>
    <row r="38" spans="1:11" x14ac:dyDescent="0.2">
      <c r="A38" s="2037" t="s">
        <v>376</v>
      </c>
      <c r="B38" s="90" t="s">
        <v>312</v>
      </c>
      <c r="C38" s="2885">
        <v>4905000</v>
      </c>
      <c r="D38" s="2885">
        <v>4905000</v>
      </c>
      <c r="E38" s="2885">
        <v>4905000</v>
      </c>
      <c r="F38" s="2885">
        <v>4905000</v>
      </c>
      <c r="G38" s="2885">
        <v>4905000</v>
      </c>
      <c r="H38" s="2885">
        <v>4905000</v>
      </c>
      <c r="I38" s="2004">
        <f t="shared" si="3"/>
        <v>29430000</v>
      </c>
      <c r="J38" s="150">
        <f>SUM(C38:H38)</f>
        <v>29430000</v>
      </c>
    </row>
    <row r="39" spans="1:11" x14ac:dyDescent="0.2">
      <c r="A39" s="2037" t="s">
        <v>376</v>
      </c>
      <c r="B39" s="90" t="s">
        <v>377</v>
      </c>
      <c r="C39" s="1129"/>
      <c r="D39" s="1129"/>
      <c r="E39" s="1129"/>
      <c r="F39" s="1129"/>
      <c r="G39" s="1129"/>
      <c r="H39" s="2050"/>
      <c r="I39" s="2004">
        <f t="shared" si="3"/>
        <v>0</v>
      </c>
    </row>
    <row r="40" spans="1:11" s="157" customFormat="1" x14ac:dyDescent="0.2">
      <c r="A40" s="2122" t="s">
        <v>315</v>
      </c>
      <c r="B40" s="1159"/>
      <c r="C40" s="1168"/>
      <c r="D40" s="1168">
        <v>0</v>
      </c>
      <c r="E40" s="1168">
        <v>0</v>
      </c>
      <c r="F40" s="1168">
        <v>0</v>
      </c>
      <c r="G40" s="1168">
        <v>0</v>
      </c>
      <c r="H40" s="2129">
        <v>0</v>
      </c>
      <c r="I40" s="2004">
        <f t="shared" si="3"/>
        <v>0</v>
      </c>
    </row>
    <row r="41" spans="1:11" s="157" customFormat="1" x14ac:dyDescent="0.2">
      <c r="A41" s="2122" t="s">
        <v>316</v>
      </c>
      <c r="B41" s="1159"/>
      <c r="C41" s="1168"/>
      <c r="D41" s="1168">
        <v>0</v>
      </c>
      <c r="E41" s="1168">
        <v>0</v>
      </c>
      <c r="F41" s="1168">
        <v>0</v>
      </c>
      <c r="G41" s="1168">
        <v>0</v>
      </c>
      <c r="H41" s="2129">
        <v>0</v>
      </c>
      <c r="I41" s="2004">
        <f t="shared" si="3"/>
        <v>0</v>
      </c>
    </row>
    <row r="42" spans="1:11" x14ac:dyDescent="0.2">
      <c r="A42" s="2037" t="s">
        <v>378</v>
      </c>
      <c r="B42" s="90"/>
      <c r="C42" s="1140"/>
      <c r="D42" s="1125"/>
      <c r="E42" s="1125"/>
      <c r="F42" s="1125"/>
      <c r="G42" s="90"/>
      <c r="H42" s="2058"/>
      <c r="I42" s="2004">
        <f t="shared" si="3"/>
        <v>0</v>
      </c>
    </row>
    <row r="43" spans="1:11" x14ac:dyDescent="0.2">
      <c r="A43" s="2037" t="s">
        <v>379</v>
      </c>
      <c r="B43" s="90"/>
      <c r="C43" s="1140"/>
      <c r="D43" s="1125"/>
      <c r="E43" s="1125"/>
      <c r="F43" s="1125"/>
      <c r="G43" s="90"/>
      <c r="H43" s="2058"/>
      <c r="I43" s="2004">
        <f t="shared" si="3"/>
        <v>0</v>
      </c>
    </row>
    <row r="44" spans="1:11" ht="13.2" x14ac:dyDescent="0.25">
      <c r="A44" s="147" t="s">
        <v>380</v>
      </c>
      <c r="B44" s="90"/>
      <c r="C44" s="1125"/>
      <c r="D44" s="1125"/>
      <c r="E44" s="1125"/>
      <c r="F44" s="1125"/>
      <c r="G44" s="90"/>
      <c r="H44" s="2059"/>
      <c r="I44" s="2004">
        <f t="shared" si="3"/>
        <v>0</v>
      </c>
    </row>
    <row r="45" spans="1:11" x14ac:dyDescent="0.2">
      <c r="A45" s="2037" t="s">
        <v>571</v>
      </c>
      <c r="B45" s="90" t="s">
        <v>411</v>
      </c>
      <c r="C45" s="1169">
        <v>7391000</v>
      </c>
      <c r="D45" s="1169">
        <v>7391000</v>
      </c>
      <c r="E45" s="1169">
        <v>7391000</v>
      </c>
      <c r="F45" s="1169">
        <v>7391000</v>
      </c>
      <c r="G45" s="1169">
        <v>7391000</v>
      </c>
      <c r="H45" s="1169">
        <v>7391000</v>
      </c>
      <c r="I45" s="2004">
        <f t="shared" si="3"/>
        <v>44346000</v>
      </c>
      <c r="J45" s="183"/>
      <c r="K45" s="653"/>
    </row>
    <row r="46" spans="1:11" x14ac:dyDescent="0.2">
      <c r="A46" s="2037" t="s">
        <v>572</v>
      </c>
      <c r="B46" s="90" t="s">
        <v>411</v>
      </c>
      <c r="C46" s="1169">
        <v>18861000</v>
      </c>
      <c r="D46" s="1169">
        <v>18861000</v>
      </c>
      <c r="E46" s="1169">
        <v>18861000</v>
      </c>
      <c r="F46" s="1169">
        <v>18861000</v>
      </c>
      <c r="G46" s="1169">
        <v>18861000</v>
      </c>
      <c r="H46" s="1169">
        <v>18861000</v>
      </c>
      <c r="I46" s="2004">
        <f t="shared" si="3"/>
        <v>113166000</v>
      </c>
      <c r="J46" s="183"/>
      <c r="K46" s="653"/>
    </row>
    <row r="47" spans="1:11" ht="12.75" customHeight="1" x14ac:dyDescent="0.2">
      <c r="A47" s="2037" t="s">
        <v>573</v>
      </c>
      <c r="B47" s="90" t="s">
        <v>411</v>
      </c>
      <c r="C47" s="1169">
        <v>23167000</v>
      </c>
      <c r="D47" s="1169">
        <v>23167000</v>
      </c>
      <c r="E47" s="1169">
        <v>23167000</v>
      </c>
      <c r="F47" s="1169">
        <v>23167000</v>
      </c>
      <c r="G47" s="1169">
        <v>23167000</v>
      </c>
      <c r="H47" s="1169">
        <v>23167000</v>
      </c>
      <c r="I47" s="2004">
        <f t="shared" si="3"/>
        <v>139002000</v>
      </c>
      <c r="J47" s="183"/>
      <c r="K47" s="653"/>
    </row>
    <row r="48" spans="1:11" ht="12.75" customHeight="1" x14ac:dyDescent="0.2">
      <c r="A48" s="465" t="s">
        <v>575</v>
      </c>
      <c r="B48" s="90" t="s">
        <v>411</v>
      </c>
      <c r="C48" s="1169">
        <v>5165000</v>
      </c>
      <c r="D48" s="1169">
        <v>5165000</v>
      </c>
      <c r="E48" s="1169">
        <v>5165000</v>
      </c>
      <c r="F48" s="1169">
        <v>5165000</v>
      </c>
      <c r="G48" s="1169">
        <v>5165000</v>
      </c>
      <c r="H48" s="1169">
        <v>5165000</v>
      </c>
      <c r="I48" s="2004">
        <f t="shared" si="3"/>
        <v>30990000</v>
      </c>
      <c r="J48" s="183"/>
    </row>
    <row r="49" spans="1:18" x14ac:dyDescent="0.2">
      <c r="A49" s="465" t="s">
        <v>1184</v>
      </c>
      <c r="B49" s="90" t="s">
        <v>385</v>
      </c>
      <c r="C49" s="1169"/>
      <c r="D49" s="1169"/>
      <c r="E49" s="1169"/>
      <c r="F49" s="1169">
        <v>1</v>
      </c>
      <c r="G49" s="1169"/>
      <c r="H49" s="1169"/>
      <c r="I49" s="2004">
        <f t="shared" si="3"/>
        <v>1</v>
      </c>
    </row>
    <row r="50" spans="1:18" x14ac:dyDescent="0.2">
      <c r="A50" s="465" t="s">
        <v>1185</v>
      </c>
      <c r="B50" s="514" t="s">
        <v>385</v>
      </c>
      <c r="C50" s="1169">
        <v>0</v>
      </c>
      <c r="D50" s="1169">
        <v>0</v>
      </c>
      <c r="E50" s="1169"/>
      <c r="F50" s="1169"/>
      <c r="G50" s="1169"/>
      <c r="H50" s="2049"/>
      <c r="I50" s="2004">
        <f t="shared" si="3"/>
        <v>0</v>
      </c>
    </row>
    <row r="51" spans="1:18" x14ac:dyDescent="0.2">
      <c r="A51" s="2262" t="s">
        <v>1186</v>
      </c>
      <c r="B51" s="90" t="s">
        <v>385</v>
      </c>
      <c r="C51" s="1169"/>
      <c r="D51" s="1169"/>
      <c r="E51" s="1169"/>
      <c r="F51" s="1169"/>
      <c r="G51" s="1169"/>
      <c r="H51" s="2049"/>
      <c r="I51" s="2004">
        <f t="shared" si="3"/>
        <v>0</v>
      </c>
    </row>
    <row r="52" spans="1:18" x14ac:dyDescent="0.2">
      <c r="A52" s="2262" t="s">
        <v>1080</v>
      </c>
      <c r="B52" s="90" t="s">
        <v>385</v>
      </c>
      <c r="C52" s="1169">
        <v>2</v>
      </c>
      <c r="D52" s="1169">
        <v>2</v>
      </c>
      <c r="E52" s="1169">
        <v>4</v>
      </c>
      <c r="F52" s="1169">
        <v>4</v>
      </c>
      <c r="G52" s="1169"/>
      <c r="H52" s="2049"/>
      <c r="I52" s="2004">
        <f t="shared" si="3"/>
        <v>12</v>
      </c>
    </row>
    <row r="53" spans="1:18" x14ac:dyDescent="0.2">
      <c r="A53" s="2037"/>
      <c r="B53" s="90"/>
      <c r="C53" s="1125"/>
      <c r="D53" s="1125"/>
      <c r="E53" s="1125"/>
      <c r="F53" s="1125"/>
      <c r="G53" s="90"/>
      <c r="H53" s="2060"/>
      <c r="I53" s="2004">
        <f t="shared" si="3"/>
        <v>0</v>
      </c>
    </row>
    <row r="54" spans="1:18" ht="13.2" x14ac:dyDescent="0.25">
      <c r="A54" s="2037" t="s">
        <v>148</v>
      </c>
      <c r="B54" s="151" t="s">
        <v>320</v>
      </c>
      <c r="C54" s="2831">
        <f t="shared" ref="C54:H54" si="9">C6+C16+C17+C22</f>
        <v>42230513.960000001</v>
      </c>
      <c r="D54" s="2831">
        <f t="shared" si="9"/>
        <v>57092114.609999999</v>
      </c>
      <c r="E54" s="2831">
        <f t="shared" si="9"/>
        <v>42230513.960000001</v>
      </c>
      <c r="F54" s="2831">
        <f t="shared" si="9"/>
        <v>49658051.868544228</v>
      </c>
      <c r="G54" s="2831">
        <f t="shared" si="9"/>
        <v>49658051.868544228</v>
      </c>
      <c r="H54" s="2829">
        <f t="shared" si="9"/>
        <v>49658051.868544228</v>
      </c>
      <c r="I54" s="2004">
        <f t="shared" si="3"/>
        <v>290527298.13563269</v>
      </c>
      <c r="J54" s="183"/>
      <c r="L54" s="82"/>
      <c r="M54" s="134"/>
      <c r="N54" s="134"/>
      <c r="O54" s="134"/>
      <c r="P54" s="134"/>
      <c r="Q54" s="134"/>
      <c r="R54" s="134"/>
    </row>
    <row r="55" spans="1:18" ht="13.2" x14ac:dyDescent="0.25">
      <c r="A55" s="2037" t="s">
        <v>149</v>
      </c>
      <c r="B55" s="151" t="s">
        <v>320</v>
      </c>
      <c r="C55" s="1125">
        <f>C33+C38</f>
        <v>4905000</v>
      </c>
      <c r="D55" s="1125">
        <f t="shared" ref="D55:H55" si="10">D33+D38</f>
        <v>4905000</v>
      </c>
      <c r="E55" s="1125">
        <f t="shared" si="10"/>
        <v>4905000</v>
      </c>
      <c r="F55" s="1125">
        <f t="shared" si="10"/>
        <v>3269362916.3111992</v>
      </c>
      <c r="G55" s="1125">
        <f t="shared" si="10"/>
        <v>4905000</v>
      </c>
      <c r="H55" s="2123">
        <f t="shared" si="10"/>
        <v>4905000</v>
      </c>
      <c r="I55" s="2004">
        <f t="shared" si="3"/>
        <v>3293887916.3111992</v>
      </c>
      <c r="L55" s="82"/>
      <c r="M55" s="134"/>
      <c r="N55" s="134"/>
      <c r="O55" s="134"/>
      <c r="P55" s="134"/>
      <c r="Q55" s="134"/>
      <c r="R55" s="134"/>
    </row>
    <row r="56" spans="1:18" ht="13.2" x14ac:dyDescent="0.25">
      <c r="A56" s="2037" t="s">
        <v>387</v>
      </c>
      <c r="B56" s="151" t="s">
        <v>320</v>
      </c>
      <c r="C56" s="1176">
        <f>C48*C49+C45*C50+C46*C51+C47*C52</f>
        <v>46334000</v>
      </c>
      <c r="D56" s="1176">
        <f t="shared" ref="D56:H56" si="11">D48*D49+D45*D50+D46*D51+D47*D52</f>
        <v>46334000</v>
      </c>
      <c r="E56" s="1176">
        <f t="shared" si="11"/>
        <v>92668000</v>
      </c>
      <c r="F56" s="1176">
        <f t="shared" si="11"/>
        <v>97833000</v>
      </c>
      <c r="G56" s="1176">
        <f t="shared" si="11"/>
        <v>0</v>
      </c>
      <c r="H56" s="2131">
        <f t="shared" si="11"/>
        <v>0</v>
      </c>
      <c r="I56" s="2004">
        <f t="shared" si="3"/>
        <v>283169000</v>
      </c>
      <c r="L56" s="82"/>
      <c r="M56" s="134"/>
      <c r="N56" s="134"/>
      <c r="O56" s="134"/>
      <c r="P56" s="134"/>
      <c r="Q56" s="134"/>
      <c r="R56" s="134"/>
    </row>
    <row r="57" spans="1:18" ht="13.2" x14ac:dyDescent="0.25">
      <c r="A57" s="2037" t="s">
        <v>150</v>
      </c>
      <c r="B57" s="151" t="s">
        <v>39</v>
      </c>
      <c r="C57" s="1129">
        <v>157</v>
      </c>
      <c r="D57" s="1129">
        <v>157</v>
      </c>
      <c r="E57" s="1129">
        <v>157</v>
      </c>
      <c r="F57" s="1129">
        <v>157</v>
      </c>
      <c r="G57" s="1129">
        <v>157</v>
      </c>
      <c r="H57" s="1129">
        <v>157</v>
      </c>
      <c r="I57" s="2004">
        <f t="shared" si="3"/>
        <v>942</v>
      </c>
      <c r="L57" s="82"/>
      <c r="M57" s="134"/>
      <c r="N57" s="134"/>
      <c r="O57" s="134"/>
      <c r="P57" s="134"/>
      <c r="Q57" s="134"/>
      <c r="R57" s="134"/>
    </row>
    <row r="58" spans="1:18" ht="13.2" x14ac:dyDescent="0.25">
      <c r="A58" s="2037" t="s">
        <v>134</v>
      </c>
      <c r="B58" s="151" t="s">
        <v>388</v>
      </c>
      <c r="C58" s="1177">
        <f>+DispatchSchedule!F82*1000000</f>
        <v>0</v>
      </c>
      <c r="D58" s="1177">
        <f>+DispatchSchedule!G82*1000000</f>
        <v>0</v>
      </c>
      <c r="E58" s="1177">
        <f>+DispatchSchedule!H82*1000000</f>
        <v>0</v>
      </c>
      <c r="F58" s="1177">
        <f>+DispatchSchedule!I82*1000000</f>
        <v>32028000</v>
      </c>
      <c r="G58" s="1177">
        <f>+DispatchSchedule!J82*1000000</f>
        <v>0</v>
      </c>
      <c r="H58" s="2132">
        <f>+DispatchSchedule!K82*1000000</f>
        <v>0</v>
      </c>
      <c r="I58" s="2004">
        <f t="shared" si="3"/>
        <v>32028000</v>
      </c>
      <c r="J58" s="348"/>
      <c r="K58" s="415"/>
      <c r="L58" s="82"/>
      <c r="M58" s="134"/>
      <c r="N58" s="134"/>
      <c r="O58" s="134"/>
      <c r="P58" s="134"/>
      <c r="Q58" s="134"/>
      <c r="R58" s="134"/>
    </row>
    <row r="59" spans="1:18" ht="13.2" hidden="1" x14ac:dyDescent="0.25">
      <c r="A59" s="2133" t="s">
        <v>807</v>
      </c>
      <c r="B59" s="1123" t="s">
        <v>214</v>
      </c>
      <c r="C59" s="1124"/>
      <c r="D59" s="1124"/>
      <c r="E59" s="1124"/>
      <c r="F59" s="1124"/>
      <c r="G59" s="1124"/>
      <c r="H59" s="2134"/>
      <c r="I59" s="2004">
        <f t="shared" si="3"/>
        <v>0</v>
      </c>
      <c r="J59" s="183"/>
      <c r="K59" s="415"/>
      <c r="L59" s="82"/>
      <c r="M59" s="134"/>
      <c r="N59" s="134"/>
      <c r="O59" s="134"/>
      <c r="P59" s="134"/>
      <c r="Q59" s="134"/>
      <c r="R59" s="134"/>
    </row>
    <row r="60" spans="1:18" ht="13.2" hidden="1" x14ac:dyDescent="0.25">
      <c r="A60" s="2133" t="s">
        <v>808</v>
      </c>
      <c r="B60" s="1123" t="s">
        <v>214</v>
      </c>
      <c r="C60" s="1124"/>
      <c r="D60" s="1124"/>
      <c r="E60" s="1124"/>
      <c r="F60" s="1124"/>
      <c r="G60" s="1124"/>
      <c r="H60" s="2134"/>
      <c r="I60" s="2004">
        <f t="shared" si="3"/>
        <v>0</v>
      </c>
      <c r="J60" s="183"/>
      <c r="K60" s="415"/>
      <c r="L60" s="82"/>
      <c r="M60" s="134"/>
      <c r="N60" s="134"/>
      <c r="O60" s="134"/>
      <c r="P60" s="134"/>
      <c r="Q60" s="134"/>
      <c r="R60" s="134"/>
    </row>
    <row r="61" spans="1:18" ht="13.2" x14ac:dyDescent="0.25">
      <c r="A61" s="465" t="s">
        <v>820</v>
      </c>
      <c r="B61" s="151" t="s">
        <v>214</v>
      </c>
      <c r="C61" s="143">
        <f>IF(C58=0,0,(C55/C58))</f>
        <v>0</v>
      </c>
      <c r="D61" s="143">
        <f t="shared" ref="D61:H61" si="12">IF(D58=0,0,(D55/D58))</f>
        <v>0</v>
      </c>
      <c r="E61" s="143">
        <f t="shared" si="12"/>
        <v>0</v>
      </c>
      <c r="F61" s="143">
        <f t="shared" si="12"/>
        <v>102.07827264615959</v>
      </c>
      <c r="G61" s="143">
        <f t="shared" si="12"/>
        <v>0</v>
      </c>
      <c r="H61" s="2062">
        <f t="shared" si="12"/>
        <v>0</v>
      </c>
      <c r="I61" s="2004">
        <f t="shared" si="3"/>
        <v>102.07827264615959</v>
      </c>
      <c r="J61" s="183"/>
      <c r="K61" s="415"/>
      <c r="L61" s="82"/>
      <c r="M61" s="134"/>
      <c r="N61" s="134"/>
      <c r="O61" s="134"/>
      <c r="P61" s="134"/>
      <c r="Q61" s="134"/>
      <c r="R61" s="134"/>
    </row>
    <row r="62" spans="1:18" ht="13.2" x14ac:dyDescent="0.25">
      <c r="A62" s="2032" t="s">
        <v>821</v>
      </c>
      <c r="B62" s="508" t="s">
        <v>214</v>
      </c>
      <c r="C62" s="569">
        <f t="shared" ref="C62:H62" si="13">IF(C58=0,0,((C55+C56)/C58))</f>
        <v>0</v>
      </c>
      <c r="D62" s="569">
        <f t="shared" si="13"/>
        <v>0</v>
      </c>
      <c r="E62" s="569">
        <f>IF(E58=0,0,((E55+E56)/E58))</f>
        <v>0</v>
      </c>
      <c r="F62" s="569">
        <f t="shared" si="13"/>
        <v>105.13288111375044</v>
      </c>
      <c r="G62" s="569">
        <f t="shared" si="13"/>
        <v>0</v>
      </c>
      <c r="H62" s="2033">
        <f t="shared" si="13"/>
        <v>0</v>
      </c>
      <c r="I62" s="2004">
        <f t="shared" si="3"/>
        <v>105.13288111375044</v>
      </c>
      <c r="L62" s="82"/>
      <c r="M62" s="134"/>
      <c r="N62" s="134"/>
      <c r="O62" s="134"/>
      <c r="P62" s="134"/>
      <c r="Q62" s="134"/>
      <c r="R62" s="134"/>
    </row>
    <row r="63" spans="1:18" ht="13.2" x14ac:dyDescent="0.25">
      <c r="A63" s="55" t="s">
        <v>806</v>
      </c>
      <c r="B63" s="151" t="s">
        <v>214</v>
      </c>
      <c r="C63" s="143">
        <f>IF(C58=0,0,C54/C58)</f>
        <v>0</v>
      </c>
      <c r="D63" s="143">
        <f t="shared" ref="D63:H63" si="14">IF(D58=0,0,D54/D58)</f>
        <v>0</v>
      </c>
      <c r="E63" s="143">
        <f t="shared" si="14"/>
        <v>0</v>
      </c>
      <c r="F63" s="143">
        <f t="shared" si="14"/>
        <v>1.5504574706052277</v>
      </c>
      <c r="G63" s="143">
        <f t="shared" si="14"/>
        <v>0</v>
      </c>
      <c r="H63" s="2062">
        <f t="shared" si="14"/>
        <v>0</v>
      </c>
      <c r="I63" s="2004">
        <f t="shared" si="3"/>
        <v>1.5504574706052277</v>
      </c>
    </row>
    <row r="64" spans="1:18" ht="13.2" x14ac:dyDescent="0.25">
      <c r="A64" s="55" t="s">
        <v>390</v>
      </c>
      <c r="B64" s="151" t="s">
        <v>322</v>
      </c>
      <c r="C64" s="145">
        <f t="shared" ref="C64:H64" si="15">C54/C57/1000</f>
        <v>268.98416535031851</v>
      </c>
      <c r="D64" s="145">
        <f t="shared" si="15"/>
        <v>363.64404210191083</v>
      </c>
      <c r="E64" s="145">
        <f t="shared" si="15"/>
        <v>268.98416535031851</v>
      </c>
      <c r="F64" s="145">
        <f t="shared" si="15"/>
        <v>316.29332400346641</v>
      </c>
      <c r="G64" s="145">
        <f t="shared" si="15"/>
        <v>316.29332400346641</v>
      </c>
      <c r="H64" s="2034">
        <f t="shared" si="15"/>
        <v>316.29332400346641</v>
      </c>
      <c r="I64" s="2004">
        <f t="shared" si="3"/>
        <v>1850.4923448129471</v>
      </c>
    </row>
    <row r="65" spans="1:11" ht="13.2" x14ac:dyDescent="0.25">
      <c r="A65" s="2135"/>
      <c r="B65" s="82"/>
      <c r="C65" s="403"/>
      <c r="D65" s="403"/>
      <c r="E65" s="403"/>
      <c r="F65" s="403"/>
      <c r="G65" s="403"/>
      <c r="H65" s="2136"/>
      <c r="I65" s="2004">
        <f t="shared" si="3"/>
        <v>0</v>
      </c>
    </row>
    <row r="66" spans="1:11" ht="13.2" x14ac:dyDescent="0.25">
      <c r="A66" s="75"/>
      <c r="B66" s="82"/>
      <c r="H66" s="171"/>
      <c r="I66" s="2004">
        <f t="shared" si="3"/>
        <v>0</v>
      </c>
    </row>
    <row r="67" spans="1:11" ht="13.2" x14ac:dyDescent="0.25">
      <c r="A67" s="2035" t="s">
        <v>148</v>
      </c>
      <c r="B67" s="508" t="s">
        <v>460</v>
      </c>
      <c r="C67" s="1231">
        <f t="shared" ref="C67:D67" si="16">IF(C58=0,(C54+C55)/1000000,+C54/1000000)</f>
        <v>47.135513960000004</v>
      </c>
      <c r="D67" s="1231">
        <f t="shared" si="16"/>
        <v>61.997114609999997</v>
      </c>
      <c r="E67" s="1231">
        <f>IF(E58=0,(E54+E55)/1000000,+E54/1000000)</f>
        <v>47.135513960000004</v>
      </c>
      <c r="F67" s="1231">
        <f t="shared" ref="F67:H67" si="17">IF(F58=0,(F54+F55)/1000000,+F54/1000000)</f>
        <v>49.658051868544227</v>
      </c>
      <c r="G67" s="1231">
        <f t="shared" si="17"/>
        <v>54.563051868544228</v>
      </c>
      <c r="H67" s="2066">
        <f t="shared" si="17"/>
        <v>54.563051868544228</v>
      </c>
      <c r="I67" s="2004">
        <f t="shared" si="3"/>
        <v>315.05229813563267</v>
      </c>
      <c r="J67" s="322"/>
      <c r="K67" s="2684">
        <f>+D67*1000000</f>
        <v>61997114.609999999</v>
      </c>
    </row>
    <row r="68" spans="1:11" ht="13.8" thickBot="1" x14ac:dyDescent="0.3">
      <c r="A68" s="2039" t="s">
        <v>149</v>
      </c>
      <c r="B68" s="2040" t="s">
        <v>460</v>
      </c>
      <c r="C68" s="2137">
        <f>IF(C58=0,0,(C55+C56)/1000000)</f>
        <v>0</v>
      </c>
      <c r="D68" s="2137">
        <f t="shared" ref="D68:H68" si="18">IF(D58=0,0,(D55+D56)/1000000)</f>
        <v>0</v>
      </c>
      <c r="E68" s="2137">
        <f t="shared" si="18"/>
        <v>0</v>
      </c>
      <c r="F68" s="2137">
        <f t="shared" si="18"/>
        <v>3367.1959163111992</v>
      </c>
      <c r="G68" s="2137">
        <f t="shared" si="18"/>
        <v>0</v>
      </c>
      <c r="H68" s="2138">
        <f t="shared" si="18"/>
        <v>0</v>
      </c>
      <c r="I68" s="2004">
        <f t="shared" si="3"/>
        <v>3367.1959163111992</v>
      </c>
      <c r="J68" s="322"/>
      <c r="K68" s="402"/>
    </row>
    <row r="69" spans="1:11" ht="13.2" x14ac:dyDescent="0.25">
      <c r="A69" s="512" t="s">
        <v>134</v>
      </c>
      <c r="B69" s="511" t="s">
        <v>56</v>
      </c>
      <c r="C69" s="2121">
        <f t="shared" ref="C69:H69" si="19">+C58/1000000</f>
        <v>0</v>
      </c>
      <c r="D69" s="2121">
        <f t="shared" si="19"/>
        <v>0</v>
      </c>
      <c r="E69" s="2121">
        <f t="shared" si="19"/>
        <v>0</v>
      </c>
      <c r="F69" s="2121">
        <f t="shared" si="19"/>
        <v>32.027999999999999</v>
      </c>
      <c r="G69" s="2121">
        <f t="shared" si="19"/>
        <v>0</v>
      </c>
      <c r="H69" s="2121">
        <f t="shared" si="19"/>
        <v>0</v>
      </c>
      <c r="I69" s="2004">
        <f t="shared" si="3"/>
        <v>32.027999999999999</v>
      </c>
      <c r="J69" s="322"/>
    </row>
    <row r="71" spans="1:11" x14ac:dyDescent="0.2">
      <c r="C71" s="155"/>
      <c r="D71" s="403"/>
      <c r="E71" s="403"/>
      <c r="F71" s="403"/>
      <c r="G71" s="403"/>
      <c r="H71" s="403"/>
      <c r="I71" s="403"/>
    </row>
    <row r="72" spans="1:11" ht="13.8" x14ac:dyDescent="0.25">
      <c r="A72" s="1084"/>
      <c r="B72" s="456"/>
      <c r="C72" s="587"/>
      <c r="D72" s="587"/>
      <c r="E72" s="587"/>
      <c r="F72" s="587"/>
      <c r="G72" s="587"/>
      <c r="H72" s="587"/>
      <c r="I72" s="587"/>
    </row>
    <row r="73" spans="1:11" ht="24" customHeight="1" x14ac:dyDescent="0.2">
      <c r="A73" s="183"/>
      <c r="B73" s="1156"/>
      <c r="C73" s="1178"/>
      <c r="D73" s="1178"/>
      <c r="E73" s="1178"/>
      <c r="F73" s="1178"/>
      <c r="G73" s="1178"/>
      <c r="H73" s="1178"/>
      <c r="I73" s="1178"/>
    </row>
    <row r="74" spans="1:11" ht="13.8" x14ac:dyDescent="0.2">
      <c r="A74" s="2968"/>
      <c r="B74" s="2968"/>
      <c r="C74" s="2968"/>
      <c r="D74" s="2968"/>
      <c r="E74" s="2968"/>
      <c r="F74" s="2968"/>
      <c r="G74" s="2968"/>
      <c r="H74" s="2968"/>
      <c r="I74" s="2694"/>
    </row>
    <row r="75" spans="1:11" x14ac:dyDescent="0.2">
      <c r="D75" s="150"/>
    </row>
    <row r="76" spans="1:11" x14ac:dyDescent="0.2">
      <c r="C76" s="159"/>
      <c r="D76" s="150"/>
    </row>
    <row r="77" spans="1:11" x14ac:dyDescent="0.2">
      <c r="B77" s="456"/>
      <c r="C77" s="159"/>
      <c r="D77" s="150"/>
      <c r="E77" s="159"/>
      <c r="F77" s="159"/>
      <c r="G77" s="159"/>
      <c r="H77" s="159"/>
      <c r="I77" s="159"/>
    </row>
    <row r="78" spans="1:11" x14ac:dyDescent="0.2">
      <c r="B78" s="456"/>
      <c r="C78" s="562"/>
      <c r="D78" s="562"/>
      <c r="E78" s="562"/>
      <c r="F78" s="562"/>
      <c r="G78" s="562"/>
      <c r="H78" s="562"/>
      <c r="I78" s="562"/>
    </row>
    <row r="79" spans="1:11" x14ac:dyDescent="0.2">
      <c r="C79" s="159"/>
      <c r="D79" s="150"/>
      <c r="E79" s="159"/>
      <c r="F79" s="159"/>
      <c r="G79" s="159"/>
      <c r="H79" s="159"/>
      <c r="I79" s="159"/>
    </row>
    <row r="80" spans="1:11" x14ac:dyDescent="0.2">
      <c r="D80" s="150"/>
    </row>
    <row r="81" spans="1:10" x14ac:dyDescent="0.2">
      <c r="C81" s="159"/>
      <c r="D81" s="159"/>
      <c r="E81" s="159"/>
      <c r="F81" s="159"/>
      <c r="G81" s="159"/>
      <c r="H81" s="159"/>
      <c r="I81" s="159"/>
    </row>
    <row r="82" spans="1:10" x14ac:dyDescent="0.2">
      <c r="D82" s="150"/>
    </row>
    <row r="83" spans="1:10" x14ac:dyDescent="0.2">
      <c r="C83" s="562"/>
      <c r="D83" s="562"/>
      <c r="E83" s="562"/>
      <c r="F83" s="562"/>
      <c r="G83" s="562"/>
      <c r="H83" s="562"/>
      <c r="I83" s="562"/>
    </row>
    <row r="84" spans="1:10" x14ac:dyDescent="0.2">
      <c r="C84" s="562"/>
      <c r="D84" s="562"/>
      <c r="E84" s="562"/>
      <c r="F84" s="562"/>
      <c r="G84" s="562"/>
      <c r="H84" s="562"/>
      <c r="I84" s="562"/>
      <c r="J84" s="562"/>
    </row>
    <row r="85" spans="1:10" x14ac:dyDescent="0.2">
      <c r="C85" s="562"/>
      <c r="D85" s="562"/>
      <c r="E85" s="562"/>
      <c r="F85" s="562"/>
      <c r="G85" s="562"/>
      <c r="H85" s="562"/>
      <c r="I85" s="562"/>
    </row>
    <row r="86" spans="1:10" x14ac:dyDescent="0.2">
      <c r="C86" s="562"/>
      <c r="D86" s="562"/>
      <c r="E86" s="562"/>
      <c r="F86" s="562"/>
      <c r="G86" s="562"/>
      <c r="H86" s="562"/>
      <c r="I86" s="562"/>
    </row>
    <row r="87" spans="1:10" x14ac:dyDescent="0.2">
      <c r="C87" s="562"/>
      <c r="D87" s="562"/>
      <c r="E87" s="562"/>
      <c r="F87" s="562"/>
      <c r="G87" s="562"/>
      <c r="H87" s="562"/>
      <c r="I87" s="562"/>
    </row>
    <row r="88" spans="1:10" x14ac:dyDescent="0.2">
      <c r="C88" s="562"/>
      <c r="D88" s="562"/>
      <c r="E88" s="562"/>
      <c r="F88" s="562"/>
      <c r="G88" s="562"/>
      <c r="H88" s="562"/>
      <c r="I88" s="562"/>
    </row>
    <row r="89" spans="1:10" x14ac:dyDescent="0.2">
      <c r="A89" s="638"/>
      <c r="C89" s="562"/>
      <c r="D89" s="562"/>
      <c r="E89" s="562"/>
      <c r="F89" s="562"/>
      <c r="G89" s="562"/>
      <c r="H89" s="562"/>
      <c r="I89" s="562"/>
      <c r="J89" s="562"/>
    </row>
    <row r="90" spans="1:10" x14ac:dyDescent="0.2">
      <c r="C90" s="1339"/>
      <c r="D90" s="1339"/>
      <c r="E90" s="1339"/>
      <c r="F90" s="1339"/>
      <c r="G90" s="1339"/>
      <c r="H90" s="1339"/>
      <c r="I90" s="1339"/>
      <c r="J90" s="562"/>
    </row>
    <row r="91" spans="1:10" x14ac:dyDescent="0.2">
      <c r="C91" s="1339"/>
      <c r="D91" s="1339"/>
      <c r="E91" s="1339"/>
      <c r="F91" s="1339"/>
      <c r="G91" s="1339"/>
      <c r="H91" s="1339"/>
      <c r="I91" s="1339"/>
      <c r="J91" s="562"/>
    </row>
    <row r="92" spans="1:10" x14ac:dyDescent="0.2">
      <c r="C92" s="1339"/>
      <c r="D92" s="1339"/>
      <c r="E92" s="1339"/>
      <c r="F92" s="1339"/>
      <c r="G92" s="1339"/>
      <c r="H92" s="1339"/>
      <c r="I92" s="1339"/>
      <c r="J92" s="562"/>
    </row>
    <row r="93" spans="1:10" x14ac:dyDescent="0.2">
      <c r="C93" s="1339"/>
      <c r="D93" s="1339"/>
      <c r="E93" s="1339"/>
      <c r="F93" s="1339"/>
      <c r="G93" s="1339"/>
      <c r="H93" s="1339"/>
      <c r="I93" s="1339"/>
      <c r="J93" s="562"/>
    </row>
    <row r="94" spans="1:10" x14ac:dyDescent="0.2">
      <c r="C94" s="1339"/>
      <c r="D94" s="1339"/>
      <c r="E94" s="1339"/>
      <c r="F94" s="1339"/>
      <c r="G94" s="1339"/>
      <c r="H94" s="1339"/>
      <c r="I94" s="1339"/>
      <c r="J94" s="562"/>
    </row>
    <row r="101" spans="3:9" x14ac:dyDescent="0.2">
      <c r="C101" s="159"/>
      <c r="D101" s="159"/>
      <c r="E101" s="159"/>
      <c r="F101" s="159"/>
      <c r="G101" s="159"/>
      <c r="H101" s="159"/>
      <c r="I101" s="159"/>
    </row>
    <row r="102" spans="3:9" x14ac:dyDescent="0.2">
      <c r="C102" s="159"/>
      <c r="D102" s="159"/>
      <c r="E102" s="159"/>
      <c r="F102" s="159"/>
      <c r="G102" s="159"/>
      <c r="H102" s="159"/>
      <c r="I102" s="159"/>
    </row>
    <row r="103" spans="3:9" x14ac:dyDescent="0.2">
      <c r="C103" s="159"/>
      <c r="D103" s="159"/>
      <c r="E103" s="159"/>
      <c r="F103" s="159"/>
      <c r="G103" s="159"/>
      <c r="H103" s="159"/>
      <c r="I103" s="159"/>
    </row>
  </sheetData>
  <mergeCells count="2">
    <mergeCell ref="A74:H74"/>
    <mergeCell ref="G1:H1"/>
  </mergeCells>
  <dataValidations count="1">
    <dataValidation type="list" allowBlank="1" showInputMessage="1" showErrorMessage="1" sqref="C25" xr:uid="{00000000-0002-0000-1200-000000000000}">
      <formula1>Combustible</formula1>
    </dataValidation>
  </dataValidations>
  <pageMargins left="0.7" right="0.7" top="0.75" bottom="0.75" header="0.3" footer="0.3"/>
  <pageSetup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Y246"/>
  <sheetViews>
    <sheetView tabSelected="1" view="pageBreakPreview" zoomScaleNormal="100" zoomScaleSheetLayoutView="100" workbookViewId="0">
      <selection activeCell="N18" sqref="N18"/>
    </sheetView>
  </sheetViews>
  <sheetFormatPr defaultColWidth="9" defaultRowHeight="12.6" x14ac:dyDescent="0.2"/>
  <cols>
    <col min="1" max="1" width="3.08984375" style="36" customWidth="1"/>
    <col min="2" max="2" width="2.90625" style="36" customWidth="1"/>
    <col min="3" max="3" width="27" style="36" customWidth="1"/>
    <col min="4" max="4" width="7.7265625" style="36" customWidth="1"/>
    <col min="5" max="5" width="6.453125" style="36" customWidth="1"/>
    <col min="6" max="8" width="13.36328125" style="36" hidden="1" customWidth="1"/>
    <col min="9" max="12" width="13.36328125" style="36" bestFit="1" customWidth="1"/>
    <col min="13" max="13" width="14.26953125" style="36" customWidth="1"/>
    <col min="14" max="14" width="14.6328125" style="36" bestFit="1" customWidth="1"/>
    <col min="15" max="15" width="28.7265625" style="36" customWidth="1"/>
    <col min="16" max="17" width="11.453125" style="36" bestFit="1" customWidth="1"/>
    <col min="18" max="16384" width="9" style="36"/>
  </cols>
  <sheetData>
    <row r="1" spans="1:22" ht="17.399999999999999" x14ac:dyDescent="0.3">
      <c r="A1" s="154" t="s">
        <v>551</v>
      </c>
      <c r="B1" s="43"/>
      <c r="D1" s="436"/>
      <c r="E1" s="437"/>
      <c r="F1" s="436"/>
      <c r="G1" s="437"/>
      <c r="H1" s="437"/>
      <c r="I1" s="2905"/>
      <c r="J1" s="659"/>
      <c r="L1" s="659"/>
    </row>
    <row r="2" spans="1:22" ht="37.5" customHeight="1" thickBot="1" x14ac:dyDescent="0.25">
      <c r="J2" s="2278"/>
      <c r="L2" s="2278"/>
    </row>
    <row r="3" spans="1:22" ht="24.6" customHeight="1" thickBot="1" x14ac:dyDescent="0.25">
      <c r="C3" s="174" t="s">
        <v>27</v>
      </c>
      <c r="D3" s="173" t="s">
        <v>154</v>
      </c>
      <c r="E3" s="175" t="s">
        <v>36</v>
      </c>
      <c r="F3" s="839">
        <v>46023</v>
      </c>
      <c r="G3" s="839">
        <v>46054</v>
      </c>
      <c r="H3" s="839">
        <v>46082</v>
      </c>
      <c r="I3" s="839">
        <v>46113</v>
      </c>
      <c r="J3" s="839">
        <v>46143</v>
      </c>
      <c r="K3" s="839">
        <v>46174</v>
      </c>
      <c r="L3" s="1061" t="s">
        <v>445</v>
      </c>
      <c r="M3" s="2204" t="s">
        <v>1174</v>
      </c>
      <c r="N3" s="400"/>
      <c r="O3" s="400"/>
      <c r="P3" s="400"/>
      <c r="Q3" s="400"/>
      <c r="R3" s="400"/>
      <c r="S3" s="400"/>
      <c r="T3" s="400"/>
      <c r="U3" s="400"/>
      <c r="V3" s="400"/>
    </row>
    <row r="4" spans="1:22" x14ac:dyDescent="0.2">
      <c r="C4" s="324"/>
      <c r="D4" s="325"/>
      <c r="E4" s="326"/>
      <c r="F4" s="327"/>
      <c r="G4" s="327"/>
      <c r="H4" s="327"/>
      <c r="I4" s="327"/>
      <c r="J4" s="327"/>
      <c r="K4" s="327"/>
      <c r="L4" s="2194"/>
      <c r="M4" s="2200"/>
      <c r="N4" s="400"/>
      <c r="O4" s="400"/>
      <c r="P4" s="400"/>
      <c r="Q4" s="400"/>
      <c r="R4" s="400"/>
      <c r="S4" s="400"/>
      <c r="T4" s="400"/>
      <c r="U4" s="400"/>
      <c r="V4" s="400"/>
    </row>
    <row r="5" spans="1:22" x14ac:dyDescent="0.2">
      <c r="C5" s="50" t="s">
        <v>450</v>
      </c>
      <c r="D5" s="845"/>
      <c r="E5" s="40"/>
      <c r="F5" s="119"/>
      <c r="G5" s="119"/>
      <c r="H5" s="119"/>
      <c r="I5" s="119"/>
      <c r="J5" s="119"/>
      <c r="K5" s="119"/>
      <c r="L5" s="2195"/>
      <c r="M5" s="2201"/>
      <c r="N5" s="400"/>
      <c r="P5" s="400"/>
      <c r="Q5" s="400"/>
      <c r="R5" s="400"/>
      <c r="S5" s="400"/>
      <c r="T5" s="400"/>
      <c r="U5" s="400"/>
      <c r="V5" s="400"/>
    </row>
    <row r="6" spans="1:22" x14ac:dyDescent="0.2">
      <c r="C6" s="7" t="s">
        <v>451</v>
      </c>
      <c r="D6" s="111" t="s">
        <v>369</v>
      </c>
      <c r="E6" s="40" t="s">
        <v>56</v>
      </c>
      <c r="F6" s="182">
        <f>F75*(1+$M$75)</f>
        <v>0</v>
      </c>
      <c r="G6" s="182">
        <f t="shared" ref="G6:K6" si="0">G75*(1+$M$75)</f>
        <v>0</v>
      </c>
      <c r="H6" s="182">
        <f t="shared" si="0"/>
        <v>0</v>
      </c>
      <c r="I6" s="182">
        <f t="shared" si="0"/>
        <v>30.056919660000002</v>
      </c>
      <c r="J6" s="182">
        <f t="shared" si="0"/>
        <v>29.6817657</v>
      </c>
      <c r="K6" s="182">
        <f t="shared" si="0"/>
        <v>30.492288000000002</v>
      </c>
      <c r="L6" s="2211">
        <f>SUM(F6:K6)</f>
        <v>90.230973360000007</v>
      </c>
      <c r="M6" s="2202">
        <f t="shared" ref="M6:M15" si="1">L6-L75</f>
        <v>3.3032533599999994</v>
      </c>
      <c r="N6" s="401"/>
      <c r="O6" s="400"/>
      <c r="P6" s="400"/>
      <c r="Q6" s="400"/>
      <c r="R6" s="400"/>
      <c r="S6" s="400"/>
      <c r="T6" s="400"/>
      <c r="U6" s="400"/>
      <c r="V6" s="400"/>
    </row>
    <row r="7" spans="1:22" x14ac:dyDescent="0.2">
      <c r="C7" s="7" t="s">
        <v>452</v>
      </c>
      <c r="D7" s="111" t="s">
        <v>424</v>
      </c>
      <c r="E7" s="40" t="s">
        <v>56</v>
      </c>
      <c r="F7" s="182">
        <f t="shared" ref="F7:K7" si="2">F76*(1+$M$76)</f>
        <v>0</v>
      </c>
      <c r="G7" s="182">
        <f t="shared" si="2"/>
        <v>0</v>
      </c>
      <c r="H7" s="182">
        <f t="shared" si="2"/>
        <v>0</v>
      </c>
      <c r="I7" s="182">
        <f t="shared" si="2"/>
        <v>38.376503999999997</v>
      </c>
      <c r="J7" s="182">
        <f t="shared" si="2"/>
        <v>38.831554829999995</v>
      </c>
      <c r="K7" s="182">
        <f t="shared" si="2"/>
        <v>38.376503999999997</v>
      </c>
      <c r="L7" s="2211">
        <f t="shared" ref="L7:L18" si="3">SUM(F7:K7)</f>
        <v>115.58456283</v>
      </c>
      <c r="M7" s="2202">
        <f t="shared" si="1"/>
        <v>4.3385928299999961</v>
      </c>
      <c r="N7" s="401"/>
      <c r="O7" s="400"/>
      <c r="P7" s="400"/>
      <c r="Q7" s="400"/>
      <c r="R7" s="400"/>
      <c r="S7" s="400"/>
      <c r="T7" s="400"/>
      <c r="U7" s="400"/>
      <c r="V7" s="400"/>
    </row>
    <row r="8" spans="1:22" x14ac:dyDescent="0.2">
      <c r="C8" s="468" t="s">
        <v>732</v>
      </c>
      <c r="D8" s="111" t="s">
        <v>392</v>
      </c>
      <c r="E8" s="40" t="s">
        <v>56</v>
      </c>
      <c r="F8" s="182">
        <f t="shared" ref="F8:K8" si="4">F77*(1+$M$77)</f>
        <v>0</v>
      </c>
      <c r="G8" s="182">
        <f t="shared" si="4"/>
        <v>0</v>
      </c>
      <c r="H8" s="182">
        <f t="shared" si="4"/>
        <v>0</v>
      </c>
      <c r="I8" s="182">
        <f t="shared" si="4"/>
        <v>0</v>
      </c>
      <c r="J8" s="182">
        <f t="shared" si="4"/>
        <v>0</v>
      </c>
      <c r="K8" s="182">
        <f t="shared" si="4"/>
        <v>0</v>
      </c>
      <c r="L8" s="2212">
        <f t="shared" si="3"/>
        <v>0</v>
      </c>
      <c r="M8" s="2202">
        <f t="shared" si="1"/>
        <v>0</v>
      </c>
      <c r="N8" s="401"/>
      <c r="O8" s="400"/>
      <c r="P8" s="400"/>
      <c r="Q8" s="400"/>
      <c r="R8" s="400"/>
      <c r="S8" s="400"/>
      <c r="T8" s="400"/>
      <c r="U8" s="400"/>
      <c r="V8" s="400"/>
    </row>
    <row r="9" spans="1:22" x14ac:dyDescent="0.2">
      <c r="C9" s="7" t="s">
        <v>453</v>
      </c>
      <c r="D9" s="111" t="s">
        <v>409</v>
      </c>
      <c r="E9" s="40" t="s">
        <v>56</v>
      </c>
      <c r="F9" s="182">
        <f t="shared" ref="F9:K9" si="5">F78*(1+$M$78)</f>
        <v>0</v>
      </c>
      <c r="G9" s="182">
        <f t="shared" si="5"/>
        <v>0</v>
      </c>
      <c r="H9" s="182">
        <f t="shared" si="5"/>
        <v>0</v>
      </c>
      <c r="I9" s="182">
        <f t="shared" si="5"/>
        <v>0</v>
      </c>
      <c r="J9" s="182">
        <f t="shared" si="5"/>
        <v>0</v>
      </c>
      <c r="K9" s="182">
        <f t="shared" si="5"/>
        <v>0</v>
      </c>
      <c r="L9" s="2211">
        <f t="shared" si="3"/>
        <v>0</v>
      </c>
      <c r="M9" s="2202">
        <f t="shared" si="1"/>
        <v>0</v>
      </c>
      <c r="N9" s="401"/>
      <c r="O9" s="400"/>
      <c r="P9" s="400"/>
      <c r="Q9" s="400"/>
      <c r="R9" s="400"/>
      <c r="S9" s="400"/>
      <c r="T9" s="400"/>
      <c r="U9" s="400"/>
      <c r="V9" s="400"/>
    </row>
    <row r="10" spans="1:22" x14ac:dyDescent="0.2">
      <c r="C10" s="7" t="s">
        <v>454</v>
      </c>
      <c r="D10" s="111" t="s">
        <v>5</v>
      </c>
      <c r="E10" s="40" t="s">
        <v>56</v>
      </c>
      <c r="F10" s="182">
        <f t="shared" ref="F10:K12" si="6">F79*(1+$M$79)</f>
        <v>0</v>
      </c>
      <c r="G10" s="182">
        <f t="shared" si="6"/>
        <v>0</v>
      </c>
      <c r="H10" s="182">
        <f t="shared" si="6"/>
        <v>0</v>
      </c>
      <c r="I10" s="182">
        <f t="shared" si="6"/>
        <v>87.145914219999995</v>
      </c>
      <c r="J10" s="182">
        <f t="shared" si="6"/>
        <v>87.145893599999994</v>
      </c>
      <c r="K10" s="182">
        <f t="shared" si="6"/>
        <v>87.145914219999995</v>
      </c>
      <c r="L10" s="2211">
        <f t="shared" si="3"/>
        <v>261.43772203999998</v>
      </c>
      <c r="M10" s="2202">
        <f t="shared" si="1"/>
        <v>7.8608820399999786</v>
      </c>
      <c r="N10" s="401"/>
      <c r="O10" s="400"/>
      <c r="P10" s="400"/>
      <c r="Q10" s="400"/>
      <c r="R10" s="400"/>
      <c r="S10" s="400"/>
      <c r="T10" s="400"/>
      <c r="U10" s="400"/>
      <c r="V10" s="400"/>
    </row>
    <row r="11" spans="1:22" x14ac:dyDescent="0.2">
      <c r="C11" s="7" t="s">
        <v>455</v>
      </c>
      <c r="D11" s="111"/>
      <c r="E11" s="40" t="s">
        <v>56</v>
      </c>
      <c r="F11" s="182">
        <f t="shared" si="6"/>
        <v>0</v>
      </c>
      <c r="G11" s="182">
        <f t="shared" si="6"/>
        <v>0</v>
      </c>
      <c r="H11" s="182">
        <f t="shared" si="6"/>
        <v>0</v>
      </c>
      <c r="I11" s="182">
        <f t="shared" si="6"/>
        <v>87.145914219999995</v>
      </c>
      <c r="J11" s="182">
        <f t="shared" si="6"/>
        <v>87.145893599999994</v>
      </c>
      <c r="K11" s="182">
        <f t="shared" si="6"/>
        <v>87.145914219999995</v>
      </c>
      <c r="L11" s="2211">
        <f t="shared" si="3"/>
        <v>261.43772203999998</v>
      </c>
      <c r="M11" s="2202">
        <f t="shared" si="1"/>
        <v>7.8608820399999786</v>
      </c>
      <c r="N11" s="401"/>
      <c r="O11" s="400"/>
      <c r="P11" s="400"/>
      <c r="Q11" s="400"/>
      <c r="R11" s="400"/>
      <c r="S11" s="400"/>
      <c r="T11" s="400"/>
      <c r="U11" s="400"/>
      <c r="V11" s="400"/>
    </row>
    <row r="12" spans="1:22" x14ac:dyDescent="0.2">
      <c r="C12" s="7" t="s">
        <v>456</v>
      </c>
      <c r="D12" s="111"/>
      <c r="E12" s="40" t="s">
        <v>56</v>
      </c>
      <c r="F12" s="182">
        <f t="shared" si="6"/>
        <v>0</v>
      </c>
      <c r="G12" s="182">
        <f t="shared" si="6"/>
        <v>0</v>
      </c>
      <c r="H12" s="182">
        <f t="shared" si="6"/>
        <v>0</v>
      </c>
      <c r="I12" s="182">
        <f t="shared" si="6"/>
        <v>0</v>
      </c>
      <c r="J12" s="182">
        <f t="shared" si="6"/>
        <v>0</v>
      </c>
      <c r="K12" s="182">
        <f t="shared" si="6"/>
        <v>0</v>
      </c>
      <c r="L12" s="2211">
        <f t="shared" si="3"/>
        <v>0</v>
      </c>
      <c r="M12" s="2202">
        <f t="shared" si="1"/>
        <v>0</v>
      </c>
      <c r="N12" s="401"/>
      <c r="O12" s="400"/>
      <c r="P12" s="400"/>
      <c r="Q12" s="400"/>
      <c r="R12" s="400"/>
      <c r="S12" s="400"/>
      <c r="T12" s="400"/>
      <c r="U12" s="400"/>
      <c r="V12" s="400"/>
    </row>
    <row r="13" spans="1:22" x14ac:dyDescent="0.2">
      <c r="C13" s="468" t="s">
        <v>1176</v>
      </c>
      <c r="D13" s="1295" t="s">
        <v>1176</v>
      </c>
      <c r="E13" s="418" t="s">
        <v>56</v>
      </c>
      <c r="F13" s="2213">
        <f t="shared" ref="F13:K13" si="7">F82*(1+$M$82)</f>
        <v>0</v>
      </c>
      <c r="G13" s="2213">
        <f t="shared" si="7"/>
        <v>0</v>
      </c>
      <c r="H13" s="2213">
        <f t="shared" si="7"/>
        <v>0</v>
      </c>
      <c r="I13" s="2213">
        <f t="shared" si="7"/>
        <v>32.956811999999999</v>
      </c>
      <c r="J13" s="2213">
        <f t="shared" si="7"/>
        <v>0</v>
      </c>
      <c r="K13" s="2213">
        <f t="shared" si="7"/>
        <v>0</v>
      </c>
      <c r="L13" s="2214">
        <f t="shared" ref="L13" si="8">SUM(F13:K13)</f>
        <v>32.956811999999999</v>
      </c>
      <c r="M13" s="2203">
        <f t="shared" si="1"/>
        <v>0.92881200000000064</v>
      </c>
      <c r="N13" s="401"/>
      <c r="O13" s="400"/>
      <c r="P13" s="400"/>
      <c r="Q13" s="400"/>
      <c r="R13" s="400"/>
      <c r="S13" s="400"/>
      <c r="T13" s="400"/>
      <c r="U13" s="400"/>
      <c r="V13" s="400"/>
    </row>
    <row r="14" spans="1:22" x14ac:dyDescent="0.2">
      <c r="C14" s="7" t="s">
        <v>600</v>
      </c>
      <c r="D14" s="111" t="s">
        <v>14</v>
      </c>
      <c r="E14" s="40" t="s">
        <v>56</v>
      </c>
      <c r="F14" s="2215">
        <f t="shared" ref="F14:K14" si="9">F83*(1+$M$83)</f>
        <v>0</v>
      </c>
      <c r="G14" s="2215">
        <f t="shared" si="9"/>
        <v>0</v>
      </c>
      <c r="H14" s="2215">
        <f t="shared" si="9"/>
        <v>0</v>
      </c>
      <c r="I14" s="2215">
        <f t="shared" si="9"/>
        <v>450.4446180000001</v>
      </c>
      <c r="J14" s="2215">
        <f t="shared" si="9"/>
        <v>465.43176900000003</v>
      </c>
      <c r="K14" s="2215">
        <f t="shared" si="9"/>
        <v>326.61090432000003</v>
      </c>
      <c r="L14" s="2211">
        <f t="shared" si="3"/>
        <v>1242.4872913200002</v>
      </c>
      <c r="M14" s="2202">
        <f t="shared" si="1"/>
        <v>110.89595132000022</v>
      </c>
      <c r="N14" s="401"/>
      <c r="O14" s="400"/>
      <c r="P14" s="400"/>
      <c r="Q14" s="400"/>
      <c r="R14" s="400"/>
      <c r="S14" s="400"/>
      <c r="T14" s="400"/>
      <c r="U14" s="400"/>
      <c r="V14" s="400"/>
    </row>
    <row r="15" spans="1:22" ht="13.2" thickBot="1" x14ac:dyDescent="0.25">
      <c r="C15" s="468" t="s">
        <v>641</v>
      </c>
      <c r="D15" s="111"/>
      <c r="E15" s="418" t="s">
        <v>56</v>
      </c>
      <c r="F15" s="2215">
        <f>F84*(1+$M$84)</f>
        <v>0</v>
      </c>
      <c r="G15" s="2215">
        <f t="shared" ref="G15:K15" si="10">G84*(1+$M$84)</f>
        <v>0</v>
      </c>
      <c r="H15" s="2215">
        <f t="shared" si="10"/>
        <v>0</v>
      </c>
      <c r="I15" s="2215">
        <f t="shared" si="10"/>
        <v>27.0916672</v>
      </c>
      <c r="J15" s="2215">
        <f t="shared" si="10"/>
        <v>26.844147199999998</v>
      </c>
      <c r="K15" s="2215">
        <f t="shared" si="10"/>
        <v>27.091708800000003</v>
      </c>
      <c r="L15" s="2216">
        <f t="shared" si="3"/>
        <v>81.027523200000005</v>
      </c>
      <c r="M15" s="2202">
        <f t="shared" si="1"/>
        <v>3.1164432000000062</v>
      </c>
      <c r="N15" s="401"/>
      <c r="O15" s="400"/>
      <c r="P15" s="400"/>
      <c r="Q15" s="400"/>
      <c r="R15" s="400"/>
      <c r="S15" s="400"/>
      <c r="T15" s="400"/>
      <c r="U15" s="400"/>
      <c r="V15" s="400"/>
    </row>
    <row r="16" spans="1:22" x14ac:dyDescent="0.2">
      <c r="C16" s="14" t="s">
        <v>1086</v>
      </c>
      <c r="D16" s="111"/>
      <c r="E16" s="418"/>
      <c r="F16" s="2320">
        <f>+F17+F18</f>
        <v>0</v>
      </c>
      <c r="G16" s="2320">
        <f t="shared" ref="G16:K16" si="11">+G17+G18</f>
        <v>0</v>
      </c>
      <c r="H16" s="2320">
        <f t="shared" si="11"/>
        <v>0</v>
      </c>
      <c r="I16" s="2320">
        <f t="shared" si="11"/>
        <v>0</v>
      </c>
      <c r="J16" s="2320">
        <f t="shared" si="11"/>
        <v>0</v>
      </c>
      <c r="K16" s="2320">
        <f t="shared" si="11"/>
        <v>0</v>
      </c>
      <c r="L16" s="2321">
        <f t="shared" si="3"/>
        <v>0</v>
      </c>
      <c r="M16" s="2322"/>
      <c r="N16" s="401"/>
      <c r="O16" s="400"/>
      <c r="P16" s="400"/>
      <c r="Q16" s="400"/>
      <c r="R16" s="400"/>
      <c r="S16" s="400"/>
      <c r="T16" s="400"/>
      <c r="U16" s="400"/>
      <c r="V16" s="400"/>
    </row>
    <row r="17" spans="3:22" x14ac:dyDescent="0.2">
      <c r="C17" s="2324" t="s">
        <v>1182</v>
      </c>
      <c r="D17" s="111"/>
      <c r="E17" s="418" t="s">
        <v>56</v>
      </c>
      <c r="F17" s="2215">
        <f>F86*(1+$M$85)</f>
        <v>0</v>
      </c>
      <c r="G17" s="2215">
        <f t="shared" ref="G17:K17" si="12">G86*(1+$M$85)</f>
        <v>0</v>
      </c>
      <c r="H17" s="2215">
        <f t="shared" si="12"/>
        <v>0</v>
      </c>
      <c r="I17" s="2215">
        <f t="shared" si="12"/>
        <v>0</v>
      </c>
      <c r="J17" s="2215">
        <f t="shared" si="12"/>
        <v>0</v>
      </c>
      <c r="K17" s="2215">
        <f t="shared" si="12"/>
        <v>0</v>
      </c>
      <c r="L17" s="2215">
        <f t="shared" si="3"/>
        <v>0</v>
      </c>
      <c r="M17" s="2322">
        <f>L17-L86</f>
        <v>0</v>
      </c>
      <c r="N17" s="401"/>
      <c r="O17" s="400"/>
      <c r="P17" s="400"/>
      <c r="Q17" s="400"/>
      <c r="R17" s="400"/>
      <c r="S17" s="400"/>
      <c r="T17" s="400"/>
      <c r="U17" s="400"/>
      <c r="V17" s="400"/>
    </row>
    <row r="18" spans="3:22" ht="13.2" thickBot="1" x14ac:dyDescent="0.25">
      <c r="C18" s="2324" t="s">
        <v>809</v>
      </c>
      <c r="D18" s="111"/>
      <c r="E18" s="418" t="s">
        <v>56</v>
      </c>
      <c r="F18" s="2320">
        <f>F87*(1+$M$85)</f>
        <v>0</v>
      </c>
      <c r="G18" s="2320">
        <f t="shared" ref="G18:K18" si="13">G87*(1+$M$85)</f>
        <v>0</v>
      </c>
      <c r="H18" s="2320">
        <f t="shared" si="13"/>
        <v>0</v>
      </c>
      <c r="I18" s="2320">
        <f t="shared" si="13"/>
        <v>0</v>
      </c>
      <c r="J18" s="2320">
        <f t="shared" si="13"/>
        <v>0</v>
      </c>
      <c r="K18" s="2320">
        <f t="shared" si="13"/>
        <v>0</v>
      </c>
      <c r="L18" s="2321">
        <f t="shared" si="3"/>
        <v>0</v>
      </c>
      <c r="M18" s="2322">
        <f>L18-L87</f>
        <v>0</v>
      </c>
      <c r="N18" s="401"/>
      <c r="O18" s="400"/>
      <c r="P18" s="400"/>
      <c r="Q18" s="400"/>
      <c r="R18" s="400"/>
      <c r="S18" s="400"/>
      <c r="T18" s="400"/>
      <c r="U18" s="400"/>
      <c r="V18" s="400"/>
    </row>
    <row r="19" spans="3:22" ht="13.2" thickBot="1" x14ac:dyDescent="0.25">
      <c r="C19" s="662" t="s">
        <v>640</v>
      </c>
      <c r="D19" s="663"/>
      <c r="E19" s="664"/>
      <c r="F19" s="2217">
        <f>F6+F7+F8+F9+F10+F14+F15+F13+F16</f>
        <v>0</v>
      </c>
      <c r="G19" s="2217">
        <f t="shared" ref="G19:K19" si="14">G6+G7+G8+G9+G10+G14+G15+G13+G16</f>
        <v>0</v>
      </c>
      <c r="H19" s="2217">
        <f t="shared" si="14"/>
        <v>0</v>
      </c>
      <c r="I19" s="2217">
        <f t="shared" si="14"/>
        <v>666.0724350800001</v>
      </c>
      <c r="J19" s="2217">
        <f t="shared" si="14"/>
        <v>647.93513032999999</v>
      </c>
      <c r="K19" s="2217">
        <f t="shared" si="14"/>
        <v>509.71731934000002</v>
      </c>
      <c r="L19" s="2218">
        <f>L6+L7+L8+L9+L10+L14+L15+L13+L16</f>
        <v>1823.72488475</v>
      </c>
      <c r="M19" s="2323">
        <f>SUM(M6:M15)</f>
        <v>138.30481679000019</v>
      </c>
      <c r="N19" s="401"/>
      <c r="O19" s="400"/>
      <c r="P19" s="400"/>
      <c r="Q19" s="400"/>
      <c r="R19" s="400"/>
      <c r="S19" s="400"/>
      <c r="T19" s="400"/>
      <c r="U19" s="400"/>
      <c r="V19" s="400"/>
    </row>
    <row r="20" spans="3:22" x14ac:dyDescent="0.2">
      <c r="E20" s="43"/>
      <c r="N20" s="401"/>
      <c r="O20" s="400"/>
      <c r="P20" s="400"/>
      <c r="Q20" s="400"/>
      <c r="R20" s="400"/>
      <c r="S20" s="400"/>
      <c r="T20" s="400"/>
      <c r="U20" s="400"/>
      <c r="V20" s="400"/>
    </row>
    <row r="21" spans="3:22" ht="13.2" thickBot="1" x14ac:dyDescent="0.25">
      <c r="E21" s="43"/>
      <c r="F21" s="609"/>
      <c r="G21" s="609"/>
      <c r="H21" s="609"/>
      <c r="I21" s="609"/>
      <c r="J21" s="609"/>
      <c r="K21" s="609"/>
      <c r="L21" s="609"/>
      <c r="M21" s="609"/>
      <c r="N21" s="401"/>
      <c r="O21" s="400"/>
      <c r="P21" s="400"/>
      <c r="Q21" s="400"/>
      <c r="R21" s="400"/>
      <c r="S21" s="400"/>
      <c r="T21" s="400"/>
      <c r="U21" s="400"/>
      <c r="V21" s="400"/>
    </row>
    <row r="22" spans="3:22" ht="13.2" thickBot="1" x14ac:dyDescent="0.25">
      <c r="C22" s="362" t="s">
        <v>420</v>
      </c>
      <c r="D22" s="843" t="s">
        <v>422</v>
      </c>
      <c r="E22" s="844" t="s">
        <v>56</v>
      </c>
      <c r="F22" s="2219">
        <f t="shared" ref="F22:K22" si="15">+(1+$M$89)*F89</f>
        <v>0</v>
      </c>
      <c r="G22" s="2219">
        <f t="shared" si="15"/>
        <v>0</v>
      </c>
      <c r="H22" s="2219">
        <f t="shared" si="15"/>
        <v>0</v>
      </c>
      <c r="I22" s="2219">
        <f t="shared" si="15"/>
        <v>0.2</v>
      </c>
      <c r="J22" s="2219">
        <f t="shared" si="15"/>
        <v>0.2</v>
      </c>
      <c r="K22" s="2219">
        <f t="shared" si="15"/>
        <v>0.2</v>
      </c>
      <c r="L22" s="2220">
        <f>SUM(F22:K22)</f>
        <v>0.60000000000000009</v>
      </c>
      <c r="M22" s="2196"/>
      <c r="N22" s="401"/>
      <c r="O22" s="400"/>
      <c r="P22" s="400"/>
      <c r="Q22" s="400"/>
      <c r="R22" s="400"/>
      <c r="S22" s="400"/>
      <c r="T22" s="400"/>
      <c r="U22" s="400"/>
      <c r="V22" s="400"/>
    </row>
    <row r="23" spans="3:22" ht="13.2" thickBot="1" x14ac:dyDescent="0.25">
      <c r="C23" s="362" t="s">
        <v>537</v>
      </c>
      <c r="D23" s="843" t="s">
        <v>538</v>
      </c>
      <c r="E23" s="844" t="s">
        <v>56</v>
      </c>
      <c r="F23" s="2219">
        <f t="shared" ref="F23:K23" si="16">+(1+$M$90)*F90</f>
        <v>0</v>
      </c>
      <c r="G23" s="2219">
        <f t="shared" si="16"/>
        <v>0</v>
      </c>
      <c r="H23" s="2219">
        <f t="shared" si="16"/>
        <v>0</v>
      </c>
      <c r="I23" s="2219">
        <f t="shared" si="16"/>
        <v>11.857601699999998</v>
      </c>
      <c r="J23" s="2219">
        <f t="shared" si="16"/>
        <v>11.96523135</v>
      </c>
      <c r="K23" s="2219">
        <f t="shared" si="16"/>
        <v>11.85761205</v>
      </c>
      <c r="L23" s="2221">
        <f>SUM(F23:K23)</f>
        <v>35.6804451</v>
      </c>
      <c r="M23" s="2196"/>
      <c r="N23" s="401"/>
      <c r="O23" s="400"/>
      <c r="P23" s="400"/>
      <c r="Q23" s="400"/>
      <c r="R23" s="400"/>
      <c r="S23" s="400"/>
      <c r="T23" s="400"/>
      <c r="U23" s="400"/>
      <c r="V23" s="400"/>
    </row>
    <row r="24" spans="3:22" ht="13.2" thickBot="1" x14ac:dyDescent="0.25">
      <c r="C24" s="668" t="s">
        <v>659</v>
      </c>
      <c r="D24" s="669"/>
      <c r="E24" s="670" t="s">
        <v>56</v>
      </c>
      <c r="F24" s="2222">
        <f t="shared" ref="F24:K24" si="17">SUM(F22:F23)</f>
        <v>0</v>
      </c>
      <c r="G24" s="2222">
        <f t="shared" si="17"/>
        <v>0</v>
      </c>
      <c r="H24" s="2222">
        <f t="shared" si="17"/>
        <v>0</v>
      </c>
      <c r="I24" s="2222">
        <f t="shared" si="17"/>
        <v>12.057601699999998</v>
      </c>
      <c r="J24" s="2222">
        <f t="shared" si="17"/>
        <v>12.165231349999999</v>
      </c>
      <c r="K24" s="2222">
        <f t="shared" si="17"/>
        <v>12.057612049999999</v>
      </c>
      <c r="L24" s="2223">
        <f>SUM(F24:K24)</f>
        <v>36.280445099999994</v>
      </c>
      <c r="M24" s="2196"/>
      <c r="N24" s="401"/>
      <c r="O24" s="183"/>
      <c r="P24" s="400"/>
      <c r="Q24" s="400"/>
      <c r="R24" s="400"/>
      <c r="S24" s="400"/>
      <c r="T24" s="400"/>
      <c r="U24" s="400"/>
      <c r="V24" s="400"/>
    </row>
    <row r="25" spans="3:22" ht="13.2" thickBot="1" x14ac:dyDescent="0.25">
      <c r="C25" s="415"/>
      <c r="E25" s="43"/>
      <c r="F25" s="945"/>
      <c r="G25" s="945"/>
      <c r="H25" s="945"/>
      <c r="I25" s="945"/>
      <c r="J25" s="945"/>
      <c r="K25" s="945"/>
      <c r="L25" s="2224"/>
      <c r="M25" s="2196"/>
      <c r="N25" s="401"/>
      <c r="O25" s="183"/>
      <c r="P25" s="400"/>
      <c r="Q25" s="400"/>
      <c r="R25" s="400"/>
      <c r="S25" s="400"/>
      <c r="T25" s="400"/>
      <c r="U25" s="400"/>
      <c r="V25" s="400"/>
    </row>
    <row r="26" spans="3:22" ht="13.2" thickBot="1" x14ac:dyDescent="0.25">
      <c r="C26" s="662" t="s">
        <v>450</v>
      </c>
      <c r="D26" s="671"/>
      <c r="E26" s="664" t="str">
        <f>E22</f>
        <v>GWh</v>
      </c>
      <c r="F26" s="2217">
        <f>F19+F24</f>
        <v>0</v>
      </c>
      <c r="G26" s="2217">
        <f t="shared" ref="G26:L26" si="18">G19+G24</f>
        <v>0</v>
      </c>
      <c r="H26" s="2217">
        <f t="shared" si="18"/>
        <v>0</v>
      </c>
      <c r="I26" s="2217">
        <f t="shared" si="18"/>
        <v>678.13003678000007</v>
      </c>
      <c r="J26" s="2217">
        <f t="shared" si="18"/>
        <v>660.10036167999999</v>
      </c>
      <c r="K26" s="2225">
        <f t="shared" si="18"/>
        <v>521.77493139000001</v>
      </c>
      <c r="L26" s="2226">
        <f t="shared" si="18"/>
        <v>1860.00532985</v>
      </c>
      <c r="M26" s="2196"/>
      <c r="N26" s="401"/>
      <c r="O26" s="183"/>
      <c r="P26" s="400"/>
      <c r="Q26" s="400"/>
      <c r="R26" s="400"/>
      <c r="S26" s="400"/>
      <c r="T26" s="400"/>
      <c r="U26" s="400"/>
      <c r="V26" s="400"/>
    </row>
    <row r="27" spans="3:22" ht="13.2" thickBot="1" x14ac:dyDescent="0.25">
      <c r="E27" s="43"/>
      <c r="F27" s="945"/>
      <c r="G27" s="945"/>
      <c r="H27" s="945"/>
      <c r="I27" s="945"/>
      <c r="J27" s="945"/>
      <c r="K27" s="945"/>
      <c r="L27" s="945"/>
      <c r="M27" s="2196"/>
      <c r="N27" s="401"/>
      <c r="O27" s="400"/>
      <c r="P27" s="400"/>
      <c r="Q27" s="400"/>
      <c r="R27" s="400"/>
      <c r="S27" s="400"/>
      <c r="T27" s="400"/>
      <c r="U27" s="400"/>
      <c r="V27" s="400"/>
    </row>
    <row r="28" spans="3:22" ht="13.2" thickBot="1" x14ac:dyDescent="0.25">
      <c r="C28" s="850" t="s">
        <v>1374</v>
      </c>
      <c r="D28" s="851"/>
      <c r="E28" s="852" t="str">
        <f>E24</f>
        <v>GWh</v>
      </c>
      <c r="F28" s="2675">
        <v>0</v>
      </c>
      <c r="G28" s="2675">
        <v>0</v>
      </c>
      <c r="H28" s="2675">
        <v>0</v>
      </c>
      <c r="I28" s="2675">
        <v>287.8</v>
      </c>
      <c r="J28" s="2675">
        <v>332.3</v>
      </c>
      <c r="K28" s="2675">
        <v>348.4</v>
      </c>
      <c r="L28" s="2227">
        <f>SUM(F28:K28)</f>
        <v>968.5</v>
      </c>
      <c r="M28" s="2196">
        <f>+L28+L31+L75+L76+L79+L82+L83+L84+L86+L87+L89+L90</f>
        <v>2804.4549919999995</v>
      </c>
      <c r="N28" s="1251">
        <v>0</v>
      </c>
      <c r="O28" s="183"/>
      <c r="P28" s="400"/>
      <c r="Q28" s="400"/>
      <c r="R28" s="400"/>
      <c r="S28" s="400"/>
      <c r="T28" s="400"/>
      <c r="U28" s="400"/>
      <c r="V28" s="400"/>
    </row>
    <row r="29" spans="3:22" ht="13.2" thickBot="1" x14ac:dyDescent="0.25">
      <c r="C29" s="850" t="s">
        <v>1375</v>
      </c>
      <c r="D29" s="851"/>
      <c r="E29" s="852" t="s">
        <v>56</v>
      </c>
      <c r="F29" s="2675"/>
      <c r="G29" s="2675"/>
      <c r="H29" s="2675"/>
      <c r="I29" s="2675"/>
      <c r="J29" s="2675"/>
      <c r="K29" s="2675"/>
      <c r="L29" s="2227">
        <f>SUM(F29:K29)</f>
        <v>0</v>
      </c>
      <c r="M29" s="2196"/>
      <c r="N29" s="1251"/>
      <c r="O29" s="183"/>
      <c r="P29" s="400"/>
      <c r="Q29" s="400"/>
      <c r="R29" s="400"/>
      <c r="S29" s="400"/>
      <c r="T29" s="400"/>
      <c r="U29" s="400"/>
      <c r="V29" s="400"/>
    </row>
    <row r="30" spans="3:22" ht="13.2" thickBot="1" x14ac:dyDescent="0.25">
      <c r="C30" s="850"/>
      <c r="D30" s="415"/>
      <c r="E30" s="456"/>
      <c r="F30" s="1049"/>
      <c r="G30" s="1049"/>
      <c r="H30" s="1049"/>
      <c r="I30" s="1049"/>
      <c r="J30" s="1049"/>
      <c r="K30" s="1049"/>
      <c r="L30" s="2227"/>
      <c r="M30" s="2196"/>
      <c r="N30" s="1251"/>
      <c r="O30" s="183"/>
      <c r="P30" s="400"/>
      <c r="Q30" s="400"/>
      <c r="R30" s="400"/>
      <c r="S30" s="400"/>
      <c r="T30" s="400"/>
      <c r="U30" s="400"/>
      <c r="V30" s="400"/>
    </row>
    <row r="31" spans="3:22" ht="13.2" thickBot="1" x14ac:dyDescent="0.25">
      <c r="C31" s="850" t="s">
        <v>1376</v>
      </c>
      <c r="D31" s="851"/>
      <c r="E31" s="852" t="str">
        <f>E26</f>
        <v>GWh</v>
      </c>
      <c r="F31" s="2675">
        <v>0</v>
      </c>
      <c r="G31" s="2675">
        <v>0</v>
      </c>
      <c r="H31" s="2675">
        <v>0</v>
      </c>
      <c r="I31" s="2675">
        <v>5.7478619999999996</v>
      </c>
      <c r="J31" s="2675">
        <v>42.975520000000003</v>
      </c>
      <c r="K31" s="2675">
        <v>58.876800000000003</v>
      </c>
      <c r="L31" s="2227">
        <f>SUM(F31:K31)</f>
        <v>107.600182</v>
      </c>
      <c r="M31" s="2196"/>
      <c r="N31" s="1251"/>
      <c r="O31" s="183"/>
      <c r="P31" s="400"/>
      <c r="Q31" s="400"/>
      <c r="R31" s="400"/>
      <c r="S31" s="400"/>
      <c r="T31" s="400"/>
      <c r="U31" s="400"/>
      <c r="V31" s="400"/>
    </row>
    <row r="32" spans="3:22" ht="13.2" thickBot="1" x14ac:dyDescent="0.25">
      <c r="C32" s="850" t="s">
        <v>1377</v>
      </c>
      <c r="D32" s="851"/>
      <c r="E32" s="852" t="s">
        <v>56</v>
      </c>
      <c r="F32" s="2675"/>
      <c r="G32" s="2675"/>
      <c r="H32" s="2675"/>
      <c r="I32" s="2675"/>
      <c r="J32" s="2675"/>
      <c r="K32" s="2675"/>
      <c r="L32" s="2227">
        <f>SUM(F32:K32)</f>
        <v>0</v>
      </c>
      <c r="M32" s="2196"/>
      <c r="N32" s="401"/>
    </row>
    <row r="33" spans="3:21" ht="13.2" thickBot="1" x14ac:dyDescent="0.25">
      <c r="C33" s="850"/>
      <c r="E33" s="43"/>
      <c r="F33" s="945"/>
      <c r="G33" s="945"/>
      <c r="H33" s="945"/>
      <c r="I33" s="945"/>
      <c r="J33" s="945"/>
      <c r="K33" s="945"/>
      <c r="L33" s="2227"/>
      <c r="M33" s="2196"/>
      <c r="N33" s="401"/>
    </row>
    <row r="34" spans="3:21" ht="13.2" thickBot="1" x14ac:dyDescent="0.25">
      <c r="C34" s="662" t="s">
        <v>458</v>
      </c>
      <c r="D34" s="663"/>
      <c r="E34" s="664" t="str">
        <f>E28</f>
        <v>GWh</v>
      </c>
      <c r="F34" s="2217">
        <f>F26+F29+F32</f>
        <v>0</v>
      </c>
      <c r="G34" s="2217">
        <f t="shared" ref="G34:K34" si="19">G26+G29+G32</f>
        <v>0</v>
      </c>
      <c r="H34" s="2217">
        <f t="shared" si="19"/>
        <v>0</v>
      </c>
      <c r="I34" s="2217">
        <f t="shared" si="19"/>
        <v>678.13003678000007</v>
      </c>
      <c r="J34" s="2217">
        <f t="shared" si="19"/>
        <v>660.10036167999999</v>
      </c>
      <c r="K34" s="2217">
        <f t="shared" si="19"/>
        <v>521.77493139000001</v>
      </c>
      <c r="L34" s="2218">
        <f>SUM(F34:K34)</f>
        <v>1860.0053298500002</v>
      </c>
      <c r="M34" s="2196"/>
      <c r="N34" s="401"/>
      <c r="O34" s="183"/>
    </row>
    <row r="35" spans="3:21" ht="13.5" hidden="1" customHeight="1" thickBot="1" x14ac:dyDescent="0.25">
      <c r="C35" s="1759"/>
      <c r="D35" s="665"/>
      <c r="E35" s="666"/>
      <c r="F35" s="2228"/>
      <c r="G35" s="2228"/>
      <c r="H35" s="2228"/>
      <c r="I35" s="2228"/>
      <c r="J35" s="2228"/>
      <c r="K35" s="2228"/>
      <c r="L35" s="2218">
        <f t="shared" ref="L35:L37" si="20">SUM(F35:K35)</f>
        <v>0</v>
      </c>
      <c r="M35" s="2196"/>
      <c r="N35" s="401"/>
      <c r="O35" s="848"/>
      <c r="P35">
        <v>859.66505000000006</v>
      </c>
      <c r="Q35" s="36">
        <v>1055.8382000000001</v>
      </c>
      <c r="R35" s="36">
        <v>915.43545000000006</v>
      </c>
      <c r="S35" s="36">
        <v>787.04065000000003</v>
      </c>
      <c r="T35" s="36">
        <v>932.21544999999992</v>
      </c>
      <c r="U35" s="36">
        <v>5433.8171000000002</v>
      </c>
    </row>
    <row r="36" spans="3:21" ht="13.5" hidden="1" customHeight="1" thickBot="1" x14ac:dyDescent="0.25">
      <c r="C36" s="667" t="s">
        <v>459</v>
      </c>
      <c r="D36" s="663"/>
      <c r="E36" s="664" t="s">
        <v>39</v>
      </c>
      <c r="F36" s="2217">
        <v>2193</v>
      </c>
      <c r="G36" s="2217">
        <v>2185</v>
      </c>
      <c r="H36" s="2217">
        <v>2153</v>
      </c>
      <c r="I36" s="2217">
        <v>2151</v>
      </c>
      <c r="J36" s="2217">
        <v>2250</v>
      </c>
      <c r="K36" s="2217">
        <v>2065</v>
      </c>
      <c r="L36" s="2218">
        <f t="shared" si="20"/>
        <v>12997</v>
      </c>
      <c r="M36" s="2196"/>
      <c r="N36" s="401"/>
      <c r="O36" s="947"/>
      <c r="P36" s="952"/>
    </row>
    <row r="37" spans="3:21" ht="13.5" customHeight="1" thickBot="1" x14ac:dyDescent="0.25">
      <c r="C37" s="662" t="s">
        <v>1378</v>
      </c>
      <c r="D37" s="663"/>
      <c r="E37" s="2799" t="s">
        <v>56</v>
      </c>
      <c r="F37" s="2217">
        <f>+F28+F31+F93</f>
        <v>0</v>
      </c>
      <c r="G37" s="2217">
        <f t="shared" ref="G37:K37" si="21">+G28+G31+G93</f>
        <v>0</v>
      </c>
      <c r="H37" s="2217">
        <f t="shared" si="21"/>
        <v>0</v>
      </c>
      <c r="I37" s="2217">
        <f t="shared" si="21"/>
        <v>923.94135200000005</v>
      </c>
      <c r="J37" s="2217">
        <f t="shared" si="21"/>
        <v>987.23302999999999</v>
      </c>
      <c r="K37" s="2217">
        <f t="shared" si="21"/>
        <v>893.28060999999991</v>
      </c>
      <c r="L37" s="2218">
        <f t="shared" si="20"/>
        <v>2804.4549919999999</v>
      </c>
      <c r="M37" s="2196"/>
      <c r="N37" s="401"/>
      <c r="O37"/>
      <c r="P37" s="2798"/>
    </row>
    <row r="38" spans="3:21" ht="13.2" thickBot="1" x14ac:dyDescent="0.25">
      <c r="C38" s="667" t="s">
        <v>562</v>
      </c>
      <c r="D38" s="663"/>
      <c r="E38" s="664" t="s">
        <v>56</v>
      </c>
      <c r="F38" s="2217">
        <f t="shared" ref="F38:K38" si="22">+F63+F28+F93+F31+F99+F100</f>
        <v>0</v>
      </c>
      <c r="G38" s="2217">
        <f t="shared" si="22"/>
        <v>0</v>
      </c>
      <c r="H38" s="2217">
        <f t="shared" si="22"/>
        <v>0</v>
      </c>
      <c r="I38" s="2217">
        <f t="shared" si="22"/>
        <v>1505.2036644100001</v>
      </c>
      <c r="J38" s="2217">
        <f t="shared" si="22"/>
        <v>1612.9662837999999</v>
      </c>
      <c r="K38" s="2217">
        <f t="shared" si="22"/>
        <v>1576.3539009999997</v>
      </c>
      <c r="L38" s="2218">
        <f>SUM(F38:K38)</f>
        <v>4694.5238492099998</v>
      </c>
      <c r="M38" s="2196"/>
      <c r="N38" s="401"/>
      <c r="O38" s="183"/>
    </row>
    <row r="39" spans="3:21" ht="13.2" thickBot="1" x14ac:dyDescent="0.25">
      <c r="K39" s="610"/>
      <c r="M39" s="401"/>
      <c r="N39" s="401"/>
    </row>
    <row r="40" spans="3:21" ht="29.4" thickBot="1" x14ac:dyDescent="0.6">
      <c r="C40" s="961" t="s">
        <v>541</v>
      </c>
      <c r="D40" s="174" t="s">
        <v>154</v>
      </c>
      <c r="E40" s="175" t="s">
        <v>36</v>
      </c>
      <c r="F40" s="425">
        <f t="shared" ref="F40:K40" si="23">F3</f>
        <v>46023</v>
      </c>
      <c r="G40" s="425">
        <f t="shared" si="23"/>
        <v>46054</v>
      </c>
      <c r="H40" s="425">
        <f t="shared" si="23"/>
        <v>46082</v>
      </c>
      <c r="I40" s="425">
        <f t="shared" si="23"/>
        <v>46113</v>
      </c>
      <c r="J40" s="425">
        <f t="shared" si="23"/>
        <v>46143</v>
      </c>
      <c r="K40" s="425">
        <f t="shared" si="23"/>
        <v>46174</v>
      </c>
      <c r="L40" s="176" t="s">
        <v>445</v>
      </c>
      <c r="M40" s="401"/>
      <c r="N40" s="401"/>
    </row>
    <row r="41" spans="3:21" x14ac:dyDescent="0.2">
      <c r="C41" s="583"/>
      <c r="D41" s="613"/>
      <c r="E41" s="612"/>
      <c r="F41" s="111"/>
      <c r="G41" s="119"/>
      <c r="H41" s="119"/>
      <c r="I41" s="119"/>
      <c r="J41" s="119"/>
      <c r="K41" s="119"/>
      <c r="L41" s="120"/>
      <c r="M41" s="401"/>
      <c r="N41" s="401"/>
    </row>
    <row r="42" spans="3:21" x14ac:dyDescent="0.2">
      <c r="C42" s="2508" t="s">
        <v>1320</v>
      </c>
      <c r="D42" s="597" t="str">
        <f>'SGPS 100MW'!B1</f>
        <v>SGPS 100MW</v>
      </c>
      <c r="E42" s="849" t="s">
        <v>56</v>
      </c>
      <c r="F42" s="2560"/>
      <c r="G42" s="2561"/>
      <c r="H42" s="2561"/>
      <c r="I42" s="2561"/>
      <c r="J42" s="2561"/>
      <c r="K42" s="2561"/>
      <c r="L42" s="2269">
        <f>SUM(F42:K42)</f>
        <v>0</v>
      </c>
      <c r="M42" s="401"/>
      <c r="N42" s="401"/>
    </row>
    <row r="43" spans="3:21" x14ac:dyDescent="0.2">
      <c r="C43" s="2509" t="s">
        <v>1259</v>
      </c>
      <c r="D43" s="597" t="str">
        <f>'ACE-Embilipitíya'!B1</f>
        <v>DEMB</v>
      </c>
      <c r="E43" s="849" t="s">
        <v>56</v>
      </c>
      <c r="F43" s="2560"/>
      <c r="G43" s="2561"/>
      <c r="H43" s="2561"/>
      <c r="I43" s="2561"/>
      <c r="J43" s="2561"/>
      <c r="K43" s="2561"/>
      <c r="L43" s="2269">
        <f t="shared" ref="L43:L48" si="24">SUM(F43:K43)</f>
        <v>0</v>
      </c>
      <c r="M43" s="401">
        <f>+G43+G46</f>
        <v>0</v>
      </c>
      <c r="N43" s="401"/>
    </row>
    <row r="44" spans="3:21" hidden="1" x14ac:dyDescent="0.2">
      <c r="C44" s="2510" t="s">
        <v>542</v>
      </c>
      <c r="D44" s="2510" t="s">
        <v>7</v>
      </c>
      <c r="E44" s="849" t="s">
        <v>56</v>
      </c>
      <c r="F44" s="2560"/>
      <c r="G44" s="2561"/>
      <c r="H44" s="2561"/>
      <c r="I44" s="2561"/>
      <c r="J44" s="2561"/>
      <c r="K44" s="2561"/>
      <c r="L44" s="2269">
        <f t="shared" si="24"/>
        <v>0</v>
      </c>
      <c r="M44" s="401"/>
      <c r="N44" s="401"/>
    </row>
    <row r="45" spans="3:21" hidden="1" x14ac:dyDescent="0.2">
      <c r="C45" s="2510" t="s">
        <v>543</v>
      </c>
      <c r="D45" s="2510" t="s">
        <v>8</v>
      </c>
      <c r="E45" s="849" t="s">
        <v>56</v>
      </c>
      <c r="F45" s="2560"/>
      <c r="G45" s="2561"/>
      <c r="H45" s="2561"/>
      <c r="I45" s="2561"/>
      <c r="J45" s="2561"/>
      <c r="K45" s="2561"/>
      <c r="L45" s="2269">
        <f t="shared" si="24"/>
        <v>0</v>
      </c>
      <c r="M45" s="401"/>
      <c r="N45" s="401"/>
    </row>
    <row r="46" spans="3:21" x14ac:dyDescent="0.2">
      <c r="C46" s="2509" t="s">
        <v>1258</v>
      </c>
      <c r="D46" s="597" t="str">
        <f>'ACE-Matara'!B1</f>
        <v>DMAT</v>
      </c>
      <c r="E46" s="849" t="s">
        <v>56</v>
      </c>
      <c r="F46" s="2560"/>
      <c r="G46" s="2561"/>
      <c r="H46" s="2561"/>
      <c r="I46" s="2561"/>
      <c r="J46" s="2561"/>
      <c r="K46" s="2561"/>
      <c r="L46" s="2269">
        <f t="shared" si="24"/>
        <v>0</v>
      </c>
      <c r="M46" s="401"/>
      <c r="N46" s="401"/>
    </row>
    <row r="47" spans="3:21" hidden="1" x14ac:dyDescent="0.2">
      <c r="C47" s="2510" t="s">
        <v>544</v>
      </c>
      <c r="D47" s="2510" t="s">
        <v>4</v>
      </c>
      <c r="E47" s="849" t="s">
        <v>56</v>
      </c>
      <c r="F47" s="2560"/>
      <c r="G47" s="2561"/>
      <c r="H47" s="2561"/>
      <c r="I47" s="2561"/>
      <c r="J47" s="2561"/>
      <c r="K47" s="2561"/>
      <c r="L47" s="847">
        <f t="shared" si="24"/>
        <v>0</v>
      </c>
      <c r="M47" s="401"/>
      <c r="N47" s="401"/>
    </row>
    <row r="48" spans="3:21" hidden="1" x14ac:dyDescent="0.2">
      <c r="C48" s="2510" t="s">
        <v>545</v>
      </c>
      <c r="D48" s="2510" t="s">
        <v>3</v>
      </c>
      <c r="E48" s="849" t="s">
        <v>56</v>
      </c>
      <c r="F48" s="2560"/>
      <c r="G48" s="2561"/>
      <c r="H48" s="2561"/>
      <c r="I48" s="2561"/>
      <c r="J48" s="2561"/>
      <c r="K48" s="2561"/>
      <c r="L48" s="847">
        <f t="shared" si="24"/>
        <v>0</v>
      </c>
      <c r="M48" s="401"/>
      <c r="N48" s="401"/>
    </row>
    <row r="49" spans="3:14" x14ac:dyDescent="0.2">
      <c r="C49" s="2510" t="s">
        <v>841</v>
      </c>
      <c r="D49" s="848" t="s">
        <v>13</v>
      </c>
      <c r="E49" s="849" t="s">
        <v>56</v>
      </c>
      <c r="F49" s="2562">
        <v>0</v>
      </c>
      <c r="G49" s="2563">
        <v>0</v>
      </c>
      <c r="H49" s="2563">
        <v>0</v>
      </c>
      <c r="I49" s="2563">
        <v>150.1927</v>
      </c>
      <c r="J49" s="2563">
        <v>130.619</v>
      </c>
      <c r="K49" s="2563">
        <v>134.74469999999999</v>
      </c>
      <c r="L49" s="2269">
        <f>SUM(F49:K49)</f>
        <v>415.55639999999994</v>
      </c>
      <c r="M49" s="401">
        <f>150.1927+130.619+134.7447</f>
        <v>415.55639999999994</v>
      </c>
      <c r="N49" s="401"/>
    </row>
    <row r="50" spans="3:14" hidden="1" x14ac:dyDescent="0.2">
      <c r="C50" s="2510" t="s">
        <v>792</v>
      </c>
      <c r="D50" s="848" t="s">
        <v>6</v>
      </c>
      <c r="E50" s="849" t="s">
        <v>56</v>
      </c>
      <c r="F50" s="2562">
        <v>0</v>
      </c>
      <c r="G50" s="2563">
        <v>0</v>
      </c>
      <c r="H50" s="2563">
        <v>0</v>
      </c>
      <c r="I50" s="2563"/>
      <c r="J50" s="2563"/>
      <c r="K50" s="2563"/>
      <c r="L50" s="2269">
        <f t="shared" ref="L50:L60" si="25">SUM(F50:K50)</f>
        <v>0</v>
      </c>
      <c r="M50" s="401"/>
      <c r="N50" s="401"/>
    </row>
    <row r="51" spans="3:14" hidden="1" x14ac:dyDescent="0.2">
      <c r="C51" s="2510" t="s">
        <v>546</v>
      </c>
      <c r="D51" s="2510" t="s">
        <v>464</v>
      </c>
      <c r="E51" s="849" t="s">
        <v>56</v>
      </c>
      <c r="F51" s="2562">
        <v>0</v>
      </c>
      <c r="G51" s="2563">
        <v>0</v>
      </c>
      <c r="H51" s="2563">
        <v>0</v>
      </c>
      <c r="I51" s="2563"/>
      <c r="J51" s="2563"/>
      <c r="K51" s="2563"/>
      <c r="L51" s="2269">
        <f t="shared" si="25"/>
        <v>0</v>
      </c>
      <c r="M51" s="401"/>
      <c r="N51" s="401"/>
    </row>
    <row r="52" spans="3:14" hidden="1" x14ac:dyDescent="0.2">
      <c r="C52" s="469" t="s">
        <v>823</v>
      </c>
      <c r="D52" s="2510"/>
      <c r="E52" s="849" t="s">
        <v>56</v>
      </c>
      <c r="F52" s="2562">
        <v>0</v>
      </c>
      <c r="G52" s="2563">
        <v>0</v>
      </c>
      <c r="H52" s="2563">
        <v>0</v>
      </c>
      <c r="I52" s="2563"/>
      <c r="J52" s="2563"/>
      <c r="K52" s="2563"/>
      <c r="L52" s="2269">
        <f t="shared" si="25"/>
        <v>0</v>
      </c>
      <c r="M52" s="401"/>
      <c r="N52" s="401"/>
    </row>
    <row r="53" spans="3:14" hidden="1" x14ac:dyDescent="0.2">
      <c r="C53" s="469" t="s">
        <v>824</v>
      </c>
      <c r="D53" s="2510"/>
      <c r="E53" s="849" t="s">
        <v>56</v>
      </c>
      <c r="F53" s="2562">
        <v>0</v>
      </c>
      <c r="G53" s="2563">
        <v>0</v>
      </c>
      <c r="H53" s="2563">
        <v>0</v>
      </c>
      <c r="I53" s="2563"/>
      <c r="J53" s="2563"/>
      <c r="K53" s="2563"/>
      <c r="L53" s="2269">
        <f t="shared" si="25"/>
        <v>0</v>
      </c>
      <c r="M53" s="401"/>
      <c r="N53" s="401"/>
    </row>
    <row r="54" spans="3:14" hidden="1" x14ac:dyDescent="0.2">
      <c r="C54" s="469" t="s">
        <v>842</v>
      </c>
      <c r="D54" s="2510"/>
      <c r="E54" s="849" t="s">
        <v>56</v>
      </c>
      <c r="F54" s="2562">
        <v>0</v>
      </c>
      <c r="G54" s="2563">
        <v>0</v>
      </c>
      <c r="H54" s="2563">
        <v>0</v>
      </c>
      <c r="I54" s="2563"/>
      <c r="J54" s="2563"/>
      <c r="K54" s="2563"/>
      <c r="L54" s="2269">
        <f t="shared" si="25"/>
        <v>0</v>
      </c>
      <c r="M54" s="401"/>
      <c r="N54" s="401"/>
    </row>
    <row r="55" spans="3:14" hidden="1" x14ac:dyDescent="0.2">
      <c r="C55" s="469" t="s">
        <v>843</v>
      </c>
      <c r="D55" s="2510"/>
      <c r="E55" s="849" t="s">
        <v>56</v>
      </c>
      <c r="F55" s="2562">
        <v>0</v>
      </c>
      <c r="G55" s="2563">
        <v>0</v>
      </c>
      <c r="H55" s="2563">
        <v>0</v>
      </c>
      <c r="I55" s="2563"/>
      <c r="J55" s="2563"/>
      <c r="K55" s="2563"/>
      <c r="L55" s="2269">
        <f t="shared" si="25"/>
        <v>0</v>
      </c>
      <c r="M55" s="401"/>
      <c r="N55" s="401"/>
    </row>
    <row r="56" spans="3:14" hidden="1" x14ac:dyDescent="0.2">
      <c r="C56" s="469" t="s">
        <v>825</v>
      </c>
      <c r="D56" s="2510"/>
      <c r="E56" s="849" t="s">
        <v>56</v>
      </c>
      <c r="F56" s="2562">
        <v>0</v>
      </c>
      <c r="G56" s="2563">
        <v>0</v>
      </c>
      <c r="H56" s="2563">
        <v>0</v>
      </c>
      <c r="I56" s="2563"/>
      <c r="J56" s="2563"/>
      <c r="K56" s="2563"/>
      <c r="L56" s="2269">
        <f t="shared" si="25"/>
        <v>0</v>
      </c>
      <c r="M56" s="401"/>
      <c r="N56" s="401"/>
    </row>
    <row r="57" spans="3:14" hidden="1" x14ac:dyDescent="0.2">
      <c r="C57" s="469" t="s">
        <v>844</v>
      </c>
      <c r="D57" s="2510"/>
      <c r="E57" s="849" t="s">
        <v>56</v>
      </c>
      <c r="F57" s="2562">
        <v>0</v>
      </c>
      <c r="G57" s="2563">
        <v>0</v>
      </c>
      <c r="H57" s="2563">
        <v>0</v>
      </c>
      <c r="I57" s="2563"/>
      <c r="J57" s="2563"/>
      <c r="K57" s="2563"/>
      <c r="L57" s="2269">
        <f t="shared" si="25"/>
        <v>0</v>
      </c>
      <c r="M57" s="401"/>
      <c r="N57" s="401"/>
    </row>
    <row r="58" spans="3:14" ht="14.4" hidden="1" x14ac:dyDescent="0.3">
      <c r="C58" s="2511" t="s">
        <v>866</v>
      </c>
      <c r="D58" s="2512" t="s">
        <v>793</v>
      </c>
      <c r="E58" s="849" t="s">
        <v>56</v>
      </c>
      <c r="F58" s="2564">
        <v>0</v>
      </c>
      <c r="G58" s="2565">
        <v>0</v>
      </c>
      <c r="H58" s="2565">
        <v>0</v>
      </c>
      <c r="I58" s="2565"/>
      <c r="J58" s="2565"/>
      <c r="K58" s="2566"/>
      <c r="L58" s="2269">
        <f t="shared" si="25"/>
        <v>0</v>
      </c>
      <c r="M58" s="401"/>
      <c r="N58" s="401"/>
    </row>
    <row r="59" spans="3:14" ht="14.4" hidden="1" x14ac:dyDescent="0.3">
      <c r="C59" s="2511" t="s">
        <v>1064</v>
      </c>
      <c r="D59" s="2512" t="s">
        <v>1065</v>
      </c>
      <c r="E59" s="849" t="s">
        <v>56</v>
      </c>
      <c r="F59" s="2564">
        <v>0</v>
      </c>
      <c r="G59" s="2565">
        <v>0</v>
      </c>
      <c r="H59" s="2565">
        <v>0</v>
      </c>
      <c r="I59" s="2565"/>
      <c r="J59" s="2565"/>
      <c r="K59" s="2566"/>
      <c r="L59" s="2269">
        <f t="shared" si="25"/>
        <v>0</v>
      </c>
      <c r="M59" s="401"/>
      <c r="N59" s="401"/>
    </row>
    <row r="60" spans="3:14" ht="14.4" x14ac:dyDescent="0.3">
      <c r="C60" s="468" t="s">
        <v>1245</v>
      </c>
      <c r="D60" s="2512"/>
      <c r="E60" s="849" t="s">
        <v>56</v>
      </c>
      <c r="F60" s="2565">
        <v>0</v>
      </c>
      <c r="G60" s="2565">
        <v>0</v>
      </c>
      <c r="H60" s="2565">
        <v>0</v>
      </c>
      <c r="I60" s="2565">
        <v>83.609499999999997</v>
      </c>
      <c r="J60" s="2565">
        <v>37.743340000000003</v>
      </c>
      <c r="K60" s="2566">
        <v>56.337339999999998</v>
      </c>
      <c r="L60" s="2269">
        <f t="shared" si="25"/>
        <v>177.69018</v>
      </c>
      <c r="M60" s="401">
        <f>83.6095+37.74334+56.3373</f>
        <v>177.69013999999999</v>
      </c>
      <c r="N60" s="401"/>
    </row>
    <row r="61" spans="3:14" ht="13.2" thickBot="1" x14ac:dyDescent="0.25">
      <c r="C61" s="468" t="s">
        <v>547</v>
      </c>
      <c r="D61" s="848" t="s">
        <v>15</v>
      </c>
      <c r="E61" s="849" t="s">
        <v>56</v>
      </c>
      <c r="F61" s="2562">
        <v>0</v>
      </c>
      <c r="G61" s="2563">
        <v>0</v>
      </c>
      <c r="H61" s="2563">
        <v>0</v>
      </c>
      <c r="I61" s="2563">
        <v>143.06011241000007</v>
      </c>
      <c r="J61" s="2563">
        <v>257.57091379999997</v>
      </c>
      <c r="K61" s="2563">
        <v>302.69125099999997</v>
      </c>
      <c r="L61" s="2269">
        <f>SUM(F61:K61)</f>
        <v>703.32227721000004</v>
      </c>
      <c r="M61" s="401">
        <f>353.2+500.4+551</f>
        <v>1404.6</v>
      </c>
      <c r="N61" s="1252">
        <f>+I61+J61+K61+I99+J99+K99+I31+J31+K31</f>
        <v>1404.4224592099999</v>
      </c>
    </row>
    <row r="62" spans="3:14" ht="15" thickBot="1" x14ac:dyDescent="0.35">
      <c r="C62" s="674" t="s">
        <v>651</v>
      </c>
      <c r="D62" s="676"/>
      <c r="E62" s="959" t="s">
        <v>56</v>
      </c>
      <c r="F62" s="2522">
        <f t="shared" ref="F62:K62" si="26">SUM(F42:F60)</f>
        <v>0</v>
      </c>
      <c r="G62" s="2522">
        <f t="shared" si="26"/>
        <v>0</v>
      </c>
      <c r="H62" s="2522">
        <f t="shared" si="26"/>
        <v>0</v>
      </c>
      <c r="I62" s="2522">
        <f t="shared" si="26"/>
        <v>233.8022</v>
      </c>
      <c r="J62" s="2522">
        <f t="shared" si="26"/>
        <v>168.36234000000002</v>
      </c>
      <c r="K62" s="2522">
        <f t="shared" si="26"/>
        <v>191.08204000000001</v>
      </c>
      <c r="L62" s="2521">
        <f>SUM(F62:K62)</f>
        <v>593.24657999999999</v>
      </c>
      <c r="M62" s="401"/>
      <c r="N62" s="401"/>
    </row>
    <row r="63" spans="3:14" ht="15" thickBot="1" x14ac:dyDescent="0.35">
      <c r="C63" s="672" t="s">
        <v>650</v>
      </c>
      <c r="D63" s="671"/>
      <c r="E63" s="673" t="s">
        <v>56</v>
      </c>
      <c r="F63" s="2271">
        <f t="shared" ref="F63:K63" si="27">SUM(F42:F61)</f>
        <v>0</v>
      </c>
      <c r="G63" s="2271">
        <f t="shared" si="27"/>
        <v>0</v>
      </c>
      <c r="H63" s="2271">
        <f t="shared" si="27"/>
        <v>0</v>
      </c>
      <c r="I63" s="2271">
        <f t="shared" si="27"/>
        <v>376.86231241000007</v>
      </c>
      <c r="J63" s="2271">
        <f t="shared" si="27"/>
        <v>425.93325379999999</v>
      </c>
      <c r="K63" s="2271">
        <f t="shared" si="27"/>
        <v>493.77329099999997</v>
      </c>
      <c r="L63" s="2270">
        <f>SUM(F63:K63)</f>
        <v>1296.56885721</v>
      </c>
      <c r="M63" s="401"/>
      <c r="N63" s="401"/>
    </row>
    <row r="64" spans="3:14" ht="15" thickBot="1" x14ac:dyDescent="0.35">
      <c r="C64" s="956"/>
      <c r="D64" s="957"/>
      <c r="E64" s="958"/>
      <c r="F64" s="2272"/>
      <c r="G64" s="2272"/>
      <c r="H64" s="2272"/>
      <c r="I64" s="2272"/>
      <c r="J64" s="2272"/>
      <c r="K64" s="2272"/>
      <c r="L64" s="2273"/>
      <c r="M64" s="401"/>
      <c r="N64" s="401"/>
    </row>
    <row r="65" spans="3:25" ht="15" thickBot="1" x14ac:dyDescent="0.35">
      <c r="C65" s="677" t="s">
        <v>596</v>
      </c>
      <c r="D65" s="675"/>
      <c r="E65" s="959" t="s">
        <v>56</v>
      </c>
      <c r="F65" s="2274">
        <f>F38-F61</f>
        <v>0</v>
      </c>
      <c r="G65" s="2275">
        <f>+G38-G61</f>
        <v>0</v>
      </c>
      <c r="H65" s="2275">
        <f>+H38-H61</f>
        <v>0</v>
      </c>
      <c r="I65" s="2275">
        <f>+I38-I61</f>
        <v>1362.143552</v>
      </c>
      <c r="J65" s="2275">
        <f>+J38-J61</f>
        <v>1355.39537</v>
      </c>
      <c r="K65" s="2275">
        <f>+K38-K61</f>
        <v>1273.6626499999998</v>
      </c>
      <c r="L65" s="2269">
        <f>SUM(F65:K65)</f>
        <v>3991.2015719999995</v>
      </c>
      <c r="M65" s="401"/>
      <c r="N65" s="401"/>
    </row>
    <row r="66" spans="3:25" ht="15" thickBot="1" x14ac:dyDescent="0.35">
      <c r="C66" s="677" t="s">
        <v>594</v>
      </c>
      <c r="D66" s="675"/>
      <c r="E66" s="960" t="s">
        <v>39</v>
      </c>
      <c r="F66" s="2276">
        <f>+F65*1000/(F67*24*0.63)</f>
        <v>0</v>
      </c>
      <c r="G66" s="2275">
        <f t="shared" ref="G66:K66" si="28">+G65*1000/(G67*24*0.63)</f>
        <v>0</v>
      </c>
      <c r="H66" s="2275">
        <f t="shared" si="28"/>
        <v>0</v>
      </c>
      <c r="I66" s="2275">
        <f t="shared" si="28"/>
        <v>3002.9619753086417</v>
      </c>
      <c r="J66" s="2275">
        <f t="shared" si="28"/>
        <v>2891.6951911589003</v>
      </c>
      <c r="K66" s="2275">
        <f t="shared" si="28"/>
        <v>2807.8982583774241</v>
      </c>
      <c r="L66" s="2269">
        <f>SUM(F66:K66)</f>
        <v>8702.5554248449662</v>
      </c>
      <c r="M66" s="401"/>
      <c r="N66" s="401"/>
    </row>
    <row r="67" spans="3:25" ht="28.8" x14ac:dyDescent="0.3">
      <c r="C67" s="177"/>
      <c r="D67" s="177"/>
      <c r="E67" s="585" t="s">
        <v>653</v>
      </c>
      <c r="F67" s="678">
        <v>31</v>
      </c>
      <c r="G67" s="678">
        <v>28</v>
      </c>
      <c r="H67" s="678">
        <v>31</v>
      </c>
      <c r="I67" s="678">
        <v>30</v>
      </c>
      <c r="J67" s="678">
        <v>31</v>
      </c>
      <c r="K67" s="678">
        <v>30</v>
      </c>
      <c r="L67" s="678"/>
      <c r="M67" s="401"/>
      <c r="N67" s="401"/>
      <c r="O67" s="228"/>
      <c r="P67" s="183"/>
    </row>
    <row r="68" spans="3:25" ht="13.2" thickBot="1" x14ac:dyDescent="0.25">
      <c r="M68" s="401"/>
      <c r="N68" s="401"/>
    </row>
    <row r="69" spans="3:25" ht="14.4" x14ac:dyDescent="0.3">
      <c r="C69" s="177"/>
      <c r="D69" s="177"/>
      <c r="E69" s="177"/>
      <c r="I69" s="2903"/>
      <c r="J69" s="2903"/>
      <c r="K69" s="2903"/>
      <c r="L69" s="1099"/>
      <c r="M69" s="177"/>
      <c r="N69" s="178"/>
      <c r="O69" s="246" t="s">
        <v>163</v>
      </c>
      <c r="P69" s="247" t="s">
        <v>3</v>
      </c>
    </row>
    <row r="70" spans="3:25" ht="14.4" x14ac:dyDescent="0.3">
      <c r="C70" s="181" t="s">
        <v>550</v>
      </c>
      <c r="D70" s="177"/>
      <c r="E70" s="177"/>
      <c r="F70" s="459"/>
      <c r="G70" s="459"/>
      <c r="H70" s="459"/>
      <c r="I70" s="459"/>
      <c r="J70" s="459"/>
      <c r="K70" s="459"/>
      <c r="L70" s="946"/>
      <c r="M70" s="179"/>
      <c r="N70" s="179"/>
      <c r="O70" s="221" t="s">
        <v>164</v>
      </c>
      <c r="P70" s="222" t="s">
        <v>4</v>
      </c>
    </row>
    <row r="71" spans="3:25" ht="14.4" x14ac:dyDescent="0.3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221" t="s">
        <v>165</v>
      </c>
      <c r="P71" s="222" t="s">
        <v>5</v>
      </c>
    </row>
    <row r="72" spans="3:25" x14ac:dyDescent="0.2">
      <c r="C72" s="252" t="s">
        <v>27</v>
      </c>
      <c r="D72" s="252" t="s">
        <v>154</v>
      </c>
      <c r="E72" s="252" t="s">
        <v>36</v>
      </c>
      <c r="F72" s="840">
        <f t="shared" ref="F72:K72" si="29">F3</f>
        <v>46023</v>
      </c>
      <c r="G72" s="840">
        <f t="shared" si="29"/>
        <v>46054</v>
      </c>
      <c r="H72" s="840">
        <f t="shared" si="29"/>
        <v>46082</v>
      </c>
      <c r="I72" s="840">
        <f t="shared" si="29"/>
        <v>46113</v>
      </c>
      <c r="J72" s="840">
        <f t="shared" si="29"/>
        <v>46143</v>
      </c>
      <c r="K72" s="840">
        <f t="shared" si="29"/>
        <v>46174</v>
      </c>
      <c r="L72" s="443" t="s">
        <v>445</v>
      </c>
      <c r="M72" s="359"/>
      <c r="N72" s="1924"/>
      <c r="O72" s="221" t="s">
        <v>172</v>
      </c>
      <c r="P72" s="222" t="s">
        <v>6</v>
      </c>
    </row>
    <row r="73" spans="3:25" ht="14.4" x14ac:dyDescent="0.3">
      <c r="C73" s="250"/>
      <c r="D73" s="250"/>
      <c r="E73" s="250"/>
      <c r="F73" s="250"/>
      <c r="G73" s="475"/>
      <c r="H73" s="475"/>
      <c r="I73" s="475"/>
      <c r="J73" s="475"/>
      <c r="K73" s="475"/>
      <c r="L73" s="606"/>
      <c r="M73" s="333"/>
      <c r="N73" s="1925"/>
      <c r="O73" s="221" t="s">
        <v>166</v>
      </c>
      <c r="P73" s="222" t="s">
        <v>7</v>
      </c>
    </row>
    <row r="74" spans="3:25" ht="14.4" x14ac:dyDescent="0.3">
      <c r="C74" s="308" t="s">
        <v>450</v>
      </c>
      <c r="D74" s="308"/>
      <c r="E74" s="308"/>
      <c r="F74" s="308"/>
      <c r="G74" s="308"/>
      <c r="H74" s="605"/>
      <c r="I74" s="605"/>
      <c r="J74" s="605"/>
      <c r="K74" s="605"/>
      <c r="L74" s="607"/>
      <c r="M74" s="963"/>
      <c r="N74" s="1925"/>
      <c r="O74" s="221" t="s">
        <v>167</v>
      </c>
      <c r="P74" s="222" t="s">
        <v>8</v>
      </c>
      <c r="Q74" s="400"/>
      <c r="R74" s="400"/>
      <c r="S74" s="400"/>
      <c r="T74" s="400"/>
      <c r="U74" s="400"/>
      <c r="V74" s="400"/>
      <c r="W74" s="400"/>
      <c r="X74" s="420"/>
      <c r="Y74" s="421"/>
    </row>
    <row r="75" spans="3:25" ht="14.4" x14ac:dyDescent="0.3">
      <c r="C75" s="308" t="s">
        <v>451</v>
      </c>
      <c r="D75" s="308" t="s">
        <v>369</v>
      </c>
      <c r="E75" s="308" t="s">
        <v>56</v>
      </c>
      <c r="F75" s="2674">
        <v>0</v>
      </c>
      <c r="G75" s="2674">
        <v>0</v>
      </c>
      <c r="H75" s="2674">
        <v>0</v>
      </c>
      <c r="I75" s="2674">
        <v>28.956569999999999</v>
      </c>
      <c r="J75" s="2674">
        <v>28.59515</v>
      </c>
      <c r="K75" s="2674">
        <v>29.376000000000001</v>
      </c>
      <c r="L75" s="2229">
        <f>SUM(F75:K75)</f>
        <v>86.927720000000008</v>
      </c>
      <c r="M75" s="334">
        <v>3.7999999999999999E-2</v>
      </c>
      <c r="N75" s="2906">
        <f>28.95657+28.59515+29.376</f>
        <v>86.927720000000008</v>
      </c>
      <c r="O75" s="221" t="s">
        <v>168</v>
      </c>
      <c r="P75" s="222" t="s">
        <v>9</v>
      </c>
      <c r="Q75" s="400"/>
      <c r="R75" s="400"/>
      <c r="S75" s="400"/>
      <c r="T75" s="400"/>
      <c r="U75" s="400"/>
      <c r="V75" s="400"/>
      <c r="W75" s="400"/>
      <c r="X75" s="420"/>
      <c r="Y75" s="421"/>
    </row>
    <row r="76" spans="3:25" ht="14.4" x14ac:dyDescent="0.3">
      <c r="C76" s="308" t="s">
        <v>452</v>
      </c>
      <c r="D76" s="308" t="s">
        <v>424</v>
      </c>
      <c r="E76" s="308" t="s">
        <v>56</v>
      </c>
      <c r="F76" s="2674">
        <v>0</v>
      </c>
      <c r="G76" s="2674">
        <v>0</v>
      </c>
      <c r="H76" s="2674">
        <v>0</v>
      </c>
      <c r="I76" s="2674">
        <v>36.936</v>
      </c>
      <c r="J76" s="2674">
        <v>37.37397</v>
      </c>
      <c r="K76" s="2674">
        <v>36.936</v>
      </c>
      <c r="L76" s="2229">
        <f t="shared" ref="L76:L91" si="30">SUM(F76:K76)</f>
        <v>111.24597</v>
      </c>
      <c r="M76" s="334">
        <v>3.9E-2</v>
      </c>
      <c r="N76" s="2906"/>
      <c r="O76" s="221" t="s">
        <v>169</v>
      </c>
      <c r="P76" s="222" t="s">
        <v>10</v>
      </c>
      <c r="Q76" s="400"/>
      <c r="R76" s="400"/>
      <c r="S76" s="400"/>
      <c r="T76" s="400"/>
      <c r="U76" s="400"/>
      <c r="V76" s="400"/>
      <c r="W76" s="400"/>
      <c r="X76" s="422"/>
      <c r="Y76" s="421"/>
    </row>
    <row r="77" spans="3:25" ht="14.4" x14ac:dyDescent="0.3">
      <c r="C77" s="1331" t="s">
        <v>847</v>
      </c>
      <c r="D77" s="308" t="s">
        <v>392</v>
      </c>
      <c r="E77" s="308" t="s">
        <v>56</v>
      </c>
      <c r="F77" s="2674">
        <v>0</v>
      </c>
      <c r="G77" s="2674">
        <v>0</v>
      </c>
      <c r="H77" s="2674">
        <v>0</v>
      </c>
      <c r="I77" s="2674">
        <v>0</v>
      </c>
      <c r="J77" s="2674">
        <v>0</v>
      </c>
      <c r="K77" s="2674">
        <v>0</v>
      </c>
      <c r="L77" s="2229">
        <f t="shared" si="30"/>
        <v>0</v>
      </c>
      <c r="M77" s="334">
        <v>3.2000000000000001E-2</v>
      </c>
      <c r="N77" s="2906"/>
      <c r="O77" s="221" t="s">
        <v>170</v>
      </c>
      <c r="P77" s="222" t="s">
        <v>11</v>
      </c>
      <c r="Q77" s="400"/>
      <c r="R77" s="400"/>
      <c r="S77" s="400"/>
      <c r="T77" s="400"/>
      <c r="U77" s="400"/>
      <c r="V77" s="400"/>
      <c r="W77" s="400"/>
      <c r="X77" s="422"/>
      <c r="Y77" s="421"/>
    </row>
    <row r="78" spans="3:25" ht="14.4" x14ac:dyDescent="0.3">
      <c r="C78" s="1331" t="s">
        <v>846</v>
      </c>
      <c r="D78" s="308" t="s">
        <v>409</v>
      </c>
      <c r="E78" s="308" t="s">
        <v>56</v>
      </c>
      <c r="F78" s="2674">
        <v>0</v>
      </c>
      <c r="G78" s="2674">
        <v>0</v>
      </c>
      <c r="H78" s="2674">
        <v>0</v>
      </c>
      <c r="I78" s="2674">
        <v>0</v>
      </c>
      <c r="J78" s="2674">
        <v>0</v>
      </c>
      <c r="K78" s="2674">
        <v>0</v>
      </c>
      <c r="L78" s="2229">
        <f t="shared" si="30"/>
        <v>0</v>
      </c>
      <c r="M78" s="334">
        <v>8.0000000000000002E-3</v>
      </c>
      <c r="N78" s="2906"/>
      <c r="O78" s="224" t="s">
        <v>461</v>
      </c>
      <c r="P78" s="222" t="s">
        <v>422</v>
      </c>
      <c r="Q78" s="400"/>
      <c r="R78" s="400"/>
      <c r="S78" s="400"/>
      <c r="T78" s="400"/>
      <c r="U78" s="400"/>
      <c r="V78" s="400"/>
      <c r="W78" s="400"/>
      <c r="X78" s="420"/>
      <c r="Y78" s="421"/>
    </row>
    <row r="79" spans="3:25" ht="14.4" x14ac:dyDescent="0.3">
      <c r="C79" s="309" t="s">
        <v>454</v>
      </c>
      <c r="D79" s="308" t="s">
        <v>5</v>
      </c>
      <c r="E79" s="308" t="s">
        <v>56</v>
      </c>
      <c r="F79" s="2230">
        <f>F80+F81</f>
        <v>0</v>
      </c>
      <c r="G79" s="2230">
        <f t="shared" ref="G79:K79" si="31">G80+G81</f>
        <v>0</v>
      </c>
      <c r="H79" s="2230">
        <f t="shared" si="31"/>
        <v>0</v>
      </c>
      <c r="I79" s="2230">
        <f>I80+I81</f>
        <v>84.525620000000004</v>
      </c>
      <c r="J79" s="2230">
        <f t="shared" si="31"/>
        <v>84.525599999999997</v>
      </c>
      <c r="K79" s="2230">
        <f t="shared" si="31"/>
        <v>84.525620000000004</v>
      </c>
      <c r="L79" s="2229">
        <f t="shared" si="30"/>
        <v>253.57684</v>
      </c>
      <c r="M79" s="334">
        <v>3.1E-2</v>
      </c>
      <c r="N79" s="2906"/>
      <c r="O79" s="221" t="s">
        <v>171</v>
      </c>
      <c r="P79" s="222" t="s">
        <v>13</v>
      </c>
      <c r="Q79" s="400"/>
      <c r="R79" s="400"/>
      <c r="S79" s="400"/>
      <c r="T79" s="400"/>
      <c r="U79" s="400"/>
      <c r="V79" s="400"/>
      <c r="W79" s="400"/>
      <c r="X79" s="400"/>
      <c r="Y79" s="421"/>
    </row>
    <row r="80" spans="3:25" ht="14.4" x14ac:dyDescent="0.3">
      <c r="C80" s="318" t="s">
        <v>599</v>
      </c>
      <c r="D80" s="126"/>
      <c r="E80" s="126" t="s">
        <v>56</v>
      </c>
      <c r="F80" s="2674">
        <v>0</v>
      </c>
      <c r="G80" s="2674">
        <v>0</v>
      </c>
      <c r="H80" s="2674">
        <v>0</v>
      </c>
      <c r="I80" s="2674">
        <v>84.525620000000004</v>
      </c>
      <c r="J80" s="2674">
        <v>84.525599999999997</v>
      </c>
      <c r="K80" s="2674">
        <v>84.525620000000004</v>
      </c>
      <c r="L80" s="2229">
        <f t="shared" si="30"/>
        <v>253.57684</v>
      </c>
      <c r="M80" s="335"/>
      <c r="N80" s="2906"/>
      <c r="O80" s="221"/>
      <c r="P80" s="222"/>
      <c r="Q80" s="400"/>
      <c r="R80" s="400"/>
      <c r="S80" s="400"/>
      <c r="T80" s="400"/>
      <c r="U80" s="400"/>
      <c r="V80" s="400"/>
      <c r="W80" s="400"/>
      <c r="X80" s="400"/>
      <c r="Y80" s="421"/>
    </row>
    <row r="81" spans="3:24" ht="14.4" x14ac:dyDescent="0.3">
      <c r="C81" s="319" t="s">
        <v>393</v>
      </c>
      <c r="D81" s="308"/>
      <c r="E81" s="308" t="s">
        <v>56</v>
      </c>
      <c r="F81" s="2674">
        <v>0</v>
      </c>
      <c r="G81" s="2674">
        <v>0</v>
      </c>
      <c r="H81" s="2674">
        <v>0</v>
      </c>
      <c r="I81" s="2674">
        <v>0</v>
      </c>
      <c r="J81" s="2674">
        <v>0</v>
      </c>
      <c r="K81" s="2674">
        <v>0</v>
      </c>
      <c r="L81" s="2229">
        <f t="shared" si="30"/>
        <v>0</v>
      </c>
      <c r="M81" s="336"/>
      <c r="N81" s="2906"/>
      <c r="O81" s="221"/>
      <c r="P81" s="222"/>
      <c r="Q81" s="400"/>
      <c r="R81" s="400"/>
      <c r="S81" s="400"/>
      <c r="T81" s="400"/>
      <c r="U81" s="400"/>
      <c r="V81" s="400"/>
      <c r="W81" s="400"/>
      <c r="X81" s="422"/>
    </row>
    <row r="82" spans="3:24" ht="14.4" x14ac:dyDescent="0.3">
      <c r="C82" s="2263" t="s">
        <v>1187</v>
      </c>
      <c r="D82" s="2199" t="s">
        <v>1176</v>
      </c>
      <c r="E82" s="2199" t="s">
        <v>56</v>
      </c>
      <c r="F82" s="2674">
        <v>0</v>
      </c>
      <c r="G82" s="2674">
        <v>0</v>
      </c>
      <c r="H82" s="2674">
        <v>0</v>
      </c>
      <c r="I82" s="2674">
        <v>32.027999999999999</v>
      </c>
      <c r="J82" s="2674">
        <v>0</v>
      </c>
      <c r="K82" s="2674">
        <v>0</v>
      </c>
      <c r="L82" s="2229">
        <f>SUM(F82:K82)</f>
        <v>32.027999999999999</v>
      </c>
      <c r="M82" s="334">
        <v>2.9000000000000001E-2</v>
      </c>
      <c r="N82" s="2906"/>
      <c r="O82" s="221"/>
      <c r="P82" s="222"/>
      <c r="Q82" s="400"/>
      <c r="R82" s="400"/>
      <c r="S82" s="400"/>
      <c r="T82" s="400"/>
      <c r="U82" s="400"/>
      <c r="V82" s="400"/>
      <c r="W82" s="400"/>
      <c r="X82" s="422"/>
    </row>
    <row r="83" spans="3:24" ht="14.4" x14ac:dyDescent="0.3">
      <c r="C83" s="308" t="s">
        <v>600</v>
      </c>
      <c r="D83" s="308" t="s">
        <v>14</v>
      </c>
      <c r="E83" s="308" t="s">
        <v>56</v>
      </c>
      <c r="F83" s="2267">
        <f>+F109+F110+F111</f>
        <v>0</v>
      </c>
      <c r="G83" s="2267">
        <f t="shared" ref="G83:K83" si="32">+G109+G110+G111</f>
        <v>0</v>
      </c>
      <c r="H83" s="2267">
        <f t="shared" si="32"/>
        <v>0</v>
      </c>
      <c r="I83" s="2267">
        <f t="shared" si="32"/>
        <v>410.24100000000004</v>
      </c>
      <c r="J83" s="2267">
        <f t="shared" si="32"/>
        <v>423.89049999999997</v>
      </c>
      <c r="K83" s="2267">
        <f t="shared" si="32"/>
        <v>297.45983999999999</v>
      </c>
      <c r="L83" s="2229">
        <f t="shared" si="30"/>
        <v>1131.5913399999999</v>
      </c>
      <c r="M83" s="334">
        <v>9.8000000000000004E-2</v>
      </c>
      <c r="N83" s="2906"/>
      <c r="O83" s="221"/>
      <c r="P83" s="222"/>
      <c r="Q83" s="400"/>
      <c r="R83" s="400"/>
      <c r="S83" s="400"/>
      <c r="T83" s="400"/>
      <c r="U83" s="400"/>
      <c r="V83" s="400"/>
      <c r="W83" s="400"/>
      <c r="X83" s="400"/>
    </row>
    <row r="84" spans="3:24" ht="14.4" x14ac:dyDescent="0.3">
      <c r="C84" s="419" t="s">
        <v>641</v>
      </c>
      <c r="D84" s="2266" t="s">
        <v>643</v>
      </c>
      <c r="E84" s="308" t="s">
        <v>56</v>
      </c>
      <c r="F84" s="2674">
        <v>0</v>
      </c>
      <c r="G84" s="2674">
        <v>0</v>
      </c>
      <c r="H84" s="2674">
        <v>0</v>
      </c>
      <c r="I84" s="2674">
        <v>26.049679999999999</v>
      </c>
      <c r="J84" s="2674">
        <v>25.811679999999999</v>
      </c>
      <c r="K84" s="2674">
        <v>26.049720000000001</v>
      </c>
      <c r="L84" s="2229">
        <f t="shared" si="30"/>
        <v>77.911079999999998</v>
      </c>
      <c r="M84" s="334">
        <v>0.04</v>
      </c>
      <c r="N84" s="2906"/>
      <c r="O84" s="221"/>
      <c r="P84" s="222"/>
      <c r="Q84" s="400"/>
      <c r="R84" s="400"/>
      <c r="S84" s="400"/>
      <c r="T84" s="400"/>
      <c r="U84" s="400"/>
      <c r="V84" s="400"/>
      <c r="W84" s="400"/>
      <c r="X84" s="400"/>
    </row>
    <row r="85" spans="3:24" ht="14.4" x14ac:dyDescent="0.3">
      <c r="C85" s="2002" t="s">
        <v>1086</v>
      </c>
      <c r="D85" s="1725"/>
      <c r="E85" s="1725" t="s">
        <v>56</v>
      </c>
      <c r="F85" s="2230">
        <f t="shared" ref="F85:K85" si="33">+F86+F87</f>
        <v>0</v>
      </c>
      <c r="G85" s="2230">
        <f t="shared" si="33"/>
        <v>0</v>
      </c>
      <c r="H85" s="2230">
        <f t="shared" si="33"/>
        <v>0</v>
      </c>
      <c r="I85" s="2230">
        <f t="shared" si="33"/>
        <v>0</v>
      </c>
      <c r="J85" s="2230">
        <f t="shared" si="33"/>
        <v>0</v>
      </c>
      <c r="K85" s="2230">
        <f t="shared" si="33"/>
        <v>0</v>
      </c>
      <c r="L85" s="2229">
        <f>SUM(F85:K85)</f>
        <v>0</v>
      </c>
      <c r="M85" s="334">
        <v>1.4999999999999999E-2</v>
      </c>
      <c r="N85" s="2906"/>
      <c r="O85" s="221"/>
      <c r="P85" s="222"/>
      <c r="Q85" s="334"/>
      <c r="R85" s="334"/>
      <c r="S85" s="334"/>
      <c r="T85" s="400"/>
      <c r="U85" s="400"/>
      <c r="V85" s="400"/>
      <c r="W85" s="400"/>
      <c r="X85" s="400"/>
    </row>
    <row r="86" spans="3:24" ht="14.4" x14ac:dyDescent="0.3">
      <c r="C86" s="1726" t="s">
        <v>1221</v>
      </c>
      <c r="D86" s="1725"/>
      <c r="E86" s="1725" t="s">
        <v>56</v>
      </c>
      <c r="F86" s="2674">
        <v>0</v>
      </c>
      <c r="G86" s="2674">
        <v>0</v>
      </c>
      <c r="H86" s="2674">
        <v>0</v>
      </c>
      <c r="I86" s="2674">
        <v>0</v>
      </c>
      <c r="J86" s="2674">
        <v>0</v>
      </c>
      <c r="K86" s="2674">
        <v>0</v>
      </c>
      <c r="L86" s="2229">
        <f>SUM(F86:K86)</f>
        <v>0</v>
      </c>
      <c r="M86" s="334"/>
      <c r="N86" s="2906"/>
      <c r="O86" s="221"/>
      <c r="P86" s="222"/>
      <c r="Q86" s="334"/>
      <c r="R86" s="334"/>
      <c r="S86" s="334"/>
      <c r="T86" s="400"/>
      <c r="U86" s="400"/>
      <c r="V86" s="400"/>
      <c r="W86" s="400"/>
      <c r="X86" s="400"/>
    </row>
    <row r="87" spans="3:24" ht="14.4" x14ac:dyDescent="0.3">
      <c r="C87" s="1726" t="s">
        <v>809</v>
      </c>
      <c r="D87" s="1725"/>
      <c r="E87" s="1725" t="s">
        <v>56</v>
      </c>
      <c r="F87" s="2674">
        <v>0</v>
      </c>
      <c r="G87" s="2674">
        <v>0</v>
      </c>
      <c r="H87" s="2674">
        <v>0</v>
      </c>
      <c r="I87" s="2674">
        <v>0</v>
      </c>
      <c r="J87" s="2674">
        <v>0</v>
      </c>
      <c r="K87" s="2674">
        <v>0</v>
      </c>
      <c r="L87" s="2229">
        <f t="shared" si="30"/>
        <v>0</v>
      </c>
      <c r="M87" s="334"/>
      <c r="N87" s="2906"/>
      <c r="O87" s="1758"/>
      <c r="P87" s="953"/>
      <c r="Q87" s="334"/>
      <c r="R87" s="334"/>
      <c r="S87" s="334"/>
      <c r="T87" s="400"/>
      <c r="U87" s="400"/>
      <c r="V87" s="400"/>
      <c r="W87" s="400"/>
      <c r="X87" s="400"/>
    </row>
    <row r="88" spans="3:24" ht="14.4" x14ac:dyDescent="0.3">
      <c r="C88" s="1332"/>
      <c r="D88" s="1332"/>
      <c r="E88" s="1332"/>
      <c r="F88" s="2231"/>
      <c r="G88" s="2231"/>
      <c r="H88" s="2231"/>
      <c r="I88" s="2231"/>
      <c r="J88" s="2231"/>
      <c r="K88" s="2231"/>
      <c r="L88" s="2232"/>
      <c r="M88" s="177"/>
      <c r="N88" s="2906"/>
      <c r="O88" s="948" t="s">
        <v>462</v>
      </c>
      <c r="P88" s="953" t="s">
        <v>463</v>
      </c>
      <c r="Q88" s="400"/>
      <c r="R88" s="400"/>
      <c r="S88" s="400"/>
      <c r="T88" s="400"/>
      <c r="U88" s="400"/>
      <c r="V88" s="400"/>
      <c r="W88" s="400"/>
      <c r="X88" s="400"/>
    </row>
    <row r="89" spans="3:24" ht="14.4" x14ac:dyDescent="0.3">
      <c r="C89" s="250" t="s">
        <v>614</v>
      </c>
      <c r="D89" s="250" t="s">
        <v>422</v>
      </c>
      <c r="E89" s="250" t="s">
        <v>56</v>
      </c>
      <c r="F89" s="2674">
        <v>0</v>
      </c>
      <c r="G89" s="2674">
        <v>0</v>
      </c>
      <c r="H89" s="2674">
        <v>0</v>
      </c>
      <c r="I89" s="2674">
        <v>0.2</v>
      </c>
      <c r="J89" s="2674">
        <v>0.2</v>
      </c>
      <c r="K89" s="2674">
        <v>0.2</v>
      </c>
      <c r="L89" s="2229">
        <f t="shared" si="30"/>
        <v>0.60000000000000009</v>
      </c>
      <c r="M89" s="253"/>
      <c r="N89" s="2906"/>
      <c r="O89" s="949" t="s">
        <v>716</v>
      </c>
      <c r="P89" s="954" t="s">
        <v>538</v>
      </c>
    </row>
    <row r="90" spans="3:24" ht="14.4" x14ac:dyDescent="0.3">
      <c r="C90" s="1330" t="s">
        <v>845</v>
      </c>
      <c r="D90" s="250" t="s">
        <v>538</v>
      </c>
      <c r="E90" s="250" t="s">
        <v>56</v>
      </c>
      <c r="F90" s="2674">
        <v>0</v>
      </c>
      <c r="G90" s="2674">
        <v>0</v>
      </c>
      <c r="H90" s="2674">
        <v>0</v>
      </c>
      <c r="I90" s="2674">
        <v>11.456619999999999</v>
      </c>
      <c r="J90" s="2674">
        <v>11.56061</v>
      </c>
      <c r="K90" s="2674">
        <v>11.456630000000001</v>
      </c>
      <c r="L90" s="2229">
        <f t="shared" si="30"/>
        <v>34.473860000000002</v>
      </c>
      <c r="M90" s="334">
        <v>3.5000000000000003E-2</v>
      </c>
      <c r="N90" s="2906"/>
      <c r="O90" s="949" t="s">
        <v>641</v>
      </c>
      <c r="P90" s="954" t="s">
        <v>643</v>
      </c>
    </row>
    <row r="91" spans="3:24" ht="14.4" x14ac:dyDescent="0.3">
      <c r="C91" s="250" t="s">
        <v>540</v>
      </c>
      <c r="D91" s="250"/>
      <c r="E91" s="250" t="s">
        <v>56</v>
      </c>
      <c r="F91" s="2230">
        <f>SUM(F89:F90)</f>
        <v>0</v>
      </c>
      <c r="G91" s="2230">
        <f t="shared" ref="G91:K91" si="34">SUM(G89:G90)</f>
        <v>0</v>
      </c>
      <c r="H91" s="2230">
        <f t="shared" si="34"/>
        <v>0</v>
      </c>
      <c r="I91" s="2230">
        <f t="shared" si="34"/>
        <v>11.656619999999998</v>
      </c>
      <c r="J91" s="2230">
        <f t="shared" si="34"/>
        <v>11.76061</v>
      </c>
      <c r="K91" s="2230">
        <f t="shared" si="34"/>
        <v>11.65663</v>
      </c>
      <c r="L91" s="2229">
        <f t="shared" si="30"/>
        <v>35.073859999999996</v>
      </c>
      <c r="M91" s="179"/>
      <c r="N91" s="179"/>
      <c r="O91" s="950" t="s">
        <v>1175</v>
      </c>
      <c r="P91" s="955" t="s">
        <v>1176</v>
      </c>
    </row>
    <row r="92" spans="3:24" ht="15" thickBot="1" x14ac:dyDescent="0.35">
      <c r="F92" s="2233"/>
      <c r="G92" s="2233"/>
      <c r="H92" s="2233"/>
      <c r="I92" s="2233"/>
      <c r="J92" s="2233"/>
      <c r="K92" s="2233"/>
      <c r="L92" s="2233"/>
      <c r="N92" s="177"/>
      <c r="O92" s="227" t="s">
        <v>430</v>
      </c>
      <c r="P92" s="226" t="s">
        <v>464</v>
      </c>
      <c r="Q92" s="401"/>
      <c r="R92" s="401"/>
      <c r="S92" s="401"/>
      <c r="T92" s="401"/>
      <c r="U92" s="401"/>
    </row>
    <row r="93" spans="3:24" ht="14.4" x14ac:dyDescent="0.3">
      <c r="C93" s="608" t="s">
        <v>658</v>
      </c>
      <c r="D93" s="251"/>
      <c r="E93" s="251"/>
      <c r="F93" s="2234">
        <f t="shared" ref="F93:K93" si="35">+F91+F75+F76+F77+F78+F79+F83+F84+F82+F85</f>
        <v>0</v>
      </c>
      <c r="G93" s="2234">
        <f>+G91+G75+G76+G77+G78+G79+G83+G84+G82+G85</f>
        <v>0</v>
      </c>
      <c r="H93" s="2234">
        <f t="shared" si="35"/>
        <v>0</v>
      </c>
      <c r="I93" s="2234">
        <f>+I91+I75+I76+I77+I78+I79+I83+I84+I82+I85</f>
        <v>630.39349000000004</v>
      </c>
      <c r="J93" s="2235">
        <f t="shared" si="35"/>
        <v>611.95750999999996</v>
      </c>
      <c r="K93" s="2234">
        <f t="shared" si="35"/>
        <v>486.00380999999993</v>
      </c>
      <c r="L93" s="2236">
        <f>SUM(F93:K93)</f>
        <v>1728.35481</v>
      </c>
      <c r="M93" s="177"/>
      <c r="N93" s="2558">
        <f>L93-SUM(F89:K89)</f>
        <v>1727.7548100000001</v>
      </c>
      <c r="O93" s="183"/>
      <c r="P93" s="401"/>
      <c r="Q93" s="401"/>
      <c r="R93" s="401"/>
      <c r="S93" s="401"/>
      <c r="T93" s="401"/>
      <c r="U93" s="401"/>
    </row>
    <row r="94" spans="3:24" ht="15" hidden="1" customHeight="1" x14ac:dyDescent="0.3">
      <c r="C94" s="177"/>
      <c r="D94" s="177"/>
      <c r="E94" s="177"/>
      <c r="F94" s="2237">
        <f>F93-F89</f>
        <v>0</v>
      </c>
      <c r="G94" s="2237">
        <f t="shared" ref="G94:K94" si="36">G93-G89</f>
        <v>0</v>
      </c>
      <c r="H94" s="2237">
        <f t="shared" si="36"/>
        <v>0</v>
      </c>
      <c r="I94" s="2237">
        <f t="shared" si="36"/>
        <v>630.19349</v>
      </c>
      <c r="J94" s="2237">
        <f t="shared" si="36"/>
        <v>611.75750999999991</v>
      </c>
      <c r="K94" s="2237">
        <f t="shared" si="36"/>
        <v>485.80380999999994</v>
      </c>
      <c r="L94" s="2237">
        <f t="shared" ref="L94:L96" si="37">SUM(F94:K94)</f>
        <v>1727.7548099999999</v>
      </c>
      <c r="M94" s="179"/>
      <c r="N94" s="179"/>
      <c r="O94" s="951"/>
      <c r="P94" s="401"/>
    </row>
    <row r="95" spans="3:24" ht="15" hidden="1" customHeight="1" x14ac:dyDescent="0.3">
      <c r="C95" s="1097" t="s">
        <v>794</v>
      </c>
      <c r="D95" s="1098"/>
      <c r="E95" s="1097" t="s">
        <v>56</v>
      </c>
      <c r="F95" s="2238"/>
      <c r="G95" s="2238"/>
      <c r="H95" s="2238"/>
      <c r="I95" s="2238"/>
      <c r="J95" s="2238"/>
      <c r="K95" s="2238"/>
      <c r="L95" s="2238">
        <f t="shared" si="37"/>
        <v>0</v>
      </c>
      <c r="M95" s="179"/>
      <c r="N95" s="179"/>
      <c r="O95" s="951"/>
      <c r="P95" s="401"/>
    </row>
    <row r="96" spans="3:24" ht="14.4" hidden="1" x14ac:dyDescent="0.3">
      <c r="C96" s="177"/>
      <c r="D96" s="177"/>
      <c r="E96" s="177"/>
      <c r="F96" s="2239">
        <f>F93-F89</f>
        <v>0</v>
      </c>
      <c r="G96" s="2239">
        <f>G93-G89</f>
        <v>0</v>
      </c>
      <c r="H96" s="2239">
        <f t="shared" ref="H96:K96" si="38">H93-H89</f>
        <v>0</v>
      </c>
      <c r="I96" s="2239">
        <f t="shared" si="38"/>
        <v>630.19349</v>
      </c>
      <c r="J96" s="2239">
        <f t="shared" si="38"/>
        <v>611.75750999999991</v>
      </c>
      <c r="K96" s="2239">
        <f t="shared" si="38"/>
        <v>485.80380999999994</v>
      </c>
      <c r="L96" s="2254">
        <f t="shared" si="37"/>
        <v>1727.7548099999999</v>
      </c>
      <c r="M96" s="177"/>
      <c r="N96" s="177"/>
      <c r="O96" s="951"/>
      <c r="P96" s="401"/>
    </row>
    <row r="97" spans="3:18" ht="14.4" hidden="1" x14ac:dyDescent="0.3">
      <c r="C97" s="177"/>
      <c r="D97" s="177"/>
      <c r="E97" s="177"/>
      <c r="F97" s="2239">
        <f t="shared" ref="F97:K97" si="39">F75+F76+F77+F78+F79+F83+F84+F90</f>
        <v>0</v>
      </c>
      <c r="G97" s="2239">
        <f t="shared" si="39"/>
        <v>0</v>
      </c>
      <c r="H97" s="2239">
        <f t="shared" si="39"/>
        <v>0</v>
      </c>
      <c r="I97" s="2239">
        <f t="shared" si="39"/>
        <v>598.16549000000009</v>
      </c>
      <c r="J97" s="2239">
        <f t="shared" si="39"/>
        <v>611.75751000000002</v>
      </c>
      <c r="K97" s="2239">
        <f t="shared" si="39"/>
        <v>485.80381</v>
      </c>
      <c r="L97" s="2254">
        <f>SUM(F97:K97)</f>
        <v>1695.7268100000001</v>
      </c>
      <c r="M97" s="177"/>
      <c r="N97" s="177"/>
      <c r="O97" s="951"/>
      <c r="P97" s="401"/>
    </row>
    <row r="98" spans="3:18" ht="14.4" x14ac:dyDescent="0.3">
      <c r="C98" s="177"/>
      <c r="D98" s="177"/>
      <c r="E98" s="177"/>
      <c r="F98" s="2240"/>
      <c r="G98" s="2240"/>
      <c r="H98" s="2240"/>
      <c r="I98" s="2240"/>
      <c r="J98" s="2240"/>
      <c r="K98" s="2240"/>
      <c r="L98" s="2241"/>
      <c r="M98" s="2904"/>
      <c r="N98" s="2558">
        <f>N93+F89</f>
        <v>1727.7548100000001</v>
      </c>
      <c r="O98" s="951"/>
      <c r="P98" s="401"/>
    </row>
    <row r="99" spans="3:18" ht="14.4" x14ac:dyDescent="0.3">
      <c r="C99" s="1329" t="s">
        <v>840</v>
      </c>
      <c r="D99" s="1285"/>
      <c r="E99" s="1284" t="s">
        <v>56</v>
      </c>
      <c r="F99" s="2674">
        <v>0</v>
      </c>
      <c r="G99" s="2674">
        <v>0</v>
      </c>
      <c r="H99" s="2674">
        <v>0</v>
      </c>
      <c r="I99" s="2674">
        <v>204.4</v>
      </c>
      <c r="J99" s="2674">
        <v>199.79999999999998</v>
      </c>
      <c r="K99" s="2674">
        <v>189.3</v>
      </c>
      <c r="L99" s="2229">
        <f>SUM(F99:K99)</f>
        <v>593.5</v>
      </c>
      <c r="M99" s="177"/>
      <c r="N99" s="177"/>
      <c r="O99" s="951"/>
      <c r="P99" s="401"/>
    </row>
    <row r="100" spans="3:18" ht="14.4" x14ac:dyDescent="0.3">
      <c r="C100" s="1289" t="s">
        <v>794</v>
      </c>
      <c r="D100" s="1288"/>
      <c r="E100" s="1287" t="s">
        <v>56</v>
      </c>
      <c r="F100" s="2674">
        <v>0</v>
      </c>
      <c r="G100" s="2674">
        <v>0</v>
      </c>
      <c r="H100" s="2674">
        <v>0</v>
      </c>
      <c r="I100" s="2674">
        <v>0</v>
      </c>
      <c r="J100" s="2674">
        <v>0</v>
      </c>
      <c r="K100" s="2674">
        <v>0</v>
      </c>
      <c r="L100" s="2242">
        <f>SUM(F100:K100)</f>
        <v>0</v>
      </c>
      <c r="M100" s="177"/>
      <c r="N100" s="177"/>
      <c r="O100" s="951"/>
      <c r="P100" s="401"/>
    </row>
    <row r="101" spans="3:18" ht="14.4" x14ac:dyDescent="0.3">
      <c r="C101" s="177"/>
      <c r="D101" s="177"/>
      <c r="E101" s="177"/>
      <c r="F101" s="2233"/>
      <c r="G101" s="2233"/>
      <c r="H101" s="2233"/>
      <c r="I101" s="2233"/>
      <c r="J101" s="2233"/>
      <c r="K101" s="2233"/>
      <c r="L101" s="2241"/>
      <c r="M101" s="177"/>
      <c r="N101" s="177"/>
      <c r="O101" s="951"/>
      <c r="P101" s="401"/>
    </row>
    <row r="102" spans="3:18" ht="14.4" x14ac:dyDescent="0.3">
      <c r="C102" s="611" t="s">
        <v>640</v>
      </c>
      <c r="D102" s="251"/>
      <c r="E102" s="611" t="s">
        <v>56</v>
      </c>
      <c r="F102" s="2234">
        <f>F28+F62+F61+F93+F95+F99+F100+F31</f>
        <v>0</v>
      </c>
      <c r="G102" s="2234">
        <f t="shared" ref="G102:K102" si="40">G28+G62+G61+G93+G95+G99+G100+G31</f>
        <v>0</v>
      </c>
      <c r="H102" s="2234">
        <f t="shared" si="40"/>
        <v>0</v>
      </c>
      <c r="I102" s="2234">
        <f t="shared" si="40"/>
        <v>1505.2036644100001</v>
      </c>
      <c r="J102" s="2234">
        <f t="shared" si="40"/>
        <v>1612.9662837999999</v>
      </c>
      <c r="K102" s="2234">
        <f t="shared" si="40"/>
        <v>1576.3539009999997</v>
      </c>
      <c r="L102" s="2291">
        <f>L28+L62+L61+L93+L95+L99+L100+L31</f>
        <v>4694.5238492099998</v>
      </c>
      <c r="M102" s="2800">
        <f>+L102+[11]DispatchSchedule!$K$101</f>
        <v>6125.4622492099998</v>
      </c>
      <c r="N102" s="946"/>
      <c r="O102" s="183"/>
      <c r="P102" s="401"/>
    </row>
    <row r="103" spans="3:18" ht="15" hidden="1" customHeight="1" x14ac:dyDescent="0.3">
      <c r="C103" s="177"/>
      <c r="D103" s="177"/>
      <c r="E103" s="177"/>
      <c r="F103" s="2243">
        <f t="shared" ref="F103:K103" si="41">F96+F63+F28</f>
        <v>0</v>
      </c>
      <c r="G103" s="2243">
        <f t="shared" si="41"/>
        <v>0</v>
      </c>
      <c r="H103" s="2243">
        <f t="shared" si="41"/>
        <v>0</v>
      </c>
      <c r="I103" s="2243">
        <f t="shared" si="41"/>
        <v>1294.85580241</v>
      </c>
      <c r="J103" s="2243">
        <f t="shared" si="41"/>
        <v>1369.9907637999997</v>
      </c>
      <c r="K103" s="2243">
        <f t="shared" si="41"/>
        <v>1327.9771009999999</v>
      </c>
      <c r="L103" s="2243">
        <f t="shared" ref="L103:L106" si="42">SUM(F103:K103)</f>
        <v>3992.8236672099997</v>
      </c>
      <c r="M103" s="946"/>
      <c r="N103" s="179"/>
      <c r="P103" s="400"/>
    </row>
    <row r="104" spans="3:18" ht="15" hidden="1" customHeight="1" x14ac:dyDescent="0.3">
      <c r="C104" s="1324" t="s">
        <v>838</v>
      </c>
      <c r="D104" s="177"/>
      <c r="E104" s="177"/>
      <c r="F104" s="2243">
        <v>1415.9199999999998</v>
      </c>
      <c r="G104" s="2243">
        <v>1323.3799999999999</v>
      </c>
      <c r="H104" s="2243">
        <v>1517.99</v>
      </c>
      <c r="I104" s="2243">
        <v>1413.4599999999998</v>
      </c>
      <c r="J104" s="2243">
        <v>1500.71</v>
      </c>
      <c r="K104" s="2243">
        <v>1483.95</v>
      </c>
      <c r="L104" s="2243">
        <f t="shared" si="42"/>
        <v>8655.41</v>
      </c>
      <c r="M104" s="946"/>
      <c r="N104" s="179"/>
      <c r="P104" s="400"/>
    </row>
    <row r="105" spans="3:18" ht="15" hidden="1" customHeight="1" x14ac:dyDescent="0.3">
      <c r="C105" s="1324" t="s">
        <v>837</v>
      </c>
      <c r="D105" s="177"/>
      <c r="E105" s="177"/>
      <c r="F105" s="2243">
        <v>2.6568999999999998</v>
      </c>
      <c r="G105" s="2243">
        <v>7.8304999999999998</v>
      </c>
      <c r="H105" s="2243">
        <v>2.6873999999999998</v>
      </c>
      <c r="I105" s="2243">
        <v>8.4588000000000001</v>
      </c>
      <c r="J105" s="2243">
        <v>15.359</v>
      </c>
      <c r="K105" s="2243">
        <v>9.9840999999999998</v>
      </c>
      <c r="L105" s="2243">
        <f t="shared" si="42"/>
        <v>46.976700000000001</v>
      </c>
      <c r="M105" s="946"/>
      <c r="N105" s="179"/>
      <c r="P105" s="400"/>
    </row>
    <row r="106" spans="3:18" ht="15" hidden="1" customHeight="1" x14ac:dyDescent="0.3">
      <c r="C106" s="177"/>
      <c r="D106" s="177"/>
      <c r="E106" s="177"/>
      <c r="F106" s="2243">
        <f>F103+F105-F104</f>
        <v>-1413.2630999999999</v>
      </c>
      <c r="G106" s="2243">
        <f t="shared" ref="G106:K106" si="43">G103+G105-G104</f>
        <v>-1315.5494999999999</v>
      </c>
      <c r="H106" s="2243">
        <f t="shared" si="43"/>
        <v>-1515.3026</v>
      </c>
      <c r="I106" s="2243">
        <f t="shared" si="43"/>
        <v>-110.14539758999967</v>
      </c>
      <c r="J106" s="2243">
        <f t="shared" si="43"/>
        <v>-115.36023620000037</v>
      </c>
      <c r="K106" s="2243">
        <f t="shared" si="43"/>
        <v>-145.9887990000002</v>
      </c>
      <c r="L106" s="2243">
        <f t="shared" si="42"/>
        <v>-4615.6096327899995</v>
      </c>
      <c r="M106" s="946"/>
      <c r="N106" s="179"/>
      <c r="P106" s="400"/>
    </row>
    <row r="107" spans="3:18" ht="14.4" x14ac:dyDescent="0.3">
      <c r="C107" s="177"/>
      <c r="D107" s="177"/>
      <c r="E107" s="177"/>
      <c r="F107" s="2239">
        <f>F102-F89</f>
        <v>0</v>
      </c>
      <c r="G107" s="2239">
        <f>G102-G89</f>
        <v>0</v>
      </c>
      <c r="H107" s="2239">
        <f t="shared" ref="H107:K107" si="44">H102-H89</f>
        <v>0</v>
      </c>
      <c r="I107" s="2239">
        <f>I102-I89</f>
        <v>1505.0036644100001</v>
      </c>
      <c r="J107" s="2239">
        <f t="shared" si="44"/>
        <v>1612.7662837999999</v>
      </c>
      <c r="K107" s="2239">
        <f t="shared" si="44"/>
        <v>1576.1539009999997</v>
      </c>
      <c r="L107" s="2254">
        <f>SUM(F107:K107)</f>
        <v>4693.9238492099994</v>
      </c>
      <c r="M107" s="2268">
        <f>1504.963+1612.866+1576.192</f>
        <v>4694.0209999999997</v>
      </c>
      <c r="N107" s="946"/>
      <c r="P107" s="400"/>
    </row>
    <row r="108" spans="3:18" ht="14.4" x14ac:dyDescent="0.3">
      <c r="C108" s="177"/>
      <c r="D108" s="177"/>
      <c r="E108" s="177"/>
      <c r="F108" s="2244"/>
      <c r="G108" s="2244"/>
      <c r="H108" s="2244"/>
      <c r="I108" s="2244"/>
      <c r="J108" s="2244"/>
      <c r="K108" s="2244"/>
      <c r="L108" s="2243"/>
      <c r="M108" s="946">
        <f>+M107-L107</f>
        <v>9.7150790000341658E-2</v>
      </c>
      <c r="P108" s="400"/>
    </row>
    <row r="109" spans="3:18" ht="14.4" x14ac:dyDescent="0.3">
      <c r="C109" s="2907" t="s">
        <v>600</v>
      </c>
      <c r="D109" s="2908"/>
      <c r="E109" s="250">
        <v>1</v>
      </c>
      <c r="F109" s="2674">
        <v>0</v>
      </c>
      <c r="G109" s="2674">
        <v>0</v>
      </c>
      <c r="H109" s="2674">
        <v>0</v>
      </c>
      <c r="I109" s="2674">
        <v>136.74700000000001</v>
      </c>
      <c r="J109" s="2674">
        <v>141.3049</v>
      </c>
      <c r="K109" s="2674">
        <v>23.96604</v>
      </c>
      <c r="L109" s="2230">
        <f>F109+G109+H109+I109+J109+K109</f>
        <v>302.01794000000007</v>
      </c>
      <c r="M109" s="460"/>
      <c r="N109" s="460"/>
      <c r="P109" s="400"/>
      <c r="Q109" s="434"/>
      <c r="R109" s="434"/>
    </row>
    <row r="110" spans="3:18" ht="14.4" x14ac:dyDescent="0.3">
      <c r="C110" s="2909"/>
      <c r="D110" s="2910"/>
      <c r="E110" s="250">
        <v>2</v>
      </c>
      <c r="F110" s="2674">
        <v>0</v>
      </c>
      <c r="G110" s="2674">
        <v>0</v>
      </c>
      <c r="H110" s="2674">
        <v>0</v>
      </c>
      <c r="I110" s="2674">
        <v>136.74700000000001</v>
      </c>
      <c r="J110" s="2674">
        <v>141.2807</v>
      </c>
      <c r="K110" s="2674">
        <v>136.74690000000001</v>
      </c>
      <c r="L110" s="2230">
        <f t="shared" ref="L110:L111" si="45">F110+G110+H110+I110+J110+K110</f>
        <v>414.77459999999996</v>
      </c>
      <c r="M110" s="2902">
        <f>I107+J107+K107</f>
        <v>4693.9238492099994</v>
      </c>
      <c r="N110" s="459"/>
      <c r="O110" s="177"/>
      <c r="P110" s="400"/>
      <c r="Q110" s="459"/>
      <c r="R110" s="434"/>
    </row>
    <row r="111" spans="3:18" ht="14.4" x14ac:dyDescent="0.3">
      <c r="C111" s="2909"/>
      <c r="D111" s="2910"/>
      <c r="E111" s="250">
        <v>3</v>
      </c>
      <c r="F111" s="2674">
        <v>0</v>
      </c>
      <c r="G111" s="2674">
        <v>0</v>
      </c>
      <c r="H111" s="2674">
        <v>0</v>
      </c>
      <c r="I111" s="2674">
        <v>136.74700000000001</v>
      </c>
      <c r="J111" s="2674">
        <v>141.3049</v>
      </c>
      <c r="K111" s="2674">
        <v>136.74690000000001</v>
      </c>
      <c r="L111" s="2230">
        <f t="shared" si="45"/>
        <v>414.79880000000003</v>
      </c>
      <c r="M111" s="179"/>
      <c r="N111" s="179"/>
      <c r="P111" s="400"/>
    </row>
    <row r="112" spans="3:18" ht="14.4" x14ac:dyDescent="0.3">
      <c r="C112" s="2911"/>
      <c r="D112" s="2912"/>
      <c r="E112" s="846" t="s">
        <v>445</v>
      </c>
      <c r="F112" s="2245">
        <f>F109+F110+F111</f>
        <v>0</v>
      </c>
      <c r="G112" s="2245">
        <f t="shared" ref="G112:K112" si="46">G109+G110+G111</f>
        <v>0</v>
      </c>
      <c r="H112" s="2245">
        <f t="shared" si="46"/>
        <v>0</v>
      </c>
      <c r="I112" s="2245">
        <f t="shared" si="46"/>
        <v>410.24100000000004</v>
      </c>
      <c r="J112" s="2245">
        <f t="shared" si="46"/>
        <v>423.89049999999997</v>
      </c>
      <c r="K112" s="2245">
        <f t="shared" si="46"/>
        <v>297.45983999999999</v>
      </c>
      <c r="L112" s="2230">
        <f>F112+G112+H112+I112+J112+K112</f>
        <v>1131.5913399999999</v>
      </c>
      <c r="M112" s="177"/>
      <c r="N112" s="177"/>
      <c r="P112" s="400"/>
    </row>
    <row r="113" spans="3:16" ht="14.4" x14ac:dyDescent="0.3">
      <c r="C113" s="459"/>
      <c r="D113" s="459"/>
      <c r="E113" s="459"/>
      <c r="F113" s="2243"/>
      <c r="G113" s="2243"/>
      <c r="H113" s="2243"/>
      <c r="I113" s="2243"/>
      <c r="J113" s="2243"/>
      <c r="K113" s="2243"/>
      <c r="L113" s="2244"/>
      <c r="M113" s="180"/>
      <c r="N113" s="180"/>
      <c r="P113" s="400"/>
    </row>
    <row r="114" spans="3:16" ht="14.4" x14ac:dyDescent="0.3">
      <c r="C114" s="459"/>
      <c r="D114" s="459"/>
      <c r="E114" s="459"/>
      <c r="F114" s="2243"/>
      <c r="G114" s="2243"/>
      <c r="H114" s="2243"/>
      <c r="I114" s="2243"/>
      <c r="J114" s="2243"/>
      <c r="K114" s="2243"/>
      <c r="L114" s="2233"/>
      <c r="P114" s="400"/>
    </row>
    <row r="115" spans="3:16" ht="28.8" x14ac:dyDescent="0.3">
      <c r="C115" s="1760" t="s">
        <v>1066</v>
      </c>
      <c r="D115" s="250"/>
      <c r="E115" s="1923" t="s">
        <v>56</v>
      </c>
      <c r="F115" s="2520">
        <f>+F31+F61+F99</f>
        <v>0</v>
      </c>
      <c r="G115" s="2520">
        <f t="shared" ref="G115:K115" si="47">+G31+G61+G99</f>
        <v>0</v>
      </c>
      <c r="H115" s="2520">
        <f t="shared" si="47"/>
        <v>0</v>
      </c>
      <c r="I115" s="2520">
        <f t="shared" si="47"/>
        <v>353.20797441000008</v>
      </c>
      <c r="J115" s="2520">
        <f t="shared" si="47"/>
        <v>500.3464338</v>
      </c>
      <c r="K115" s="2520">
        <f t="shared" si="47"/>
        <v>550.86805099999992</v>
      </c>
      <c r="L115" s="2246">
        <f>+SUM(F115:K115)</f>
        <v>1404.4224592099999</v>
      </c>
      <c r="M115" s="177"/>
      <c r="N115" s="177"/>
    </row>
    <row r="116" spans="3:16" x14ac:dyDescent="0.2">
      <c r="F116" s="945"/>
      <c r="G116" s="945"/>
      <c r="H116" s="945"/>
      <c r="I116" s="945"/>
      <c r="J116" s="945"/>
      <c r="K116" s="945"/>
      <c r="L116" s="945"/>
      <c r="M116" s="565">
        <f>L107+0.18</f>
        <v>4694.1038492099997</v>
      </c>
    </row>
    <row r="117" spans="3:16" ht="14.4" x14ac:dyDescent="0.3">
      <c r="C117" s="2680"/>
      <c r="D117" s="2678"/>
      <c r="E117" s="2678"/>
      <c r="F117" s="2558"/>
      <c r="G117" s="2558"/>
      <c r="H117" s="2558"/>
      <c r="I117" s="2558"/>
      <c r="J117" s="2558"/>
      <c r="K117" s="2558"/>
      <c r="L117" s="177"/>
      <c r="M117" s="177"/>
      <c r="N117" s="177"/>
    </row>
    <row r="118" spans="3:16" x14ac:dyDescent="0.2">
      <c r="E118" s="2681"/>
      <c r="F118" s="1822"/>
      <c r="G118" s="1822"/>
      <c r="H118" s="1822"/>
      <c r="I118" s="1822"/>
      <c r="J118" s="1822"/>
      <c r="K118" s="1822"/>
    </row>
    <row r="119" spans="3:16" ht="14.4" x14ac:dyDescent="0.3">
      <c r="C119" s="177"/>
      <c r="F119" s="2559"/>
      <c r="G119" s="2559"/>
      <c r="H119" s="2559"/>
      <c r="I119" s="2559"/>
      <c r="J119" s="2559"/>
      <c r="K119" s="2559"/>
    </row>
    <row r="120" spans="3:16" ht="14.4" x14ac:dyDescent="0.3">
      <c r="C120" s="177"/>
      <c r="F120" s="565"/>
      <c r="G120" s="565"/>
      <c r="H120" s="565"/>
      <c r="I120" s="565"/>
      <c r="J120" s="565"/>
      <c r="K120" s="565"/>
    </row>
    <row r="121" spans="3:16" x14ac:dyDescent="0.2">
      <c r="F121" s="565"/>
      <c r="G121" s="565"/>
      <c r="H121" s="565"/>
      <c r="I121" s="565"/>
      <c r="J121" s="565"/>
      <c r="K121" s="565"/>
    </row>
    <row r="122" spans="3:16" ht="14.4" x14ac:dyDescent="0.3">
      <c r="C122" s="177"/>
      <c r="F122" s="565"/>
      <c r="G122" s="565"/>
      <c r="H122" s="565"/>
      <c r="I122" s="565"/>
      <c r="J122" s="565"/>
      <c r="K122" s="565"/>
    </row>
    <row r="124" spans="3:16" x14ac:dyDescent="0.2">
      <c r="F124" s="565"/>
      <c r="G124" s="565"/>
      <c r="H124" s="565"/>
      <c r="I124" s="565"/>
      <c r="J124" s="565"/>
      <c r="K124" s="565"/>
    </row>
    <row r="126" spans="3:16" x14ac:dyDescent="0.2">
      <c r="F126" s="1823"/>
      <c r="G126" s="1823"/>
      <c r="H126" s="1823"/>
      <c r="I126" s="1823"/>
      <c r="J126" s="1823"/>
      <c r="K126" s="1823"/>
    </row>
    <row r="127" spans="3:16" x14ac:dyDescent="0.2">
      <c r="F127" s="564"/>
      <c r="G127" s="564"/>
      <c r="H127" s="564"/>
      <c r="I127" s="564"/>
      <c r="J127" s="564"/>
      <c r="K127" s="564"/>
    </row>
    <row r="129" spans="6:11" x14ac:dyDescent="0.2">
      <c r="F129" s="1822"/>
      <c r="G129" s="1822"/>
      <c r="H129" s="1822"/>
      <c r="I129" s="1822"/>
      <c r="J129" s="1822"/>
      <c r="K129" s="1822"/>
    </row>
    <row r="208" spans="6:12" x14ac:dyDescent="0.2">
      <c r="F208" s="610"/>
      <c r="G208" s="610"/>
      <c r="H208" s="610"/>
      <c r="I208" s="610"/>
      <c r="J208" s="610"/>
      <c r="K208" s="610"/>
      <c r="L208" s="610"/>
    </row>
    <row r="209" spans="6:12" x14ac:dyDescent="0.2">
      <c r="F209" s="610"/>
      <c r="G209" s="610"/>
      <c r="H209" s="610"/>
      <c r="I209" s="610"/>
      <c r="J209" s="610"/>
      <c r="K209" s="610"/>
      <c r="L209" s="610"/>
    </row>
    <row r="210" spans="6:12" x14ac:dyDescent="0.2">
      <c r="F210" s="610"/>
      <c r="G210" s="610"/>
      <c r="H210" s="610"/>
      <c r="I210" s="610"/>
      <c r="J210" s="610"/>
      <c r="K210" s="610"/>
      <c r="L210" s="610"/>
    </row>
    <row r="211" spans="6:12" x14ac:dyDescent="0.2">
      <c r="F211" s="610"/>
      <c r="G211" s="610"/>
      <c r="H211" s="610"/>
      <c r="I211" s="610"/>
      <c r="J211" s="610"/>
      <c r="K211" s="610"/>
      <c r="L211" s="610"/>
    </row>
    <row r="212" spans="6:12" x14ac:dyDescent="0.2">
      <c r="F212" s="610"/>
      <c r="G212" s="610"/>
      <c r="H212" s="610"/>
      <c r="I212" s="610"/>
      <c r="J212" s="610"/>
      <c r="K212" s="610"/>
      <c r="L212" s="610"/>
    </row>
    <row r="213" spans="6:12" x14ac:dyDescent="0.2">
      <c r="F213" s="610"/>
      <c r="G213" s="610"/>
      <c r="H213" s="610"/>
      <c r="I213" s="610"/>
      <c r="J213" s="610"/>
      <c r="K213" s="610"/>
      <c r="L213" s="610"/>
    </row>
    <row r="214" spans="6:12" x14ac:dyDescent="0.2">
      <c r="F214" s="610"/>
      <c r="G214" s="610"/>
      <c r="H214" s="610"/>
      <c r="I214" s="610"/>
      <c r="J214" s="610"/>
      <c r="K214" s="610"/>
      <c r="L214" s="610"/>
    </row>
    <row r="215" spans="6:12" x14ac:dyDescent="0.2">
      <c r="F215" s="610"/>
      <c r="G215" s="610"/>
      <c r="H215" s="610"/>
      <c r="I215" s="610"/>
      <c r="J215" s="610"/>
      <c r="K215" s="610"/>
      <c r="L215" s="610"/>
    </row>
    <row r="216" spans="6:12" x14ac:dyDescent="0.2">
      <c r="F216" s="610"/>
      <c r="G216" s="610"/>
      <c r="H216" s="610"/>
      <c r="I216" s="610"/>
      <c r="J216" s="610"/>
      <c r="K216" s="610"/>
      <c r="L216" s="610"/>
    </row>
    <row r="217" spans="6:12" x14ac:dyDescent="0.2">
      <c r="F217" s="610"/>
      <c r="G217" s="610"/>
      <c r="H217" s="610"/>
      <c r="I217" s="610"/>
      <c r="J217" s="610"/>
      <c r="K217" s="610"/>
      <c r="L217" s="610"/>
    </row>
    <row r="218" spans="6:12" x14ac:dyDescent="0.2">
      <c r="F218" s="610"/>
      <c r="G218" s="610"/>
      <c r="H218" s="610"/>
      <c r="I218" s="610"/>
      <c r="J218" s="610"/>
      <c r="K218" s="610"/>
      <c r="L218" s="610"/>
    </row>
    <row r="219" spans="6:12" x14ac:dyDescent="0.2">
      <c r="F219" s="610"/>
      <c r="G219" s="610"/>
      <c r="H219" s="610"/>
      <c r="I219" s="610"/>
      <c r="J219" s="610"/>
      <c r="K219" s="610"/>
      <c r="L219" s="610"/>
    </row>
    <row r="220" spans="6:12" x14ac:dyDescent="0.2">
      <c r="F220" s="610"/>
      <c r="G220" s="610"/>
      <c r="H220" s="610"/>
      <c r="I220" s="610"/>
      <c r="J220" s="610"/>
      <c r="K220" s="610"/>
      <c r="L220" s="610"/>
    </row>
    <row r="221" spans="6:12" x14ac:dyDescent="0.2">
      <c r="F221" s="610"/>
      <c r="G221" s="610"/>
      <c r="H221" s="610"/>
      <c r="I221" s="610"/>
      <c r="J221" s="610"/>
      <c r="K221" s="610"/>
      <c r="L221" s="610"/>
    </row>
    <row r="222" spans="6:12" x14ac:dyDescent="0.2">
      <c r="F222" s="610"/>
      <c r="G222" s="610"/>
      <c r="H222" s="610"/>
      <c r="I222" s="610"/>
      <c r="J222" s="610"/>
      <c r="K222" s="610"/>
      <c r="L222" s="610"/>
    </row>
    <row r="223" spans="6:12" x14ac:dyDescent="0.2">
      <c r="F223" s="610"/>
      <c r="G223" s="610"/>
      <c r="H223" s="610"/>
      <c r="I223" s="610"/>
      <c r="J223" s="610"/>
      <c r="K223" s="610"/>
      <c r="L223" s="610"/>
    </row>
    <row r="224" spans="6:12" x14ac:dyDescent="0.2">
      <c r="F224" s="610"/>
      <c r="G224" s="610"/>
      <c r="H224" s="610"/>
      <c r="I224" s="610"/>
      <c r="J224" s="610"/>
      <c r="K224" s="610"/>
      <c r="L224" s="610"/>
    </row>
    <row r="225" spans="6:12" x14ac:dyDescent="0.2">
      <c r="F225" s="610"/>
      <c r="G225" s="610"/>
      <c r="H225" s="610"/>
      <c r="I225" s="610"/>
      <c r="J225" s="610"/>
      <c r="K225" s="610"/>
      <c r="L225" s="610"/>
    </row>
    <row r="226" spans="6:12" x14ac:dyDescent="0.2">
      <c r="F226" s="610"/>
      <c r="G226" s="610"/>
      <c r="H226" s="610"/>
      <c r="I226" s="610"/>
      <c r="J226" s="610"/>
      <c r="K226" s="610"/>
      <c r="L226" s="610"/>
    </row>
    <row r="227" spans="6:12" x14ac:dyDescent="0.2">
      <c r="F227" s="610"/>
      <c r="G227" s="610"/>
      <c r="H227" s="610"/>
      <c r="I227" s="610"/>
      <c r="J227" s="610"/>
      <c r="K227" s="610"/>
      <c r="L227" s="610"/>
    </row>
    <row r="228" spans="6:12" x14ac:dyDescent="0.2">
      <c r="F228" s="610"/>
      <c r="G228" s="610"/>
      <c r="H228" s="610"/>
      <c r="I228" s="610"/>
      <c r="J228" s="610"/>
      <c r="K228" s="610"/>
      <c r="L228" s="610"/>
    </row>
    <row r="229" spans="6:12" x14ac:dyDescent="0.2">
      <c r="F229" s="610"/>
      <c r="G229" s="610"/>
      <c r="H229" s="610"/>
      <c r="I229" s="610"/>
      <c r="J229" s="610"/>
      <c r="K229" s="610"/>
      <c r="L229" s="610"/>
    </row>
    <row r="230" spans="6:12" x14ac:dyDescent="0.2">
      <c r="F230" s="610"/>
      <c r="G230" s="610"/>
      <c r="H230" s="610"/>
      <c r="I230" s="610"/>
      <c r="J230" s="610"/>
      <c r="K230" s="610"/>
      <c r="L230" s="610"/>
    </row>
    <row r="231" spans="6:12" x14ac:dyDescent="0.2">
      <c r="F231" s="610"/>
      <c r="G231" s="610"/>
      <c r="H231" s="610"/>
      <c r="I231" s="610"/>
      <c r="J231" s="610"/>
      <c r="K231" s="610"/>
      <c r="L231" s="610"/>
    </row>
    <row r="232" spans="6:12" x14ac:dyDescent="0.2">
      <c r="F232" s="610"/>
      <c r="G232" s="610"/>
      <c r="H232" s="610"/>
      <c r="I232" s="610"/>
      <c r="J232" s="610"/>
      <c r="K232" s="610"/>
      <c r="L232" s="610"/>
    </row>
    <row r="233" spans="6:12" x14ac:dyDescent="0.2">
      <c r="F233" s="610"/>
      <c r="G233" s="610"/>
      <c r="H233" s="610"/>
      <c r="I233" s="610"/>
      <c r="J233" s="610"/>
      <c r="K233" s="610"/>
      <c r="L233" s="610"/>
    </row>
    <row r="234" spans="6:12" x14ac:dyDescent="0.2">
      <c r="F234" s="610"/>
      <c r="G234" s="610"/>
      <c r="H234" s="610"/>
      <c r="I234" s="610"/>
      <c r="J234" s="610"/>
      <c r="K234" s="610"/>
      <c r="L234" s="610"/>
    </row>
    <row r="235" spans="6:12" x14ac:dyDescent="0.2">
      <c r="F235" s="610"/>
      <c r="G235" s="610"/>
      <c r="H235" s="610"/>
      <c r="I235" s="610"/>
      <c r="J235" s="610"/>
      <c r="K235" s="610"/>
      <c r="L235" s="610"/>
    </row>
    <row r="236" spans="6:12" x14ac:dyDescent="0.2">
      <c r="F236" s="610"/>
      <c r="G236" s="610"/>
      <c r="H236" s="610"/>
      <c r="I236" s="610"/>
      <c r="J236" s="610"/>
      <c r="K236" s="610"/>
      <c r="L236" s="610"/>
    </row>
    <row r="237" spans="6:12" x14ac:dyDescent="0.2">
      <c r="F237" s="610"/>
      <c r="G237" s="610"/>
      <c r="H237" s="610"/>
      <c r="I237" s="610"/>
      <c r="J237" s="610"/>
      <c r="K237" s="610"/>
      <c r="L237" s="610"/>
    </row>
    <row r="238" spans="6:12" x14ac:dyDescent="0.2">
      <c r="F238" s="610"/>
      <c r="G238" s="610"/>
      <c r="H238" s="610"/>
      <c r="I238" s="610"/>
      <c r="J238" s="610"/>
      <c r="K238" s="610"/>
      <c r="L238" s="610"/>
    </row>
    <row r="239" spans="6:12" x14ac:dyDescent="0.2">
      <c r="F239" s="610"/>
      <c r="G239" s="610"/>
      <c r="H239" s="610"/>
      <c r="I239" s="610"/>
      <c r="J239" s="610"/>
      <c r="K239" s="610"/>
      <c r="L239" s="610"/>
    </row>
    <row r="240" spans="6:12" x14ac:dyDescent="0.2">
      <c r="F240" s="610"/>
      <c r="G240" s="610"/>
      <c r="H240" s="610"/>
      <c r="I240" s="610"/>
      <c r="J240" s="610"/>
      <c r="K240" s="610"/>
      <c r="L240" s="610"/>
    </row>
    <row r="241" spans="6:12" x14ac:dyDescent="0.2">
      <c r="F241" s="610"/>
      <c r="G241" s="610"/>
      <c r="H241" s="610"/>
      <c r="I241" s="610"/>
      <c r="J241" s="610"/>
      <c r="K241" s="610"/>
      <c r="L241" s="610"/>
    </row>
    <row r="242" spans="6:12" x14ac:dyDescent="0.2">
      <c r="F242" s="610"/>
      <c r="G242" s="610"/>
      <c r="H242" s="610"/>
      <c r="I242" s="610"/>
      <c r="J242" s="610"/>
      <c r="K242" s="610"/>
      <c r="L242" s="610"/>
    </row>
    <row r="243" spans="6:12" x14ac:dyDescent="0.2">
      <c r="F243" s="610"/>
      <c r="G243" s="610"/>
      <c r="H243" s="610"/>
      <c r="I243" s="610"/>
      <c r="J243" s="610"/>
      <c r="K243" s="610"/>
      <c r="L243" s="610"/>
    </row>
    <row r="244" spans="6:12" x14ac:dyDescent="0.2">
      <c r="F244" s="610"/>
      <c r="G244" s="610"/>
      <c r="H244" s="610"/>
      <c r="I244" s="610"/>
      <c r="J244" s="610"/>
      <c r="K244" s="610"/>
      <c r="L244" s="610"/>
    </row>
    <row r="245" spans="6:12" x14ac:dyDescent="0.2">
      <c r="F245" s="610"/>
      <c r="G245" s="610"/>
      <c r="H245" s="610"/>
      <c r="I245" s="610"/>
      <c r="J245" s="610"/>
      <c r="K245" s="610"/>
      <c r="L245" s="610"/>
    </row>
    <row r="246" spans="6:12" x14ac:dyDescent="0.2">
      <c r="F246" s="610"/>
      <c r="G246" s="610"/>
      <c r="H246" s="610"/>
      <c r="I246" s="610"/>
      <c r="J246" s="610"/>
      <c r="K246" s="610"/>
      <c r="L246" s="610"/>
    </row>
  </sheetData>
  <mergeCells count="1">
    <mergeCell ref="C109:D112"/>
  </mergeCells>
  <pageMargins left="0.7" right="0.7" top="0.75" bottom="0.75" header="0.3" footer="0.3"/>
  <pageSetup paperSize="9" scale="52" fitToWidth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0">
    <tabColor rgb="FFFFC000"/>
    <pageSetUpPr fitToPage="1"/>
  </sheetPr>
  <dimension ref="A1:L98"/>
  <sheetViews>
    <sheetView showGridLines="0" view="pageBreakPreview" zoomScale="85" zoomScaleNormal="85" zoomScaleSheetLayoutView="85" workbookViewId="0">
      <selection activeCell="I27" sqref="I27"/>
    </sheetView>
  </sheetViews>
  <sheetFormatPr defaultColWidth="9" defaultRowHeight="12.6" x14ac:dyDescent="0.2"/>
  <cols>
    <col min="1" max="1" width="46.08984375" style="1463" customWidth="1"/>
    <col min="2" max="2" width="10.08984375" style="1483" customWidth="1"/>
    <col min="3" max="3" width="19.08984375" style="1463" hidden="1" customWidth="1"/>
    <col min="4" max="4" width="18" style="1463" hidden="1" customWidth="1"/>
    <col min="5" max="5" width="19.08984375" style="1463" hidden="1" customWidth="1"/>
    <col min="6" max="6" width="19.08984375" style="1463" bestFit="1" customWidth="1"/>
    <col min="7" max="8" width="18" style="1463" bestFit="1" customWidth="1"/>
    <col min="9" max="9" width="18" style="1463" customWidth="1"/>
    <col min="10" max="10" width="20.36328125" style="1463" bestFit="1" customWidth="1"/>
    <col min="11" max="11" width="22.08984375" style="1463" customWidth="1"/>
    <col min="12" max="12" width="17.36328125" style="1463" bestFit="1" customWidth="1"/>
    <col min="13" max="16384" width="9" style="1463"/>
  </cols>
  <sheetData>
    <row r="1" spans="1:12" ht="17.399999999999999" x14ac:dyDescent="0.3">
      <c r="A1" s="1920" t="s">
        <v>415</v>
      </c>
      <c r="B1" s="1919">
        <v>805</v>
      </c>
      <c r="C1" s="1922" t="s">
        <v>14</v>
      </c>
      <c r="J1" s="1921"/>
    </row>
    <row r="2" spans="1:12" ht="18" thickBot="1" x14ac:dyDescent="0.35">
      <c r="A2" s="1920"/>
      <c r="B2" s="1919"/>
      <c r="C2" s="1918"/>
      <c r="D2" s="1918"/>
      <c r="E2" s="1918"/>
      <c r="F2" s="1918"/>
      <c r="G2" s="1918"/>
      <c r="H2" s="1918"/>
      <c r="I2" s="1918"/>
    </row>
    <row r="3" spans="1:12" x14ac:dyDescent="0.2">
      <c r="A3" s="1917" t="s">
        <v>27</v>
      </c>
      <c r="B3" s="1916" t="s">
        <v>36</v>
      </c>
      <c r="C3" s="1915">
        <f>DispatchSchedule!F3</f>
        <v>46023</v>
      </c>
      <c r="D3" s="1915">
        <f>DispatchSchedule!G3</f>
        <v>46054</v>
      </c>
      <c r="E3" s="1915">
        <f>DispatchSchedule!H3</f>
        <v>46082</v>
      </c>
      <c r="F3" s="1915">
        <f>DispatchSchedule!I3</f>
        <v>46113</v>
      </c>
      <c r="G3" s="1915">
        <f>DispatchSchedule!J3</f>
        <v>46143</v>
      </c>
      <c r="H3" s="2078">
        <f>DispatchSchedule!K3</f>
        <v>46174</v>
      </c>
      <c r="I3" s="2698"/>
    </row>
    <row r="4" spans="1:12" ht="18.75" customHeight="1" x14ac:dyDescent="0.45">
      <c r="A4" s="2079" t="s">
        <v>122</v>
      </c>
      <c r="B4" s="1914"/>
      <c r="C4" s="1913"/>
      <c r="D4" s="466"/>
      <c r="E4" s="466"/>
      <c r="F4" s="466"/>
      <c r="G4" s="1912"/>
      <c r="H4" s="2080"/>
      <c r="J4" s="472"/>
    </row>
    <row r="5" spans="1:12" ht="13.2" x14ac:dyDescent="0.25">
      <c r="A5" s="2081" t="s">
        <v>310</v>
      </c>
      <c r="B5" s="1908"/>
      <c r="C5" s="1179"/>
      <c r="D5" s="1126"/>
      <c r="E5" s="1126"/>
      <c r="F5" s="1126"/>
      <c r="G5" s="1472"/>
      <c r="H5" s="2082"/>
      <c r="I5" s="2699"/>
      <c r="K5" s="1483"/>
    </row>
    <row r="6" spans="1:12" ht="13.2" thickBot="1" x14ac:dyDescent="0.25">
      <c r="A6" s="2083" t="s">
        <v>311</v>
      </c>
      <c r="B6" s="1465" t="s">
        <v>312</v>
      </c>
      <c r="C6" s="1126">
        <f>SUM(C7:C15)</f>
        <v>923575236.39999998</v>
      </c>
      <c r="D6" s="1126">
        <f t="shared" ref="D6:H6" si="0">SUM(D7:D15)</f>
        <v>1020403160.45</v>
      </c>
      <c r="E6" s="1126">
        <f t="shared" si="0"/>
        <v>935732227.39999998</v>
      </c>
      <c r="F6" s="1126">
        <f t="shared" si="0"/>
        <v>951575947.03666675</v>
      </c>
      <c r="G6" s="1126">
        <f t="shared" si="0"/>
        <v>950227613.03666675</v>
      </c>
      <c r="H6" s="2047">
        <f t="shared" si="0"/>
        <v>948877568.03666675</v>
      </c>
      <c r="I6" s="2700">
        <f>SUM(C6:H6)</f>
        <v>5730391752.3600006</v>
      </c>
      <c r="J6" s="281"/>
      <c r="K6" s="1483"/>
    </row>
    <row r="7" spans="1:12" ht="13.2" thickBot="1" x14ac:dyDescent="0.25">
      <c r="A7" s="2084" t="s">
        <v>753</v>
      </c>
      <c r="B7" s="1465"/>
      <c r="C7" s="1911">
        <f>219358006</f>
        <v>219358006</v>
      </c>
      <c r="D7" s="1911">
        <f t="shared" ref="D7:E7" si="1">219358006</f>
        <v>219358006</v>
      </c>
      <c r="E7" s="1911">
        <f t="shared" si="1"/>
        <v>219358006</v>
      </c>
      <c r="F7" s="1911">
        <f>219358006+15621820.6366667</f>
        <v>234979826.63666672</v>
      </c>
      <c r="G7" s="1911">
        <f t="shared" ref="G7:H7" si="2">219358006+15621820.6366667</f>
        <v>234979826.63666672</v>
      </c>
      <c r="H7" s="1911">
        <f t="shared" si="2"/>
        <v>234979826.63666672</v>
      </c>
      <c r="I7" s="2700">
        <f>SUM(C7:H7)</f>
        <v>1363013497.9100003</v>
      </c>
      <c r="J7" s="281"/>
      <c r="K7" s="2631">
        <f>+H7*12</f>
        <v>2819757919.6400003</v>
      </c>
    </row>
    <row r="8" spans="1:12" x14ac:dyDescent="0.2">
      <c r="A8" s="2084" t="s">
        <v>758</v>
      </c>
      <c r="B8" s="1465"/>
      <c r="C8" s="1911">
        <v>103966100</v>
      </c>
      <c r="D8" s="1911">
        <v>103966100</v>
      </c>
      <c r="E8" s="1911">
        <v>103966100</v>
      </c>
      <c r="F8" s="1911">
        <v>103966100</v>
      </c>
      <c r="G8" s="1911">
        <v>103966100</v>
      </c>
      <c r="H8" s="1911">
        <v>103966100</v>
      </c>
      <c r="I8" s="2700">
        <f t="shared" ref="I8:I71" si="3">SUM(C8:H8)</f>
        <v>623796600</v>
      </c>
      <c r="J8" s="821"/>
      <c r="K8" s="1910"/>
      <c r="L8" s="403"/>
    </row>
    <row r="9" spans="1:12" x14ac:dyDescent="0.2">
      <c r="A9" s="2084" t="s">
        <v>754</v>
      </c>
      <c r="B9" s="1465"/>
      <c r="C9" s="1911">
        <v>20934132</v>
      </c>
      <c r="D9" s="1911">
        <v>20934132</v>
      </c>
      <c r="E9" s="1911">
        <v>20934132</v>
      </c>
      <c r="F9" s="1911">
        <v>20934132</v>
      </c>
      <c r="G9" s="1911">
        <v>20934132</v>
      </c>
      <c r="H9" s="1911">
        <v>20934132</v>
      </c>
      <c r="I9" s="2700">
        <f t="shared" si="3"/>
        <v>125604792</v>
      </c>
      <c r="J9" s="821"/>
      <c r="K9" s="1910"/>
    </row>
    <row r="10" spans="1:12" x14ac:dyDescent="0.2">
      <c r="A10" s="2084" t="s">
        <v>755</v>
      </c>
      <c r="B10" s="1465"/>
      <c r="C10" s="1911">
        <v>34158929</v>
      </c>
      <c r="D10" s="1911">
        <v>34158929</v>
      </c>
      <c r="E10" s="1911">
        <v>34158929</v>
      </c>
      <c r="F10" s="1911">
        <v>34158929</v>
      </c>
      <c r="G10" s="1911">
        <v>34158929</v>
      </c>
      <c r="H10" s="1911">
        <v>34158929</v>
      </c>
      <c r="I10" s="2700">
        <f t="shared" si="3"/>
        <v>204953574</v>
      </c>
      <c r="J10" s="821"/>
      <c r="K10" s="1910"/>
    </row>
    <row r="11" spans="1:12" x14ac:dyDescent="0.2">
      <c r="A11" s="2084" t="s">
        <v>752</v>
      </c>
      <c r="B11" s="1465"/>
      <c r="C11" s="1911">
        <f>735815642*0.2</f>
        <v>147163128.40000001</v>
      </c>
      <c r="D11" s="1911">
        <f t="shared" ref="D11:H11" si="4">735815642*0.2</f>
        <v>147163128.40000001</v>
      </c>
      <c r="E11" s="1911">
        <f t="shared" si="4"/>
        <v>147163128.40000001</v>
      </c>
      <c r="F11" s="1911">
        <f t="shared" si="4"/>
        <v>147163128.40000001</v>
      </c>
      <c r="G11" s="1911">
        <f t="shared" si="4"/>
        <v>147163128.40000001</v>
      </c>
      <c r="H11" s="1911">
        <f t="shared" si="4"/>
        <v>147163128.40000001</v>
      </c>
      <c r="I11" s="2700">
        <f t="shared" si="3"/>
        <v>882978770.39999998</v>
      </c>
      <c r="J11" s="821"/>
      <c r="K11" s="2395"/>
    </row>
    <row r="12" spans="1:12" x14ac:dyDescent="0.2">
      <c r="A12" s="2084" t="s">
        <v>757</v>
      </c>
      <c r="B12" s="1465"/>
      <c r="C12" s="2722">
        <v>298772412</v>
      </c>
      <c r="D12" s="2722">
        <f>298772412+85193889.05</f>
        <v>383966301.05000001</v>
      </c>
      <c r="E12" s="2722">
        <v>298772412</v>
      </c>
      <c r="F12" s="2722">
        <v>298772412</v>
      </c>
      <c r="G12" s="2722">
        <v>298772412</v>
      </c>
      <c r="H12" s="2722">
        <v>298772412</v>
      </c>
      <c r="I12" s="2700">
        <f t="shared" si="3"/>
        <v>1877828361.05</v>
      </c>
      <c r="J12" s="821"/>
      <c r="K12" s="2395"/>
    </row>
    <row r="13" spans="1:12" x14ac:dyDescent="0.2">
      <c r="A13" s="2084" t="s">
        <v>756</v>
      </c>
      <c r="B13" s="1465"/>
      <c r="C13" s="2835">
        <v>29074196</v>
      </c>
      <c r="D13" s="2835">
        <v>40708230</v>
      </c>
      <c r="E13" s="2835">
        <v>41231185</v>
      </c>
      <c r="F13" s="2835">
        <v>41453083</v>
      </c>
      <c r="G13" s="2835">
        <v>40104748</v>
      </c>
      <c r="H13" s="2835">
        <v>38754702</v>
      </c>
      <c r="I13" s="2700">
        <f t="shared" si="3"/>
        <v>231326144</v>
      </c>
      <c r="J13" s="821">
        <f>SUM(C13:H13)</f>
        <v>231326144</v>
      </c>
      <c r="K13" s="2395">
        <v>91980556</v>
      </c>
    </row>
    <row r="14" spans="1:12" x14ac:dyDescent="0.2">
      <c r="A14" s="2084" t="s">
        <v>814</v>
      </c>
      <c r="B14" s="1465"/>
      <c r="C14" s="1911">
        <v>70148333</v>
      </c>
      <c r="D14" s="1911">
        <v>70148334</v>
      </c>
      <c r="E14" s="1911">
        <v>70148335</v>
      </c>
      <c r="F14" s="1911">
        <v>70148336</v>
      </c>
      <c r="G14" s="1911">
        <v>70148337</v>
      </c>
      <c r="H14" s="1911">
        <v>70148338</v>
      </c>
      <c r="I14" s="2700">
        <f t="shared" si="3"/>
        <v>420890013</v>
      </c>
      <c r="J14" s="281">
        <f>SUM(C14:H14)</f>
        <v>420890013</v>
      </c>
      <c r="K14" s="2395">
        <v>103884444</v>
      </c>
    </row>
    <row r="15" spans="1:12" x14ac:dyDescent="0.2">
      <c r="A15" s="2084" t="s">
        <v>815</v>
      </c>
      <c r="B15" s="1465"/>
      <c r="C15" s="2720">
        <v>0</v>
      </c>
      <c r="D15" s="2720">
        <v>0</v>
      </c>
      <c r="E15" s="2720">
        <v>0</v>
      </c>
      <c r="F15" s="2720">
        <v>0</v>
      </c>
      <c r="G15" s="2720">
        <v>0</v>
      </c>
      <c r="H15" s="2720">
        <v>0</v>
      </c>
      <c r="I15" s="2700">
        <f t="shared" si="3"/>
        <v>0</v>
      </c>
      <c r="J15" s="281"/>
      <c r="K15" s="2395">
        <v>113648333</v>
      </c>
    </row>
    <row r="16" spans="1:12" x14ac:dyDescent="0.2">
      <c r="A16" s="2083" t="s">
        <v>313</v>
      </c>
      <c r="B16" s="1465" t="s">
        <v>312</v>
      </c>
      <c r="C16" s="1911">
        <v>14669181</v>
      </c>
      <c r="D16" s="1911">
        <v>14669181</v>
      </c>
      <c r="E16" s="1911">
        <v>14669181</v>
      </c>
      <c r="F16" s="1911">
        <f>33856487.66+4147914.22026644</f>
        <v>38004401.880266435</v>
      </c>
      <c r="G16" s="1911">
        <f t="shared" ref="G16:H16" si="5">33856487.66+4147914.22026644</f>
        <v>38004401.880266435</v>
      </c>
      <c r="H16" s="1911">
        <f t="shared" si="5"/>
        <v>38004401.880266435</v>
      </c>
      <c r="I16" s="2700">
        <f t="shared" si="3"/>
        <v>158020748.64079928</v>
      </c>
      <c r="J16" s="281"/>
      <c r="K16" s="2395">
        <v>119912222</v>
      </c>
    </row>
    <row r="17" spans="1:11" x14ac:dyDescent="0.2">
      <c r="A17" s="2083" t="s">
        <v>314</v>
      </c>
      <c r="B17" s="1465" t="s">
        <v>312</v>
      </c>
      <c r="C17" s="1911">
        <v>16108815.800000001</v>
      </c>
      <c r="D17" s="1911">
        <v>16108815.800000001</v>
      </c>
      <c r="E17" s="1911">
        <v>16108815.800000001</v>
      </c>
      <c r="F17" s="1911">
        <f>16108815.8+3358877</f>
        <v>19467692.800000001</v>
      </c>
      <c r="G17" s="1911">
        <f>16108815.8+3358877</f>
        <v>19467692.800000001</v>
      </c>
      <c r="H17" s="1911">
        <f>16108815.8+3358877</f>
        <v>19467692.800000001</v>
      </c>
      <c r="I17" s="2700">
        <f t="shared" si="3"/>
        <v>106729525.8</v>
      </c>
      <c r="J17" s="281">
        <f>SUM(C17:H17)</f>
        <v>106729525.8</v>
      </c>
      <c r="K17" s="1910">
        <v>130092778</v>
      </c>
    </row>
    <row r="18" spans="1:11" s="1896" customFormat="1" x14ac:dyDescent="0.2">
      <c r="A18" s="2085" t="s">
        <v>315</v>
      </c>
      <c r="B18" s="1897"/>
      <c r="C18" s="1139"/>
      <c r="D18" s="1139"/>
      <c r="E18" s="1139"/>
      <c r="F18" s="1139"/>
      <c r="G18" s="1139"/>
      <c r="H18" s="2070"/>
      <c r="I18" s="2700">
        <f t="shared" si="3"/>
        <v>0</v>
      </c>
      <c r="J18" s="1909"/>
      <c r="K18" s="2724">
        <v>142316667</v>
      </c>
    </row>
    <row r="19" spans="1:11" s="1896" customFormat="1" x14ac:dyDescent="0.2">
      <c r="A19" s="2085" t="s">
        <v>316</v>
      </c>
      <c r="B19" s="1897"/>
      <c r="C19" s="1137"/>
      <c r="D19" s="1137"/>
      <c r="E19" s="1137"/>
      <c r="F19" s="1137"/>
      <c r="G19" s="1137"/>
      <c r="H19" s="2071"/>
      <c r="I19" s="2700">
        <f t="shared" si="3"/>
        <v>0</v>
      </c>
    </row>
    <row r="20" spans="1:11" x14ac:dyDescent="0.2">
      <c r="A20" s="2083"/>
      <c r="B20" s="1465"/>
      <c r="C20" s="1728"/>
      <c r="D20" s="1728"/>
      <c r="E20" s="1728"/>
      <c r="F20" s="1728"/>
      <c r="G20" s="1728"/>
      <c r="H20" s="2086"/>
      <c r="I20" s="2700">
        <f t="shared" si="3"/>
        <v>0</v>
      </c>
    </row>
    <row r="21" spans="1:11" ht="13.2" x14ac:dyDescent="0.25">
      <c r="A21" s="2081" t="s">
        <v>317</v>
      </c>
      <c r="B21" s="1908"/>
      <c r="C21" s="1728"/>
      <c r="D21" s="1728"/>
      <c r="E21" s="1728"/>
      <c r="F21" s="1728"/>
      <c r="G21" s="1728"/>
      <c r="H21" s="2086"/>
      <c r="I21" s="2700">
        <f t="shared" si="3"/>
        <v>0</v>
      </c>
    </row>
    <row r="22" spans="1:11" x14ac:dyDescent="0.2">
      <c r="A22" s="2083" t="s">
        <v>318</v>
      </c>
      <c r="B22" s="1465" t="s">
        <v>312</v>
      </c>
      <c r="C22" s="1911">
        <v>130990880.16098185</v>
      </c>
      <c r="D22" s="1911">
        <v>151657546.82764849</v>
      </c>
      <c r="E22" s="1911">
        <v>154990880.1609818</v>
      </c>
      <c r="F22" s="1911">
        <v>157657546.82764849</v>
      </c>
      <c r="G22" s="1911">
        <v>157657546.82764849</v>
      </c>
      <c r="H22" s="1911">
        <v>157657546.82764849</v>
      </c>
      <c r="I22" s="2700">
        <f t="shared" si="3"/>
        <v>910611947.63255775</v>
      </c>
      <c r="J22" s="2614">
        <f>SUM(C22:H22)</f>
        <v>910611947.63255775</v>
      </c>
      <c r="K22" s="1483"/>
    </row>
    <row r="23" spans="1:11" x14ac:dyDescent="0.2">
      <c r="A23" s="2083"/>
      <c r="B23" s="1465"/>
      <c r="C23" s="1839"/>
      <c r="D23" s="1125"/>
      <c r="E23" s="1125"/>
      <c r="F23" s="1125"/>
      <c r="G23" s="1465"/>
      <c r="H23" s="2087"/>
      <c r="I23" s="2700">
        <f t="shared" si="3"/>
        <v>0</v>
      </c>
    </row>
    <row r="24" spans="1:11" ht="13.2" x14ac:dyDescent="0.25">
      <c r="A24" s="2088" t="s">
        <v>24</v>
      </c>
      <c r="B24" s="1888"/>
      <c r="C24" s="1728"/>
      <c r="D24" s="1125"/>
      <c r="E24" s="1125"/>
      <c r="F24" s="1125"/>
      <c r="G24" s="1465"/>
      <c r="H24" s="2087"/>
      <c r="I24" s="2700">
        <f t="shared" si="3"/>
        <v>0</v>
      </c>
      <c r="J24" s="403"/>
    </row>
    <row r="25" spans="1:11" x14ac:dyDescent="0.2">
      <c r="A25" s="2083" t="s">
        <v>89</v>
      </c>
      <c r="B25" s="1501" t="s">
        <v>79</v>
      </c>
      <c r="C25" s="1728"/>
      <c r="D25" s="1125"/>
      <c r="E25" s="1125"/>
      <c r="F25" s="1125"/>
      <c r="G25" s="1465"/>
      <c r="H25" s="2089"/>
      <c r="I25" s="2700">
        <f t="shared" si="3"/>
        <v>0</v>
      </c>
      <c r="J25" s="155"/>
    </row>
    <row r="26" spans="1:11" x14ac:dyDescent="0.2">
      <c r="A26" s="2083" t="s">
        <v>100</v>
      </c>
      <c r="B26" s="1465" t="s">
        <v>103</v>
      </c>
      <c r="C26" s="1728"/>
      <c r="D26" s="1125"/>
      <c r="E26" s="1125"/>
      <c r="F26" s="1125"/>
      <c r="G26" s="1465"/>
      <c r="H26" s="2089"/>
      <c r="I26" s="2700">
        <f t="shared" si="3"/>
        <v>0</v>
      </c>
      <c r="J26" s="155"/>
      <c r="K26" s="1275">
        <f>3001312.49/179*64</f>
        <v>1073094.9684916202</v>
      </c>
    </row>
    <row r="27" spans="1:11" x14ac:dyDescent="0.2">
      <c r="A27" s="2083" t="s">
        <v>99</v>
      </c>
      <c r="B27" s="1465" t="s">
        <v>372</v>
      </c>
      <c r="C27" s="1728"/>
      <c r="D27" s="1125"/>
      <c r="E27" s="1125"/>
      <c r="F27" s="1125"/>
      <c r="G27" s="1465"/>
      <c r="H27" s="2089"/>
      <c r="I27" s="2700">
        <f t="shared" si="3"/>
        <v>0</v>
      </c>
      <c r="J27" s="1483"/>
      <c r="K27" s="1275">
        <f>3001312.49/179*115</f>
        <v>1928217.5215083801</v>
      </c>
    </row>
    <row r="28" spans="1:11" x14ac:dyDescent="0.2">
      <c r="A28" s="2083" t="s">
        <v>416</v>
      </c>
      <c r="B28" s="1465" t="s">
        <v>417</v>
      </c>
      <c r="C28" s="2717">
        <v>0.37390000000000001</v>
      </c>
      <c r="D28" s="2717">
        <v>0.37390000000000001</v>
      </c>
      <c r="E28" s="2717">
        <v>0.37390000000000001</v>
      </c>
      <c r="F28" s="2717">
        <v>0.37390000000000001</v>
      </c>
      <c r="G28" s="2717">
        <v>0.37390000000000001</v>
      </c>
      <c r="H28" s="2718">
        <v>0.37390000000000001</v>
      </c>
      <c r="I28" s="2700">
        <f t="shared" si="3"/>
        <v>2.2433999999999998</v>
      </c>
      <c r="J28" s="1894"/>
      <c r="K28" s="1275">
        <f>SUM(K26:K27)</f>
        <v>3001312.49</v>
      </c>
    </row>
    <row r="29" spans="1:11" x14ac:dyDescent="0.2">
      <c r="A29" s="2083" t="s">
        <v>418</v>
      </c>
      <c r="B29" s="1465" t="s">
        <v>419</v>
      </c>
      <c r="C29" s="1180">
        <f>Inputs!C74</f>
        <v>39.26</v>
      </c>
      <c r="D29" s="1180">
        <f>Inputs!D74</f>
        <v>38.880000000000003</v>
      </c>
      <c r="E29" s="1180">
        <f>Inputs!E74</f>
        <v>37.94</v>
      </c>
      <c r="F29" s="1180">
        <f>Inputs!F74</f>
        <v>38.53</v>
      </c>
      <c r="G29" s="1180">
        <f>Inputs!G74</f>
        <v>38.06</v>
      </c>
      <c r="H29" s="2090">
        <f>Inputs!H74</f>
        <v>39.26</v>
      </c>
      <c r="I29" s="2700">
        <f t="shared" si="3"/>
        <v>231.93</v>
      </c>
      <c r="J29" s="1342"/>
    </row>
    <row r="30" spans="1:11" x14ac:dyDescent="0.2">
      <c r="A30" s="2083" t="s">
        <v>375</v>
      </c>
      <c r="B30" s="1465" t="s">
        <v>214</v>
      </c>
      <c r="C30" s="1892">
        <f t="shared" ref="C30:H30" si="6">C28*C29</f>
        <v>14.679314</v>
      </c>
      <c r="D30" s="1892">
        <f t="shared" si="6"/>
        <v>14.537232000000001</v>
      </c>
      <c r="E30" s="1892">
        <f t="shared" si="6"/>
        <v>14.185765999999999</v>
      </c>
      <c r="F30" s="1892">
        <f t="shared" si="6"/>
        <v>14.406367000000001</v>
      </c>
      <c r="G30" s="1892">
        <f t="shared" si="6"/>
        <v>14.230634000000002</v>
      </c>
      <c r="H30" s="2091">
        <f t="shared" si="6"/>
        <v>14.679314</v>
      </c>
      <c r="I30" s="2700">
        <f t="shared" si="3"/>
        <v>86.718627000000012</v>
      </c>
      <c r="J30" s="403"/>
    </row>
    <row r="31" spans="1:11" ht="13.2" x14ac:dyDescent="0.25">
      <c r="A31" s="2083" t="s">
        <v>642</v>
      </c>
      <c r="B31" s="1888" t="s">
        <v>56</v>
      </c>
      <c r="C31" s="1907">
        <f>DispatchSchedule!F14</f>
        <v>0</v>
      </c>
      <c r="D31" s="1907">
        <f>DispatchSchedule!G14</f>
        <v>0</v>
      </c>
      <c r="E31" s="1907">
        <f>DispatchSchedule!H14</f>
        <v>0</v>
      </c>
      <c r="F31" s="1907">
        <f>DispatchSchedule!I14</f>
        <v>450.4446180000001</v>
      </c>
      <c r="G31" s="1907">
        <f>DispatchSchedule!J14</f>
        <v>465.43176900000003</v>
      </c>
      <c r="H31" s="2092">
        <f>DispatchSchedule!K14</f>
        <v>326.61090432000003</v>
      </c>
      <c r="I31" s="2700">
        <f t="shared" si="3"/>
        <v>1242.4872913200002</v>
      </c>
      <c r="J31" s="1342"/>
    </row>
    <row r="32" spans="1:11" x14ac:dyDescent="0.2">
      <c r="A32" s="2093"/>
      <c r="B32" s="1465"/>
      <c r="C32" s="1907"/>
      <c r="D32" s="1907"/>
      <c r="E32" s="1907"/>
      <c r="F32" s="1907"/>
      <c r="G32" s="1907"/>
      <c r="H32" s="2092"/>
      <c r="I32" s="2700">
        <f t="shared" si="3"/>
        <v>0</v>
      </c>
    </row>
    <row r="33" spans="1:11" x14ac:dyDescent="0.2">
      <c r="A33" s="2093" t="s">
        <v>90</v>
      </c>
      <c r="B33" s="1501" t="s">
        <v>393</v>
      </c>
      <c r="C33" s="143"/>
      <c r="D33" s="143"/>
      <c r="E33" s="143"/>
      <c r="F33" s="143"/>
      <c r="G33" s="143"/>
      <c r="H33" s="2062"/>
      <c r="I33" s="2700">
        <f t="shared" si="3"/>
        <v>0</v>
      </c>
    </row>
    <row r="34" spans="1:11" x14ac:dyDescent="0.2">
      <c r="A34" s="2094" t="s">
        <v>100</v>
      </c>
      <c r="B34" s="1899" t="s">
        <v>371</v>
      </c>
      <c r="C34" s="1906"/>
      <c r="D34" s="1906"/>
      <c r="E34" s="1906"/>
      <c r="F34" s="1906"/>
      <c r="G34" s="1906"/>
      <c r="H34" s="2095"/>
      <c r="I34" s="2700">
        <f t="shared" si="3"/>
        <v>0</v>
      </c>
    </row>
    <row r="35" spans="1:11" x14ac:dyDescent="0.2">
      <c r="A35" s="2094" t="s">
        <v>99</v>
      </c>
      <c r="B35" s="1899" t="s">
        <v>372</v>
      </c>
      <c r="C35" s="1906"/>
      <c r="D35" s="1906"/>
      <c r="E35" s="1906"/>
      <c r="F35" s="1906"/>
      <c r="G35" s="1906"/>
      <c r="H35" s="2095"/>
      <c r="I35" s="2700">
        <f t="shared" si="3"/>
        <v>0</v>
      </c>
    </row>
    <row r="36" spans="1:11" x14ac:dyDescent="0.2">
      <c r="A36" s="2096" t="s">
        <v>401</v>
      </c>
      <c r="B36" s="1899" t="s">
        <v>374</v>
      </c>
      <c r="C36" s="1905">
        <f>+Inputs!C73</f>
        <v>279</v>
      </c>
      <c r="D36" s="1905">
        <f>+Inputs!D73</f>
        <v>277</v>
      </c>
      <c r="E36" s="1905">
        <f>+Inputs!E73</f>
        <v>277</v>
      </c>
      <c r="F36" s="1905">
        <f>+Inputs!F73</f>
        <v>382</v>
      </c>
      <c r="G36" s="1905">
        <f>+Inputs!G73</f>
        <v>382</v>
      </c>
      <c r="H36" s="2097">
        <f>+Inputs!H73</f>
        <v>382</v>
      </c>
      <c r="I36" s="2700">
        <f t="shared" si="3"/>
        <v>1979</v>
      </c>
      <c r="J36" s="1894"/>
    </row>
    <row r="37" spans="1:11" ht="13.2" x14ac:dyDescent="0.25">
      <c r="A37" s="2098" t="s">
        <v>395</v>
      </c>
      <c r="B37" s="1902" t="s">
        <v>791</v>
      </c>
      <c r="C37" s="1904">
        <v>0.25879999999999997</v>
      </c>
      <c r="D37" s="1904">
        <v>0.25879999999999997</v>
      </c>
      <c r="E37" s="1904">
        <v>0.25879999999999997</v>
      </c>
      <c r="F37" s="1904">
        <v>0.25879999999999997</v>
      </c>
      <c r="G37" s="1904">
        <v>0.25879999999999997</v>
      </c>
      <c r="H37" s="2099">
        <v>0.25879999999999997</v>
      </c>
      <c r="I37" s="2700">
        <f t="shared" si="3"/>
        <v>1.5527999999999997</v>
      </c>
    </row>
    <row r="38" spans="1:11" s="1896" customFormat="1" x14ac:dyDescent="0.2">
      <c r="A38" s="2100" t="s">
        <v>315</v>
      </c>
      <c r="B38" s="1903"/>
      <c r="C38" s="1181">
        <f t="shared" ref="C38:H39" si="7">C18</f>
        <v>0</v>
      </c>
      <c r="D38" s="1181">
        <f t="shared" si="7"/>
        <v>0</v>
      </c>
      <c r="E38" s="1181">
        <f t="shared" si="7"/>
        <v>0</v>
      </c>
      <c r="F38" s="1181">
        <f t="shared" si="7"/>
        <v>0</v>
      </c>
      <c r="G38" s="1181">
        <f t="shared" si="7"/>
        <v>0</v>
      </c>
      <c r="H38" s="2101">
        <f t="shared" si="7"/>
        <v>0</v>
      </c>
      <c r="I38" s="2700">
        <f t="shared" si="3"/>
        <v>0</v>
      </c>
      <c r="J38" s="1463"/>
    </row>
    <row r="39" spans="1:11" s="1896" customFormat="1" x14ac:dyDescent="0.2">
      <c r="A39" s="2100" t="s">
        <v>316</v>
      </c>
      <c r="B39" s="1903"/>
      <c r="C39" s="1181">
        <f t="shared" si="7"/>
        <v>0</v>
      </c>
      <c r="D39" s="1181">
        <f t="shared" si="7"/>
        <v>0</v>
      </c>
      <c r="E39" s="1181">
        <f t="shared" si="7"/>
        <v>0</v>
      </c>
      <c r="F39" s="1181">
        <f t="shared" si="7"/>
        <v>0</v>
      </c>
      <c r="G39" s="1181">
        <f t="shared" si="7"/>
        <v>0</v>
      </c>
      <c r="H39" s="2101">
        <f t="shared" si="7"/>
        <v>0</v>
      </c>
      <c r="I39" s="2700">
        <f t="shared" si="3"/>
        <v>0</v>
      </c>
    </row>
    <row r="40" spans="1:11" ht="13.2" x14ac:dyDescent="0.25">
      <c r="A40" s="2098" t="s">
        <v>397</v>
      </c>
      <c r="B40" s="1902" t="s">
        <v>398</v>
      </c>
      <c r="C40" s="1898"/>
      <c r="D40" s="1898"/>
      <c r="E40" s="1898"/>
      <c r="F40" s="1898"/>
      <c r="G40" s="1898"/>
      <c r="H40" s="2102"/>
      <c r="I40" s="2700">
        <f t="shared" si="3"/>
        <v>0</v>
      </c>
    </row>
    <row r="41" spans="1:11" ht="13.2" x14ac:dyDescent="0.25">
      <c r="A41" s="2098" t="s">
        <v>399</v>
      </c>
      <c r="B41" s="1899" t="s">
        <v>320</v>
      </c>
      <c r="C41" s="1901">
        <f t="shared" ref="C41:H41" si="8">((C40)+(C37*C66))*C36*C42/C66</f>
        <v>0</v>
      </c>
      <c r="D41" s="1901">
        <f t="shared" si="8"/>
        <v>0</v>
      </c>
      <c r="E41" s="1901">
        <f t="shared" si="8"/>
        <v>0</v>
      </c>
      <c r="F41" s="1901">
        <f t="shared" si="8"/>
        <v>0</v>
      </c>
      <c r="G41" s="1901">
        <f t="shared" si="8"/>
        <v>0</v>
      </c>
      <c r="H41" s="2103">
        <f t="shared" si="8"/>
        <v>0</v>
      </c>
      <c r="I41" s="2700">
        <f t="shared" si="3"/>
        <v>0</v>
      </c>
    </row>
    <row r="42" spans="1:11" ht="13.2" x14ac:dyDescent="0.25">
      <c r="A42" s="2094" t="s">
        <v>134</v>
      </c>
      <c r="B42" s="1900" t="s">
        <v>56</v>
      </c>
      <c r="C42" s="1898"/>
      <c r="D42" s="1898"/>
      <c r="E42" s="1898"/>
      <c r="F42" s="1898"/>
      <c r="G42" s="1898"/>
      <c r="H42" s="2102"/>
      <c r="I42" s="2700">
        <f t="shared" si="3"/>
        <v>0</v>
      </c>
    </row>
    <row r="43" spans="1:11" x14ac:dyDescent="0.2">
      <c r="A43" s="2104"/>
      <c r="B43" s="1899"/>
      <c r="C43" s="1898"/>
      <c r="D43" s="1898"/>
      <c r="E43" s="1898"/>
      <c r="F43" s="1898"/>
      <c r="G43" s="1898"/>
      <c r="H43" s="2102"/>
      <c r="I43" s="2700">
        <f t="shared" si="3"/>
        <v>0</v>
      </c>
    </row>
    <row r="44" spans="1:11" ht="13.2" x14ac:dyDescent="0.25">
      <c r="A44" s="2088" t="s">
        <v>132</v>
      </c>
      <c r="B44" s="1888"/>
      <c r="C44" s="1728"/>
      <c r="D44" s="1728"/>
      <c r="E44" s="1728"/>
      <c r="F44" s="1728"/>
      <c r="G44" s="1728"/>
      <c r="H44" s="2086"/>
      <c r="I44" s="2700">
        <f t="shared" si="3"/>
        <v>0</v>
      </c>
    </row>
    <row r="45" spans="1:11" x14ac:dyDescent="0.2">
      <c r="A45" s="2083" t="s">
        <v>376</v>
      </c>
      <c r="B45" s="1465" t="s">
        <v>312</v>
      </c>
      <c r="C45" s="2886">
        <v>222302333</v>
      </c>
      <c r="D45" s="2886">
        <v>222302333</v>
      </c>
      <c r="E45" s="2886">
        <v>222302333</v>
      </c>
      <c r="F45" s="2886">
        <v>222302333</v>
      </c>
      <c r="G45" s="2886">
        <v>222302333</v>
      </c>
      <c r="H45" s="2886">
        <v>222302333</v>
      </c>
      <c r="I45" s="2700">
        <f t="shared" si="3"/>
        <v>1333813998</v>
      </c>
      <c r="J45" s="1487">
        <f>SUM(C45:H45)</f>
        <v>1333813998</v>
      </c>
      <c r="K45" s="403"/>
    </row>
    <row r="46" spans="1:11" x14ac:dyDescent="0.2">
      <c r="A46" s="2083" t="s">
        <v>376</v>
      </c>
      <c r="B46" s="1465" t="s">
        <v>377</v>
      </c>
      <c r="C46" s="1728"/>
      <c r="D46" s="1728"/>
      <c r="E46" s="1728"/>
      <c r="F46" s="1728"/>
      <c r="G46" s="1728"/>
      <c r="H46" s="2086"/>
      <c r="I46" s="2700">
        <f t="shared" si="3"/>
        <v>0</v>
      </c>
    </row>
    <row r="47" spans="1:11" s="1896" customFormat="1" x14ac:dyDescent="0.2">
      <c r="A47" s="2085" t="s">
        <v>315</v>
      </c>
      <c r="B47" s="1897"/>
      <c r="C47" s="1182">
        <f t="shared" ref="C47:H48" si="9">C18</f>
        <v>0</v>
      </c>
      <c r="D47" s="1182">
        <f t="shared" si="9"/>
        <v>0</v>
      </c>
      <c r="E47" s="1182">
        <f t="shared" si="9"/>
        <v>0</v>
      </c>
      <c r="F47" s="1182">
        <f t="shared" si="9"/>
        <v>0</v>
      </c>
      <c r="G47" s="1182">
        <f t="shared" si="9"/>
        <v>0</v>
      </c>
      <c r="H47" s="2105">
        <f t="shared" si="9"/>
        <v>0</v>
      </c>
      <c r="I47" s="2700">
        <f t="shared" si="3"/>
        <v>0</v>
      </c>
    </row>
    <row r="48" spans="1:11" s="1896" customFormat="1" x14ac:dyDescent="0.2">
      <c r="A48" s="2085" t="s">
        <v>316</v>
      </c>
      <c r="B48" s="1897"/>
      <c r="C48" s="1182">
        <f t="shared" si="9"/>
        <v>0</v>
      </c>
      <c r="D48" s="1182">
        <f t="shared" si="9"/>
        <v>0</v>
      </c>
      <c r="E48" s="1182">
        <f t="shared" si="9"/>
        <v>0</v>
      </c>
      <c r="F48" s="1182">
        <f t="shared" si="9"/>
        <v>0</v>
      </c>
      <c r="G48" s="1182">
        <f t="shared" si="9"/>
        <v>0</v>
      </c>
      <c r="H48" s="2105">
        <f t="shared" si="9"/>
        <v>0</v>
      </c>
      <c r="I48" s="2700">
        <f t="shared" si="3"/>
        <v>0</v>
      </c>
    </row>
    <row r="49" spans="1:11" x14ac:dyDescent="0.2">
      <c r="A49" s="2083" t="s">
        <v>378</v>
      </c>
      <c r="B49" s="1465"/>
      <c r="C49" s="1895"/>
      <c r="D49" s="1895"/>
      <c r="E49" s="1895"/>
      <c r="F49" s="1895"/>
      <c r="G49" s="1895"/>
      <c r="H49" s="2106"/>
      <c r="I49" s="2700">
        <f t="shared" si="3"/>
        <v>0</v>
      </c>
    </row>
    <row r="50" spans="1:11" x14ac:dyDescent="0.2">
      <c r="A50" s="2083" t="s">
        <v>379</v>
      </c>
      <c r="B50" s="1465"/>
      <c r="C50" s="1895"/>
      <c r="D50" s="1895"/>
      <c r="E50" s="1895"/>
      <c r="F50" s="1895"/>
      <c r="G50" s="1895"/>
      <c r="H50" s="2106"/>
      <c r="I50" s="2700">
        <f t="shared" si="3"/>
        <v>0</v>
      </c>
    </row>
    <row r="51" spans="1:11" ht="13.2" x14ac:dyDescent="0.25">
      <c r="A51" s="2088" t="s">
        <v>380</v>
      </c>
      <c r="B51" s="1465"/>
      <c r="C51" s="1728"/>
      <c r="D51" s="1125"/>
      <c r="E51" s="1125"/>
      <c r="F51" s="1125"/>
      <c r="G51" s="1465"/>
      <c r="H51" s="2107"/>
      <c r="I51" s="2700">
        <f t="shared" si="3"/>
        <v>0</v>
      </c>
    </row>
    <row r="52" spans="1:11" x14ac:dyDescent="0.2">
      <c r="A52" s="2083" t="s">
        <v>615</v>
      </c>
      <c r="B52" s="1465" t="s">
        <v>411</v>
      </c>
      <c r="C52" s="2733">
        <v>48926083.490000002</v>
      </c>
      <c r="D52" s="2733">
        <v>47038384.340000004</v>
      </c>
      <c r="E52" s="2733">
        <v>46853191.68</v>
      </c>
      <c r="F52" s="2733">
        <v>47163921.759999998</v>
      </c>
      <c r="G52" s="2733">
        <v>47163921.759999998</v>
      </c>
      <c r="H52" s="2733">
        <v>47163921.759999998</v>
      </c>
      <c r="I52" s="2700">
        <f t="shared" si="3"/>
        <v>284309424.79000002</v>
      </c>
      <c r="J52" s="588"/>
      <c r="K52" s="588"/>
    </row>
    <row r="53" spans="1:11" x14ac:dyDescent="0.2">
      <c r="A53" s="2083" t="s">
        <v>616</v>
      </c>
      <c r="B53" s="1465" t="s">
        <v>411</v>
      </c>
      <c r="C53" s="2734">
        <v>31976501.690000001</v>
      </c>
      <c r="D53" s="2734">
        <v>30703492.350000001</v>
      </c>
      <c r="E53" s="2734">
        <v>30572535.300000001</v>
      </c>
      <c r="F53" s="2734">
        <v>30792264.82</v>
      </c>
      <c r="G53" s="2734">
        <v>30792264.82</v>
      </c>
      <c r="H53" s="2734">
        <v>30792264.82</v>
      </c>
      <c r="I53" s="2700">
        <f t="shared" si="3"/>
        <v>185629323.79999998</v>
      </c>
      <c r="J53" s="588"/>
      <c r="K53" s="588"/>
    </row>
    <row r="54" spans="1:11" x14ac:dyDescent="0.2">
      <c r="A54" s="2083" t="s">
        <v>617</v>
      </c>
      <c r="B54" s="1465" t="s">
        <v>411</v>
      </c>
      <c r="C54" s="2733">
        <v>18428964.649999999</v>
      </c>
      <c r="D54" s="2733">
        <v>17741267.960000001</v>
      </c>
      <c r="E54" s="2733">
        <v>17611884.609999999</v>
      </c>
      <c r="F54" s="2733">
        <v>17828973.66</v>
      </c>
      <c r="G54" s="2733">
        <v>17828973.66</v>
      </c>
      <c r="H54" s="2733">
        <v>17828973.66</v>
      </c>
      <c r="I54" s="2700">
        <f t="shared" si="3"/>
        <v>107269038.19999999</v>
      </c>
      <c r="J54" s="588"/>
      <c r="K54" s="588"/>
    </row>
    <row r="55" spans="1:11" x14ac:dyDescent="0.2">
      <c r="A55" s="2083" t="s">
        <v>1282</v>
      </c>
      <c r="B55" s="1465" t="s">
        <v>411</v>
      </c>
      <c r="C55" s="2733">
        <v>58736335.390000001</v>
      </c>
      <c r="D55" s="2733">
        <v>56390749.579999998</v>
      </c>
      <c r="E55" s="2733">
        <v>56240177.270000003</v>
      </c>
      <c r="F55" s="2733">
        <v>56492818.729999997</v>
      </c>
      <c r="G55" s="2733">
        <v>56492818.729999997</v>
      </c>
      <c r="H55" s="2733">
        <v>56492818.729999997</v>
      </c>
      <c r="I55" s="2700">
        <f t="shared" si="3"/>
        <v>340845718.43000001</v>
      </c>
      <c r="J55" s="588"/>
      <c r="K55" s="588"/>
    </row>
    <row r="56" spans="1:11" ht="12.75" customHeight="1" x14ac:dyDescent="0.2">
      <c r="A56" s="2083" t="s">
        <v>1081</v>
      </c>
      <c r="B56" s="1465" t="s">
        <v>94</v>
      </c>
      <c r="C56" s="2733">
        <v>10054099.33</v>
      </c>
      <c r="D56" s="2733">
        <v>9501421.5700000003</v>
      </c>
      <c r="E56" s="2733">
        <v>9433051.1400000006</v>
      </c>
      <c r="F56" s="2733">
        <v>9547768.1500000004</v>
      </c>
      <c r="G56" s="2733">
        <v>9547768.1500000004</v>
      </c>
      <c r="H56" s="2733">
        <v>9547768.1500000004</v>
      </c>
      <c r="I56" s="2700">
        <f t="shared" si="3"/>
        <v>57631876.489999995</v>
      </c>
      <c r="J56" s="588"/>
      <c r="K56" s="588">
        <f>+C74*1000000</f>
        <v>1307646446.3609817</v>
      </c>
    </row>
    <row r="57" spans="1:11" ht="12.75" customHeight="1" x14ac:dyDescent="0.2">
      <c r="A57" s="2083"/>
      <c r="B57" s="1465"/>
      <c r="C57" s="1728"/>
      <c r="D57" s="1728"/>
      <c r="E57" s="1728"/>
      <c r="F57" s="1728"/>
      <c r="G57" s="1728"/>
      <c r="H57" s="2086"/>
      <c r="I57" s="2700">
        <f t="shared" si="3"/>
        <v>0</v>
      </c>
      <c r="K57" s="1487">
        <f>+K56+C16</f>
        <v>1322315627.3609817</v>
      </c>
    </row>
    <row r="58" spans="1:11" x14ac:dyDescent="0.2">
      <c r="A58" s="2083" t="s">
        <v>1082</v>
      </c>
      <c r="B58" s="1465" t="s">
        <v>385</v>
      </c>
      <c r="C58" s="1169">
        <v>1</v>
      </c>
      <c r="D58" s="1169">
        <v>0</v>
      </c>
      <c r="E58" s="1169">
        <v>0</v>
      </c>
      <c r="F58" s="1169">
        <v>0</v>
      </c>
      <c r="G58" s="1169">
        <v>0</v>
      </c>
      <c r="H58" s="2049">
        <v>1</v>
      </c>
      <c r="I58" s="2700">
        <f t="shared" si="3"/>
        <v>2</v>
      </c>
    </row>
    <row r="59" spans="1:11" x14ac:dyDescent="0.2">
      <c r="A59" s="2083" t="s">
        <v>737</v>
      </c>
      <c r="B59" s="1465" t="s">
        <v>385</v>
      </c>
      <c r="C59" s="1169">
        <v>0</v>
      </c>
      <c r="D59" s="1169">
        <v>0</v>
      </c>
      <c r="E59" s="1169">
        <v>0</v>
      </c>
      <c r="F59" s="1169">
        <v>0</v>
      </c>
      <c r="G59" s="1169">
        <v>0</v>
      </c>
      <c r="H59" s="2049">
        <v>0</v>
      </c>
      <c r="I59" s="2700">
        <f t="shared" si="3"/>
        <v>0</v>
      </c>
      <c r="J59" s="461"/>
    </row>
    <row r="60" spans="1:11" x14ac:dyDescent="0.2">
      <c r="A60" s="2083" t="s">
        <v>736</v>
      </c>
      <c r="B60" s="1465" t="s">
        <v>385</v>
      </c>
      <c r="C60" s="1169">
        <v>0</v>
      </c>
      <c r="D60" s="1169">
        <v>0</v>
      </c>
      <c r="E60" s="1169">
        <v>0</v>
      </c>
      <c r="F60" s="1169">
        <v>0</v>
      </c>
      <c r="G60" s="1169">
        <v>0</v>
      </c>
      <c r="H60" s="2049">
        <v>0</v>
      </c>
      <c r="I60" s="2700">
        <f t="shared" si="3"/>
        <v>0</v>
      </c>
      <c r="J60" s="461"/>
    </row>
    <row r="61" spans="1:11" x14ac:dyDescent="0.2">
      <c r="A61" s="2083" t="s">
        <v>1083</v>
      </c>
      <c r="B61" s="1465" t="s">
        <v>385</v>
      </c>
      <c r="C61" s="1169">
        <v>0</v>
      </c>
      <c r="D61" s="1169">
        <v>0</v>
      </c>
      <c r="E61" s="1169">
        <v>0</v>
      </c>
      <c r="F61" s="1169">
        <v>0</v>
      </c>
      <c r="G61" s="1169">
        <v>0</v>
      </c>
      <c r="H61" s="2049">
        <v>1</v>
      </c>
      <c r="I61" s="2700">
        <f t="shared" si="3"/>
        <v>1</v>
      </c>
      <c r="J61" s="461"/>
    </row>
    <row r="62" spans="1:11" x14ac:dyDescent="0.2">
      <c r="A62" s="2083"/>
      <c r="B62" s="1465"/>
      <c r="C62" s="1728"/>
      <c r="D62" s="1728"/>
      <c r="E62" s="1728"/>
      <c r="F62" s="1728"/>
      <c r="G62" s="1728"/>
      <c r="H62" s="2086"/>
      <c r="I62" s="2700">
        <f t="shared" si="3"/>
        <v>0</v>
      </c>
    </row>
    <row r="63" spans="1:11" ht="13.2" x14ac:dyDescent="0.25">
      <c r="A63" s="2083" t="s">
        <v>148</v>
      </c>
      <c r="B63" s="1888" t="s">
        <v>320</v>
      </c>
      <c r="C63" s="2828">
        <f t="shared" ref="C63:H63" si="10">C6+C16+C17+C22</f>
        <v>1085344113.3609817</v>
      </c>
      <c r="D63" s="2828">
        <f t="shared" si="10"/>
        <v>1202838704.0776484</v>
      </c>
      <c r="E63" s="2828">
        <f t="shared" si="10"/>
        <v>1121501104.3609817</v>
      </c>
      <c r="F63" s="2828">
        <f t="shared" si="10"/>
        <v>1166705588.5445817</v>
      </c>
      <c r="G63" s="2828">
        <f t="shared" si="10"/>
        <v>1165357254.5445817</v>
      </c>
      <c r="H63" s="2834">
        <f t="shared" si="10"/>
        <v>1164007209.5445817</v>
      </c>
      <c r="I63" s="2700">
        <f t="shared" si="3"/>
        <v>6905753974.4333563</v>
      </c>
      <c r="J63" s="1894"/>
    </row>
    <row r="64" spans="1:11" ht="13.2" x14ac:dyDescent="0.25">
      <c r="A64" s="2083" t="s">
        <v>149</v>
      </c>
      <c r="B64" s="1888" t="s">
        <v>320</v>
      </c>
      <c r="C64" s="1728">
        <f t="shared" ref="C64:H64" si="11">+(C30*C31*1000000)+C45</f>
        <v>222302333</v>
      </c>
      <c r="D64" s="1728">
        <f t="shared" si="11"/>
        <v>222302333</v>
      </c>
      <c r="E64" s="1728">
        <f t="shared" si="11"/>
        <v>222302333</v>
      </c>
      <c r="F64" s="1728">
        <f t="shared" si="11"/>
        <v>6711572813.0828075</v>
      </c>
      <c r="G64" s="1728">
        <f t="shared" si="11"/>
        <v>6845691489.6115475</v>
      </c>
      <c r="H64" s="2086">
        <f t="shared" si="11"/>
        <v>5016726353.3372364</v>
      </c>
      <c r="I64" s="2700">
        <f t="shared" si="3"/>
        <v>19240897655.031593</v>
      </c>
    </row>
    <row r="65" spans="1:11" ht="13.2" x14ac:dyDescent="0.25">
      <c r="A65" s="2083" t="s">
        <v>387</v>
      </c>
      <c r="B65" s="1888" t="s">
        <v>320</v>
      </c>
      <c r="C65" s="1728">
        <f t="shared" ref="C65:H65" si="12">C52*C58+C53*C59+C54*C60+C56*C61</f>
        <v>48926083.490000002</v>
      </c>
      <c r="D65" s="1728">
        <f t="shared" si="12"/>
        <v>0</v>
      </c>
      <c r="E65" s="1728">
        <f t="shared" si="12"/>
        <v>0</v>
      </c>
      <c r="F65" s="1728">
        <f t="shared" si="12"/>
        <v>0</v>
      </c>
      <c r="G65" s="1728">
        <f t="shared" si="12"/>
        <v>0</v>
      </c>
      <c r="H65" s="2086">
        <f t="shared" si="12"/>
        <v>56711689.909999996</v>
      </c>
      <c r="I65" s="2700">
        <f t="shared" si="3"/>
        <v>105637773.40000001</v>
      </c>
    </row>
    <row r="66" spans="1:11" ht="13.2" x14ac:dyDescent="0.25">
      <c r="A66" s="2083" t="s">
        <v>150</v>
      </c>
      <c r="B66" s="1888" t="s">
        <v>39</v>
      </c>
      <c r="C66" s="1314">
        <v>900</v>
      </c>
      <c r="D66" s="1314">
        <v>900</v>
      </c>
      <c r="E66" s="1314">
        <v>900</v>
      </c>
      <c r="F66" s="1314">
        <v>900</v>
      </c>
      <c r="G66" s="1314">
        <v>900</v>
      </c>
      <c r="H66" s="2108">
        <v>900</v>
      </c>
      <c r="I66" s="2700">
        <f t="shared" si="3"/>
        <v>5400</v>
      </c>
      <c r="J66" s="1480"/>
    </row>
    <row r="67" spans="1:11" ht="13.2" x14ac:dyDescent="0.25">
      <c r="A67" s="2083" t="s">
        <v>134</v>
      </c>
      <c r="B67" s="1888" t="s">
        <v>388</v>
      </c>
      <c r="C67" s="1728">
        <f>DispatchSchedule!F83*1000000</f>
        <v>0</v>
      </c>
      <c r="D67" s="1728">
        <f>DispatchSchedule!G83*1000000</f>
        <v>0</v>
      </c>
      <c r="E67" s="1728">
        <f>DispatchSchedule!H83*1000000</f>
        <v>0</v>
      </c>
      <c r="F67" s="1728">
        <f>DispatchSchedule!I83*1000000</f>
        <v>410241000.00000006</v>
      </c>
      <c r="G67" s="1728">
        <f>DispatchSchedule!J83*1000000</f>
        <v>423890500</v>
      </c>
      <c r="H67" s="2086">
        <f>DispatchSchedule!K83*1000000</f>
        <v>297459840</v>
      </c>
      <c r="I67" s="2700">
        <f t="shared" si="3"/>
        <v>1131591340</v>
      </c>
      <c r="J67" s="1894"/>
    </row>
    <row r="68" spans="1:11" ht="13.2" x14ac:dyDescent="0.25">
      <c r="A68" s="2083" t="s">
        <v>805</v>
      </c>
      <c r="B68" s="1888" t="s">
        <v>214</v>
      </c>
      <c r="C68" s="143">
        <f t="shared" ref="C68:H68" si="13">IF(C67=0,0,(C64/C67))</f>
        <v>0</v>
      </c>
      <c r="D68" s="143">
        <f t="shared" si="13"/>
        <v>0</v>
      </c>
      <c r="E68" s="143">
        <f t="shared" si="13"/>
        <v>0</v>
      </c>
      <c r="F68" s="143">
        <f t="shared" si="13"/>
        <v>16.360073257141064</v>
      </c>
      <c r="G68" s="143">
        <f t="shared" si="13"/>
        <v>16.149669524586059</v>
      </c>
      <c r="H68" s="2062">
        <f t="shared" si="13"/>
        <v>16.865222388801246</v>
      </c>
      <c r="I68" s="2700">
        <f t="shared" si="3"/>
        <v>49.37496517052837</v>
      </c>
      <c r="J68" s="1894"/>
    </row>
    <row r="69" spans="1:11" ht="13.2" x14ac:dyDescent="0.25">
      <c r="A69" s="2109" t="s">
        <v>804</v>
      </c>
      <c r="B69" s="1891" t="s">
        <v>214</v>
      </c>
      <c r="C69" s="1893" t="e">
        <f t="shared" ref="C69:H69" si="14">(C64+C65)/C67</f>
        <v>#DIV/0!</v>
      </c>
      <c r="D69" s="569" t="e">
        <f t="shared" si="14"/>
        <v>#DIV/0!</v>
      </c>
      <c r="E69" s="569" t="e">
        <f t="shared" si="14"/>
        <v>#DIV/0!</v>
      </c>
      <c r="F69" s="569">
        <f t="shared" si="14"/>
        <v>16.360073257141064</v>
      </c>
      <c r="G69" s="569">
        <f t="shared" si="14"/>
        <v>16.149669524586059</v>
      </c>
      <c r="H69" s="2033">
        <f t="shared" si="14"/>
        <v>17.055875654499228</v>
      </c>
      <c r="I69" s="2700" t="e">
        <f t="shared" si="3"/>
        <v>#DIV/0!</v>
      </c>
      <c r="J69" s="1881"/>
    </row>
    <row r="70" spans="1:11" ht="13.2" x14ac:dyDescent="0.25">
      <c r="A70" s="2110" t="s">
        <v>390</v>
      </c>
      <c r="B70" s="1888" t="s">
        <v>214</v>
      </c>
      <c r="C70" s="1892">
        <f t="shared" ref="C70:H70" si="15">IF(C67=0,0,C63/C67)</f>
        <v>0</v>
      </c>
      <c r="D70" s="1892">
        <f t="shared" si="15"/>
        <v>0</v>
      </c>
      <c r="E70" s="1892">
        <f t="shared" si="15"/>
        <v>0</v>
      </c>
      <c r="F70" s="1892">
        <f t="shared" si="15"/>
        <v>2.8439516980130741</v>
      </c>
      <c r="G70" s="1892">
        <f t="shared" si="15"/>
        <v>2.7491940832469273</v>
      </c>
      <c r="H70" s="2091">
        <f t="shared" si="15"/>
        <v>3.9131575191615164</v>
      </c>
      <c r="I70" s="2700">
        <f t="shared" si="3"/>
        <v>9.5063033004215178</v>
      </c>
      <c r="J70" s="1881"/>
    </row>
    <row r="71" spans="1:11" ht="13.2" x14ac:dyDescent="0.25">
      <c r="A71" s="2110" t="s">
        <v>390</v>
      </c>
      <c r="B71" s="1888" t="s">
        <v>322</v>
      </c>
      <c r="C71" s="145">
        <f t="shared" ref="C71:H71" si="16">C63/C66/1000</f>
        <v>1205.9379037344243</v>
      </c>
      <c r="D71" s="145">
        <f t="shared" si="16"/>
        <v>1336.4874489751649</v>
      </c>
      <c r="E71" s="2156">
        <f t="shared" si="16"/>
        <v>1246.1123381788686</v>
      </c>
      <c r="F71" s="145">
        <f t="shared" si="16"/>
        <v>1296.3395428273129</v>
      </c>
      <c r="G71" s="145">
        <f t="shared" si="16"/>
        <v>1294.8413939384241</v>
      </c>
      <c r="H71" s="2034">
        <f t="shared" si="16"/>
        <v>1293.341343938424</v>
      </c>
      <c r="I71" s="2700">
        <f t="shared" si="3"/>
        <v>7673.0599715926182</v>
      </c>
    </row>
    <row r="72" spans="1:11" ht="13.2" x14ac:dyDescent="0.25">
      <c r="A72" s="2111"/>
      <c r="B72" s="2112"/>
      <c r="H72" s="2113"/>
      <c r="I72" s="2700">
        <f t="shared" ref="I72:I76" si="17">SUM(C72:H72)</f>
        <v>0</v>
      </c>
    </row>
    <row r="73" spans="1:11" x14ac:dyDescent="0.2">
      <c r="A73" s="2111"/>
      <c r="H73" s="2113"/>
      <c r="I73" s="2700">
        <f t="shared" si="17"/>
        <v>0</v>
      </c>
    </row>
    <row r="74" spans="1:11" ht="13.2" x14ac:dyDescent="0.25">
      <c r="A74" s="2114" t="s">
        <v>148</v>
      </c>
      <c r="B74" s="1891" t="s">
        <v>460</v>
      </c>
      <c r="C74" s="1890">
        <f t="shared" ref="C74:H74" si="18">IF(C67=0,(C63+C64)/1000000,C63/1000000)</f>
        <v>1307.6464463609816</v>
      </c>
      <c r="D74" s="1890">
        <f t="shared" si="18"/>
        <v>1425.1410370776484</v>
      </c>
      <c r="E74" s="1890">
        <f t="shared" si="18"/>
        <v>1343.8034373609817</v>
      </c>
      <c r="F74" s="1890">
        <f t="shared" si="18"/>
        <v>1166.7055885445816</v>
      </c>
      <c r="G74" s="1890">
        <f t="shared" si="18"/>
        <v>1165.3572545445816</v>
      </c>
      <c r="H74" s="2115">
        <f t="shared" si="18"/>
        <v>1164.0072095445817</v>
      </c>
      <c r="I74" s="2700">
        <f t="shared" si="17"/>
        <v>7572.660973433356</v>
      </c>
      <c r="J74" s="2264"/>
      <c r="K74" s="1275">
        <f>+D74*1000000</f>
        <v>1425141037.0776484</v>
      </c>
    </row>
    <row r="75" spans="1:11" ht="13.2" x14ac:dyDescent="0.25">
      <c r="A75" s="2083" t="s">
        <v>149</v>
      </c>
      <c r="B75" s="1888" t="s">
        <v>460</v>
      </c>
      <c r="C75" s="1889">
        <f t="shared" ref="C75:H75" si="19">IF(C67=0,0,(C64+C65)/1000000)</f>
        <v>0</v>
      </c>
      <c r="D75" s="1889">
        <f t="shared" si="19"/>
        <v>0</v>
      </c>
      <c r="E75" s="1889">
        <f t="shared" si="19"/>
        <v>0</v>
      </c>
      <c r="F75" s="1889">
        <f t="shared" si="19"/>
        <v>6711.5728130828074</v>
      </c>
      <c r="G75" s="1889">
        <f t="shared" si="19"/>
        <v>6845.6914896115477</v>
      </c>
      <c r="H75" s="2116">
        <f t="shared" si="19"/>
        <v>5073.4380432472362</v>
      </c>
      <c r="I75" s="2700">
        <f t="shared" si="17"/>
        <v>18630.70234594159</v>
      </c>
      <c r="J75" s="2264"/>
    </row>
    <row r="76" spans="1:11" ht="13.8" thickBot="1" x14ac:dyDescent="0.3">
      <c r="A76" s="2117" t="s">
        <v>134</v>
      </c>
      <c r="B76" s="2118" t="s">
        <v>56</v>
      </c>
      <c r="C76" s="2119">
        <f t="shared" ref="C76:H76" si="20">+C67/1000000</f>
        <v>0</v>
      </c>
      <c r="D76" s="2119">
        <f t="shared" si="20"/>
        <v>0</v>
      </c>
      <c r="E76" s="2119">
        <f t="shared" si="20"/>
        <v>0</v>
      </c>
      <c r="F76" s="2119">
        <f t="shared" si="20"/>
        <v>410.24100000000004</v>
      </c>
      <c r="G76" s="2119">
        <f t="shared" si="20"/>
        <v>423.89049999999997</v>
      </c>
      <c r="H76" s="2120">
        <f t="shared" si="20"/>
        <v>297.45983999999999</v>
      </c>
      <c r="I76" s="2700">
        <f t="shared" si="17"/>
        <v>1131.5913399999999</v>
      </c>
      <c r="J76" s="1887"/>
    </row>
    <row r="78" spans="1:11" x14ac:dyDescent="0.2">
      <c r="C78" s="1884"/>
      <c r="D78" s="1884"/>
      <c r="E78" s="1884"/>
      <c r="F78" s="1884"/>
      <c r="G78" s="1884"/>
      <c r="H78" s="1884"/>
      <c r="I78" s="1884"/>
    </row>
    <row r="79" spans="1:11" x14ac:dyDescent="0.2">
      <c r="C79" s="1886"/>
      <c r="D79" s="403"/>
      <c r="E79" s="403"/>
      <c r="F79" s="403"/>
      <c r="G79" s="403"/>
      <c r="H79" s="403"/>
      <c r="I79" s="403"/>
    </row>
    <row r="80" spans="1:11" ht="13.8" x14ac:dyDescent="0.25">
      <c r="A80" s="1885"/>
      <c r="C80" s="1884"/>
      <c r="D80" s="1884"/>
      <c r="E80" s="1884"/>
      <c r="F80" s="1884"/>
      <c r="G80" s="1884"/>
      <c r="H80" s="1884"/>
      <c r="I80" s="1884"/>
    </row>
    <row r="81" spans="1:10" ht="33" customHeight="1" x14ac:dyDescent="0.2">
      <c r="A81" s="1883"/>
      <c r="B81" s="1883"/>
      <c r="C81" s="1883"/>
      <c r="D81" s="1883"/>
      <c r="E81" s="1883"/>
      <c r="F81" s="1883"/>
      <c r="G81" s="1883"/>
      <c r="H81" s="1883"/>
      <c r="I81" s="1883"/>
    </row>
    <row r="82" spans="1:10" ht="13.8" x14ac:dyDescent="0.25">
      <c r="A82" s="1882"/>
      <c r="D82" s="135"/>
    </row>
    <row r="83" spans="1:10" x14ac:dyDescent="0.2">
      <c r="C83" s="1837"/>
      <c r="D83" s="135"/>
      <c r="E83" s="1837"/>
      <c r="F83" s="1837"/>
      <c r="G83" s="1837"/>
      <c r="H83" s="1837"/>
      <c r="I83" s="1837"/>
      <c r="J83" s="1837"/>
    </row>
    <row r="84" spans="1:10" x14ac:dyDescent="0.2">
      <c r="C84" s="1881"/>
      <c r="D84" s="135"/>
      <c r="E84" s="1881"/>
      <c r="F84" s="1881"/>
      <c r="G84" s="1881"/>
      <c r="H84" s="1881"/>
      <c r="I84" s="1881"/>
    </row>
    <row r="85" spans="1:10" x14ac:dyDescent="0.2">
      <c r="C85" s="1837"/>
      <c r="D85" s="135"/>
      <c r="E85" s="1837"/>
      <c r="F85" s="1837"/>
      <c r="G85" s="1837"/>
      <c r="H85" s="1837"/>
      <c r="I85" s="1837"/>
    </row>
    <row r="86" spans="1:10" x14ac:dyDescent="0.2">
      <c r="D86" s="135"/>
    </row>
    <row r="87" spans="1:10" x14ac:dyDescent="0.2">
      <c r="D87" s="135"/>
    </row>
    <row r="88" spans="1:10" x14ac:dyDescent="0.2">
      <c r="A88" s="1880"/>
      <c r="B88" s="1879"/>
      <c r="C88" s="1880"/>
      <c r="D88" s="135"/>
      <c r="E88" s="1880"/>
    </row>
    <row r="89" spans="1:10" x14ac:dyDescent="0.2">
      <c r="A89" s="1880"/>
      <c r="B89" s="1879"/>
      <c r="C89" s="1878"/>
      <c r="D89" s="1878"/>
      <c r="E89" s="1878"/>
      <c r="F89" s="1878"/>
      <c r="G89" s="1878"/>
      <c r="H89" s="1878"/>
      <c r="I89" s="1878"/>
    </row>
    <row r="90" spans="1:10" x14ac:dyDescent="0.2">
      <c r="A90" s="1880"/>
      <c r="B90" s="1879"/>
      <c r="C90" s="1878"/>
      <c r="D90" s="1878"/>
      <c r="E90" s="1878"/>
      <c r="F90" s="1878"/>
      <c r="G90" s="1878"/>
      <c r="H90" s="1878"/>
      <c r="I90" s="1878"/>
    </row>
    <row r="91" spans="1:10" x14ac:dyDescent="0.2">
      <c r="A91" s="1880"/>
      <c r="B91" s="1879"/>
      <c r="C91" s="1878"/>
      <c r="D91" s="1878"/>
      <c r="E91" s="1878"/>
      <c r="F91" s="1878"/>
      <c r="G91" s="1878"/>
      <c r="H91" s="1878"/>
      <c r="I91" s="1878"/>
    </row>
    <row r="92" spans="1:10" x14ac:dyDescent="0.2">
      <c r="C92" s="1878"/>
      <c r="D92" s="1878"/>
      <c r="E92" s="1878"/>
      <c r="F92" s="1878"/>
      <c r="G92" s="1878"/>
      <c r="H92" s="1878"/>
      <c r="I92" s="1878"/>
    </row>
    <row r="93" spans="1:10" x14ac:dyDescent="0.2">
      <c r="C93" s="1878"/>
      <c r="D93" s="1878"/>
      <c r="E93" s="1878"/>
      <c r="F93" s="1878"/>
      <c r="G93" s="1878"/>
      <c r="H93" s="1878"/>
      <c r="I93" s="1878"/>
    </row>
    <row r="94" spans="1:10" x14ac:dyDescent="0.2">
      <c r="C94" s="1878"/>
      <c r="D94" s="1878"/>
      <c r="E94" s="1878"/>
      <c r="F94" s="1878"/>
      <c r="G94" s="1878"/>
      <c r="H94" s="1878"/>
      <c r="I94" s="1878"/>
    </row>
    <row r="95" spans="1:10" x14ac:dyDescent="0.2">
      <c r="C95" s="1878"/>
      <c r="D95" s="1878"/>
      <c r="E95" s="1878"/>
      <c r="F95" s="1878"/>
      <c r="G95" s="1878"/>
      <c r="H95" s="1878"/>
      <c r="I95" s="1878"/>
    </row>
    <row r="96" spans="1:10" x14ac:dyDescent="0.2">
      <c r="C96" s="1878"/>
      <c r="D96" s="1878"/>
      <c r="E96" s="1878"/>
      <c r="F96" s="1878"/>
      <c r="G96" s="1878"/>
      <c r="H96" s="1878"/>
      <c r="I96" s="1878"/>
    </row>
    <row r="97" spans="3:9" x14ac:dyDescent="0.2">
      <c r="C97" s="1878"/>
      <c r="D97" s="1878"/>
      <c r="E97" s="1878"/>
      <c r="F97" s="1878"/>
      <c r="G97" s="1878"/>
      <c r="H97" s="1878"/>
      <c r="I97" s="1878"/>
    </row>
    <row r="98" spans="3:9" x14ac:dyDescent="0.2">
      <c r="C98" s="1878"/>
      <c r="D98" s="1878"/>
      <c r="E98" s="1878"/>
      <c r="F98" s="1878"/>
      <c r="G98" s="1878"/>
      <c r="H98" s="1878"/>
      <c r="I98" s="1878"/>
    </row>
  </sheetData>
  <dataValidations count="3">
    <dataValidation type="list" allowBlank="1" showInputMessage="1" showErrorMessage="1" sqref="B56:B57 C27" xr:uid="{00000000-0002-0000-1300-000000000000}">
      <formula1>Currency</formula1>
    </dataValidation>
    <dataValidation type="list" allowBlank="1" showInputMessage="1" showErrorMessage="1" sqref="C25" xr:uid="{00000000-0002-0000-1300-000001000000}">
      <formula1>Combustible</formula1>
    </dataValidation>
    <dataValidation type="list" allowBlank="1" showInputMessage="1" showErrorMessage="1" sqref="C26" xr:uid="{00000000-0002-0000-1300-000002000000}">
      <formula1>Units</formula1>
    </dataValidation>
  </dataValidations>
  <pageMargins left="0.69" right="0" top="0.22" bottom="0" header="0.19684820647419074" footer="0.11810804899387577"/>
  <pageSetup paperSize="9" scale="5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tabColor rgb="FFFFC000"/>
    <pageSetUpPr fitToPage="1"/>
  </sheetPr>
  <dimension ref="A1:K80"/>
  <sheetViews>
    <sheetView view="pageBreakPreview" zoomScale="90" zoomScaleNormal="80" zoomScaleSheetLayoutView="90" workbookViewId="0">
      <pane xSplit="2" ySplit="5" topLeftCell="C38" activePane="bottomRight" state="frozen"/>
      <selection pane="topRight" activeCell="C1" sqref="C1"/>
      <selection pane="bottomLeft" activeCell="A6" sqref="A6"/>
      <selection pane="bottomRight" activeCell="I61" sqref="I61"/>
    </sheetView>
  </sheetViews>
  <sheetFormatPr defaultColWidth="11" defaultRowHeight="12.6" x14ac:dyDescent="0.2"/>
  <cols>
    <col min="1" max="1" width="38.26953125" customWidth="1"/>
    <col min="2" max="2" width="10.08984375" style="2" customWidth="1"/>
    <col min="3" max="3" width="18" hidden="1" customWidth="1"/>
    <col min="4" max="5" width="17.36328125" hidden="1" customWidth="1"/>
    <col min="6" max="8" width="17.36328125" bestFit="1" customWidth="1"/>
    <col min="9" max="9" width="16.90625" bestFit="1" customWidth="1"/>
    <col min="10" max="10" width="16.6328125" customWidth="1"/>
  </cols>
  <sheetData>
    <row r="1" spans="1:10" ht="17.399999999999999" x14ac:dyDescent="0.3">
      <c r="A1" s="53" t="s">
        <v>537</v>
      </c>
      <c r="B1" s="131" t="s">
        <v>421</v>
      </c>
      <c r="D1" s="131" t="s">
        <v>655</v>
      </c>
      <c r="I1" s="561"/>
    </row>
    <row r="2" spans="1:10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10" ht="28.2" x14ac:dyDescent="0.45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  <c r="I3" s="472"/>
    </row>
    <row r="4" spans="1:10" ht="13.2" x14ac:dyDescent="0.25">
      <c r="A4" s="147" t="s">
        <v>122</v>
      </c>
      <c r="B4" s="151"/>
      <c r="C4" s="1183"/>
      <c r="D4" s="1183"/>
      <c r="E4" s="1183"/>
      <c r="F4" s="1183"/>
      <c r="G4" s="90"/>
      <c r="H4" s="48"/>
    </row>
    <row r="5" spans="1:10" ht="13.2" x14ac:dyDescent="0.25">
      <c r="A5" s="2046" t="s">
        <v>310</v>
      </c>
      <c r="B5" s="1133"/>
      <c r="C5" s="1183"/>
      <c r="D5" s="1183"/>
      <c r="E5" s="1183"/>
      <c r="F5" s="1183"/>
      <c r="G5" s="90"/>
      <c r="H5" s="48"/>
      <c r="I5" s="2"/>
    </row>
    <row r="6" spans="1:10" x14ac:dyDescent="0.2">
      <c r="A6" s="2037" t="s">
        <v>311</v>
      </c>
      <c r="B6" s="90" t="s">
        <v>312</v>
      </c>
      <c r="C6" s="1126">
        <f>SUM(C7:C15)</f>
        <v>21966750</v>
      </c>
      <c r="D6" s="1126">
        <f t="shared" ref="D6:H6" si="0">SUM(D7:D15)</f>
        <v>24238587.039999999</v>
      </c>
      <c r="E6" s="1126">
        <f t="shared" si="0"/>
        <v>21966750</v>
      </c>
      <c r="F6" s="1126">
        <f t="shared" si="0"/>
        <v>22453552.5</v>
      </c>
      <c r="G6" s="1126">
        <f t="shared" si="0"/>
        <v>22453552.5</v>
      </c>
      <c r="H6" s="2047">
        <f t="shared" si="0"/>
        <v>22453552.5</v>
      </c>
      <c r="I6" s="159">
        <f>SUM(C6:H6)</f>
        <v>135532744.53999999</v>
      </c>
    </row>
    <row r="7" spans="1:10" x14ac:dyDescent="0.2">
      <c r="A7" s="2048" t="s">
        <v>753</v>
      </c>
      <c r="B7" s="90"/>
      <c r="C7" s="1169">
        <f>13608564</f>
        <v>13608564</v>
      </c>
      <c r="D7" s="1169">
        <f t="shared" ref="D7:E7" si="1">13608564</f>
        <v>13608564</v>
      </c>
      <c r="E7" s="1169">
        <f t="shared" si="1"/>
        <v>13608564</v>
      </c>
      <c r="F7" s="1169">
        <f>13608564+486802.5</f>
        <v>14095366.5</v>
      </c>
      <c r="G7" s="1169">
        <f t="shared" ref="G7:H7" si="2">13608564+486802.5</f>
        <v>14095366.5</v>
      </c>
      <c r="H7" s="1169">
        <f t="shared" si="2"/>
        <v>14095366.5</v>
      </c>
      <c r="I7" s="159">
        <f>SUM(C7:H7)</f>
        <v>83111791.5</v>
      </c>
      <c r="J7" s="150"/>
    </row>
    <row r="8" spans="1:10" x14ac:dyDescent="0.2">
      <c r="A8" s="2048" t="s">
        <v>758</v>
      </c>
      <c r="B8" s="90"/>
      <c r="C8" s="1169">
        <v>483333</v>
      </c>
      <c r="D8" s="1169">
        <v>483333</v>
      </c>
      <c r="E8" s="1169">
        <v>483333</v>
      </c>
      <c r="F8" s="1169">
        <v>483333</v>
      </c>
      <c r="G8" s="1169">
        <v>483333</v>
      </c>
      <c r="H8" s="1169">
        <v>483333</v>
      </c>
      <c r="I8" s="159">
        <f t="shared" ref="I8:I58" si="3">SUM(C8:H8)</f>
        <v>2899998</v>
      </c>
      <c r="J8" s="150"/>
    </row>
    <row r="9" spans="1:10" x14ac:dyDescent="0.2">
      <c r="A9" s="2048" t="s">
        <v>754</v>
      </c>
      <c r="B9" s="90"/>
      <c r="C9" s="1169">
        <v>716915</v>
      </c>
      <c r="D9" s="1169">
        <v>716915</v>
      </c>
      <c r="E9" s="1169">
        <v>716915</v>
      </c>
      <c r="F9" s="1169">
        <v>716915</v>
      </c>
      <c r="G9" s="1169">
        <v>716915</v>
      </c>
      <c r="H9" s="1169">
        <v>716915</v>
      </c>
      <c r="I9" s="159">
        <f t="shared" si="3"/>
        <v>4301490</v>
      </c>
      <c r="J9" s="150"/>
    </row>
    <row r="10" spans="1:10" x14ac:dyDescent="0.2">
      <c r="A10" s="2048" t="s">
        <v>755</v>
      </c>
      <c r="B10" s="90"/>
      <c r="C10" s="1169">
        <v>1088449</v>
      </c>
      <c r="D10" s="1169">
        <v>1088449</v>
      </c>
      <c r="E10" s="1169">
        <v>1088449</v>
      </c>
      <c r="F10" s="1169">
        <v>1088449</v>
      </c>
      <c r="G10" s="1169">
        <v>1088449</v>
      </c>
      <c r="H10" s="1169">
        <v>1088449</v>
      </c>
      <c r="I10" s="159">
        <f t="shared" si="3"/>
        <v>6530694</v>
      </c>
      <c r="J10" s="150"/>
    </row>
    <row r="11" spans="1:10" x14ac:dyDescent="0.2">
      <c r="A11" s="2048" t="s">
        <v>752</v>
      </c>
      <c r="B11" s="90"/>
      <c r="C11" s="1169">
        <f>12770345*0.2</f>
        <v>2554069</v>
      </c>
      <c r="D11" s="1169">
        <f t="shared" ref="D11:H11" si="4">12770345*0.2</f>
        <v>2554069</v>
      </c>
      <c r="E11" s="1169">
        <f t="shared" si="4"/>
        <v>2554069</v>
      </c>
      <c r="F11" s="1169">
        <f t="shared" si="4"/>
        <v>2554069</v>
      </c>
      <c r="G11" s="1169">
        <f t="shared" si="4"/>
        <v>2554069</v>
      </c>
      <c r="H11" s="1169">
        <f t="shared" si="4"/>
        <v>2554069</v>
      </c>
      <c r="I11" s="159">
        <f t="shared" si="3"/>
        <v>15324414</v>
      </c>
      <c r="J11" s="150"/>
    </row>
    <row r="12" spans="1:10" x14ac:dyDescent="0.2">
      <c r="A12" s="2048" t="s">
        <v>757</v>
      </c>
      <c r="B12" s="90"/>
      <c r="C12" s="1169">
        <v>1739525</v>
      </c>
      <c r="D12" s="1169">
        <f>1739525+2271837.04</f>
        <v>4011362.04</v>
      </c>
      <c r="E12" s="1169">
        <v>1739525</v>
      </c>
      <c r="F12" s="1169">
        <v>1739525</v>
      </c>
      <c r="G12" s="1169">
        <v>1739525</v>
      </c>
      <c r="H12" s="1169">
        <v>1739525</v>
      </c>
      <c r="I12" s="159">
        <f t="shared" si="3"/>
        <v>12708987.039999999</v>
      </c>
      <c r="J12" s="150"/>
    </row>
    <row r="13" spans="1:10" x14ac:dyDescent="0.2">
      <c r="A13" s="2048" t="s">
        <v>756</v>
      </c>
      <c r="B13" s="90"/>
      <c r="C13" s="1169">
        <v>0</v>
      </c>
      <c r="D13" s="1169">
        <v>0</v>
      </c>
      <c r="E13" s="1169">
        <v>0</v>
      </c>
      <c r="F13" s="1169">
        <v>0</v>
      </c>
      <c r="G13" s="1169">
        <v>0</v>
      </c>
      <c r="H13" s="1169">
        <v>0</v>
      </c>
      <c r="I13" s="159">
        <f t="shared" si="3"/>
        <v>0</v>
      </c>
      <c r="J13" s="150"/>
    </row>
    <row r="14" spans="1:10" x14ac:dyDescent="0.2">
      <c r="A14" s="2048" t="s">
        <v>814</v>
      </c>
      <c r="B14" s="90"/>
      <c r="C14" s="1169">
        <v>1775895</v>
      </c>
      <c r="D14" s="1169">
        <v>1775895</v>
      </c>
      <c r="E14" s="1169">
        <v>1775895</v>
      </c>
      <c r="F14" s="1169">
        <v>1775895</v>
      </c>
      <c r="G14" s="1169">
        <v>1775895</v>
      </c>
      <c r="H14" s="1169">
        <v>1775895</v>
      </c>
      <c r="I14" s="159">
        <f t="shared" si="3"/>
        <v>10655370</v>
      </c>
      <c r="J14" s="150"/>
    </row>
    <row r="15" spans="1:10" x14ac:dyDescent="0.2">
      <c r="A15" s="2048" t="s">
        <v>815</v>
      </c>
      <c r="B15" s="90"/>
      <c r="C15" s="1169">
        <v>0</v>
      </c>
      <c r="D15" s="1169">
        <v>0</v>
      </c>
      <c r="E15" s="1169">
        <v>0</v>
      </c>
      <c r="F15" s="1169">
        <v>0</v>
      </c>
      <c r="G15" s="1169">
        <v>0</v>
      </c>
      <c r="H15" s="1169">
        <v>0</v>
      </c>
      <c r="I15" s="159">
        <f t="shared" si="3"/>
        <v>0</v>
      </c>
      <c r="J15" s="150"/>
    </row>
    <row r="16" spans="1:10" x14ac:dyDescent="0.2">
      <c r="A16" s="2037" t="s">
        <v>313</v>
      </c>
      <c r="B16" s="90" t="s">
        <v>312</v>
      </c>
      <c r="C16" s="1169">
        <v>391178</v>
      </c>
      <c r="D16" s="1169">
        <v>391178</v>
      </c>
      <c r="E16" s="1169">
        <v>391178</v>
      </c>
      <c r="F16" s="1169">
        <f>902839.67+110611.045873772</f>
        <v>1013450.715873772</v>
      </c>
      <c r="G16" s="1169">
        <f t="shared" ref="G16:H16" si="5">902839.67+110611.045873772</f>
        <v>1013450.715873772</v>
      </c>
      <c r="H16" s="1169">
        <f t="shared" si="5"/>
        <v>1013450.715873772</v>
      </c>
      <c r="I16" s="159">
        <f t="shared" si="3"/>
        <v>4213886.1476213168</v>
      </c>
      <c r="J16" s="150"/>
    </row>
    <row r="17" spans="1:11" x14ac:dyDescent="0.2">
      <c r="A17" s="2037" t="s">
        <v>314</v>
      </c>
      <c r="B17" s="90" t="s">
        <v>312</v>
      </c>
      <c r="C17" s="1127">
        <v>674659.26</v>
      </c>
      <c r="D17" s="1127">
        <v>674659.26</v>
      </c>
      <c r="E17" s="1127">
        <v>674659.26</v>
      </c>
      <c r="F17" s="1127">
        <f>674659.26+119684.683330442</f>
        <v>794343.94333044207</v>
      </c>
      <c r="G17" s="1127">
        <f t="shared" ref="G17:H17" si="6">674659.26+119684.683330442</f>
        <v>794343.94333044207</v>
      </c>
      <c r="H17" s="1127">
        <f t="shared" si="6"/>
        <v>794343.94333044207</v>
      </c>
      <c r="I17" s="159">
        <f t="shared" si="3"/>
        <v>4407009.609991326</v>
      </c>
      <c r="J17" s="150"/>
    </row>
    <row r="18" spans="1:11" x14ac:dyDescent="0.2">
      <c r="A18" s="2037" t="s">
        <v>315</v>
      </c>
      <c r="B18" s="90"/>
      <c r="C18" s="1139"/>
      <c r="D18" s="1139"/>
      <c r="E18" s="1139"/>
      <c r="F18" s="1139"/>
      <c r="G18" s="1139"/>
      <c r="H18" s="2070"/>
      <c r="I18" s="159">
        <f t="shared" si="3"/>
        <v>0</v>
      </c>
      <c r="J18" s="150"/>
    </row>
    <row r="19" spans="1:11" x14ac:dyDescent="0.2">
      <c r="A19" s="2037" t="s">
        <v>316</v>
      </c>
      <c r="B19" s="90"/>
      <c r="C19" s="1137"/>
      <c r="D19" s="1137"/>
      <c r="E19" s="1137"/>
      <c r="F19" s="1137"/>
      <c r="G19" s="1137"/>
      <c r="H19" s="2071"/>
      <c r="I19" s="159">
        <f t="shared" si="3"/>
        <v>0</v>
      </c>
    </row>
    <row r="20" spans="1:11" x14ac:dyDescent="0.2">
      <c r="A20" s="2037"/>
      <c r="B20" s="90"/>
      <c r="C20" s="1183"/>
      <c r="D20" s="1183"/>
      <c r="E20" s="1183"/>
      <c r="F20" s="1183"/>
      <c r="G20" s="90"/>
      <c r="H20" s="2053"/>
      <c r="I20" s="159">
        <f t="shared" si="3"/>
        <v>0</v>
      </c>
    </row>
    <row r="21" spans="1:11" ht="13.2" x14ac:dyDescent="0.25">
      <c r="A21" s="2046" t="s">
        <v>317</v>
      </c>
      <c r="B21" s="1133"/>
      <c r="C21" s="1183"/>
      <c r="D21" s="1183"/>
      <c r="E21" s="1183"/>
      <c r="F21" s="1183"/>
      <c r="G21" s="90"/>
      <c r="H21" s="48"/>
      <c r="I21" s="159">
        <f t="shared" si="3"/>
        <v>0</v>
      </c>
    </row>
    <row r="22" spans="1:11" x14ac:dyDescent="0.2">
      <c r="A22" s="2037" t="s">
        <v>318</v>
      </c>
      <c r="B22" s="90" t="s">
        <v>312</v>
      </c>
      <c r="C22" s="2721"/>
      <c r="D22" s="2721"/>
      <c r="E22" s="2721"/>
      <c r="F22" s="2721"/>
      <c r="G22" s="2721"/>
      <c r="H22" s="2721"/>
      <c r="I22" s="159">
        <f t="shared" si="3"/>
        <v>0</v>
      </c>
    </row>
    <row r="23" spans="1:11" x14ac:dyDescent="0.2">
      <c r="A23" s="2037"/>
      <c r="B23" s="90"/>
      <c r="C23" s="47"/>
      <c r="D23" s="1183"/>
      <c r="E23" s="1183"/>
      <c r="F23" s="1183"/>
      <c r="G23" s="90"/>
      <c r="H23" s="48"/>
      <c r="I23" s="159">
        <f t="shared" si="3"/>
        <v>0</v>
      </c>
    </row>
    <row r="24" spans="1:11" ht="13.2" x14ac:dyDescent="0.25">
      <c r="A24" s="147" t="s">
        <v>24</v>
      </c>
      <c r="B24" s="151"/>
      <c r="C24" s="1183"/>
      <c r="D24" s="1183"/>
      <c r="E24" s="1183"/>
      <c r="F24" s="1183"/>
      <c r="G24" s="90"/>
      <c r="H24" s="48"/>
      <c r="I24" s="159">
        <f t="shared" si="3"/>
        <v>0</v>
      </c>
      <c r="K24" s="164"/>
    </row>
    <row r="25" spans="1:11" x14ac:dyDescent="0.2">
      <c r="A25" s="2055" t="s">
        <v>89</v>
      </c>
      <c r="B25" s="90" t="s">
        <v>370</v>
      </c>
      <c r="C25" s="1183"/>
      <c r="D25" s="1183"/>
      <c r="E25" s="1183"/>
      <c r="F25" s="1183"/>
      <c r="G25" s="90"/>
      <c r="H25" s="2053"/>
      <c r="I25" s="159">
        <f t="shared" si="3"/>
        <v>0</v>
      </c>
      <c r="K25" s="164"/>
    </row>
    <row r="26" spans="1:11" x14ac:dyDescent="0.2">
      <c r="A26" s="2055" t="s">
        <v>100</v>
      </c>
      <c r="B26" s="90" t="s">
        <v>371</v>
      </c>
      <c r="C26" s="1183"/>
      <c r="D26" s="1183"/>
      <c r="E26" s="1183"/>
      <c r="F26" s="1183"/>
      <c r="G26" s="90"/>
      <c r="H26" s="2053"/>
      <c r="I26" s="159">
        <f t="shared" si="3"/>
        <v>0</v>
      </c>
      <c r="K26" s="164"/>
    </row>
    <row r="27" spans="1:11" x14ac:dyDescent="0.2">
      <c r="A27" s="2055" t="s">
        <v>99</v>
      </c>
      <c r="B27" s="90" t="s">
        <v>372</v>
      </c>
      <c r="C27" s="1183"/>
      <c r="D27" s="1183"/>
      <c r="E27" s="1183"/>
      <c r="F27" s="1183"/>
      <c r="G27" s="90"/>
      <c r="H27" s="2053"/>
      <c r="I27" s="159">
        <f t="shared" si="3"/>
        <v>0</v>
      </c>
      <c r="K27" s="164"/>
    </row>
    <row r="28" spans="1:11" x14ac:dyDescent="0.2">
      <c r="A28" s="465" t="s">
        <v>816</v>
      </c>
      <c r="B28" s="90" t="s">
        <v>373</v>
      </c>
      <c r="C28" s="1876">
        <v>0.22239999999999999</v>
      </c>
      <c r="D28" s="1876">
        <v>0.22239999999999999</v>
      </c>
      <c r="E28" s="1876">
        <v>0.22239999999999999</v>
      </c>
      <c r="F28" s="1876">
        <v>0.22239999999999999</v>
      </c>
      <c r="G28" s="1876">
        <v>0.22239999999999999</v>
      </c>
      <c r="H28" s="1876">
        <v>0.22239999999999999</v>
      </c>
      <c r="I28" s="159">
        <f t="shared" si="3"/>
        <v>1.3343999999999998</v>
      </c>
      <c r="J28" s="165"/>
      <c r="K28" s="164"/>
    </row>
    <row r="29" spans="1:11" x14ac:dyDescent="0.2">
      <c r="A29" s="2055" t="s">
        <v>632</v>
      </c>
      <c r="B29" s="90" t="s">
        <v>374</v>
      </c>
      <c r="C29" s="1146">
        <f>Inputs!C75</f>
        <v>177</v>
      </c>
      <c r="D29" s="1146">
        <f>Inputs!D75</f>
        <v>168</v>
      </c>
      <c r="E29" s="1146">
        <f>Inputs!E75</f>
        <v>168</v>
      </c>
      <c r="F29" s="1146">
        <f>Inputs!F75</f>
        <v>168</v>
      </c>
      <c r="G29" s="1146">
        <f>Inputs!G75</f>
        <v>168</v>
      </c>
      <c r="H29" s="2056">
        <f>Inputs!H75</f>
        <v>168</v>
      </c>
      <c r="I29" s="159">
        <f t="shared" si="3"/>
        <v>1017</v>
      </c>
      <c r="K29" s="164"/>
    </row>
    <row r="30" spans="1:11" x14ac:dyDescent="0.2">
      <c r="A30" s="2037" t="s">
        <v>375</v>
      </c>
      <c r="B30" s="90" t="s">
        <v>214</v>
      </c>
      <c r="C30" s="1185">
        <f t="shared" ref="C30:H30" si="7">C28*C29</f>
        <v>39.364799999999995</v>
      </c>
      <c r="D30" s="1185">
        <f t="shared" si="7"/>
        <v>37.363199999999999</v>
      </c>
      <c r="E30" s="1185">
        <f t="shared" si="7"/>
        <v>37.363199999999999</v>
      </c>
      <c r="F30" s="1185">
        <f t="shared" si="7"/>
        <v>37.363199999999999</v>
      </c>
      <c r="G30" s="1185">
        <f t="shared" si="7"/>
        <v>37.363199999999999</v>
      </c>
      <c r="H30" s="2057">
        <f t="shared" si="7"/>
        <v>37.363199999999999</v>
      </c>
      <c r="I30" s="159">
        <f t="shared" si="3"/>
        <v>226.1808</v>
      </c>
      <c r="J30" s="165"/>
    </row>
    <row r="31" spans="1:11" ht="13.2" x14ac:dyDescent="0.25">
      <c r="A31" s="147" t="s">
        <v>132</v>
      </c>
      <c r="B31" s="151"/>
      <c r="C31" s="1183"/>
      <c r="D31" s="1183"/>
      <c r="E31" s="1183"/>
      <c r="F31" s="1183"/>
      <c r="G31" s="90"/>
      <c r="H31" s="48"/>
      <c r="I31" s="159">
        <f t="shared" si="3"/>
        <v>0</v>
      </c>
    </row>
    <row r="32" spans="1:11" x14ac:dyDescent="0.2">
      <c r="A32" s="2037" t="s">
        <v>376</v>
      </c>
      <c r="B32" s="90" t="s">
        <v>312</v>
      </c>
      <c r="C32" s="1169">
        <v>13489584</v>
      </c>
      <c r="D32" s="1169">
        <v>13489584</v>
      </c>
      <c r="E32" s="1169">
        <v>13489584</v>
      </c>
      <c r="F32" s="1169">
        <v>13489584</v>
      </c>
      <c r="G32" s="1169">
        <v>13489584</v>
      </c>
      <c r="H32" s="1169">
        <v>13489584</v>
      </c>
      <c r="I32" s="159">
        <f t="shared" si="3"/>
        <v>80937504</v>
      </c>
      <c r="J32" s="165"/>
    </row>
    <row r="33" spans="1:9" x14ac:dyDescent="0.2">
      <c r="A33" s="2037" t="s">
        <v>376</v>
      </c>
      <c r="B33" s="90" t="s">
        <v>377</v>
      </c>
      <c r="C33" s="1174"/>
      <c r="D33" s="1174"/>
      <c r="E33" s="1174"/>
      <c r="F33" s="1174"/>
      <c r="G33" s="90"/>
      <c r="H33" s="48"/>
      <c r="I33" s="159">
        <f t="shared" si="3"/>
        <v>0</v>
      </c>
    </row>
    <row r="34" spans="1:9" x14ac:dyDescent="0.2">
      <c r="A34" s="2037" t="s">
        <v>315</v>
      </c>
      <c r="B34" s="90"/>
      <c r="C34" s="1128">
        <f t="shared" ref="C34:H35" si="8">C18</f>
        <v>0</v>
      </c>
      <c r="D34" s="1128">
        <f t="shared" si="8"/>
        <v>0</v>
      </c>
      <c r="E34" s="1128">
        <f t="shared" si="8"/>
        <v>0</v>
      </c>
      <c r="F34" s="1128">
        <f t="shared" si="8"/>
        <v>0</v>
      </c>
      <c r="G34" s="1128">
        <f t="shared" si="8"/>
        <v>0</v>
      </c>
      <c r="H34" s="2072">
        <f>H18</f>
        <v>0</v>
      </c>
      <c r="I34" s="159">
        <f t="shared" si="3"/>
        <v>0</v>
      </c>
    </row>
    <row r="35" spans="1:9" x14ac:dyDescent="0.2">
      <c r="A35" s="2037" t="s">
        <v>316</v>
      </c>
      <c r="B35" s="90"/>
      <c r="C35" s="1128">
        <f>C19</f>
        <v>0</v>
      </c>
      <c r="D35" s="1128">
        <f t="shared" si="8"/>
        <v>0</v>
      </c>
      <c r="E35" s="1128">
        <f t="shared" si="8"/>
        <v>0</v>
      </c>
      <c r="F35" s="1128">
        <f t="shared" si="8"/>
        <v>0</v>
      </c>
      <c r="G35" s="1128">
        <f t="shared" si="8"/>
        <v>0</v>
      </c>
      <c r="H35" s="2072">
        <f t="shared" si="8"/>
        <v>0</v>
      </c>
      <c r="I35" s="159">
        <f t="shared" si="3"/>
        <v>0</v>
      </c>
    </row>
    <row r="36" spans="1:9" x14ac:dyDescent="0.2">
      <c r="A36" s="2037" t="s">
        <v>378</v>
      </c>
      <c r="B36" s="90"/>
      <c r="C36" s="1128"/>
      <c r="D36" s="1174"/>
      <c r="E36" s="1174"/>
      <c r="F36" s="1174"/>
      <c r="G36" s="90"/>
      <c r="H36" s="2058"/>
      <c r="I36" s="159">
        <f t="shared" si="3"/>
        <v>0</v>
      </c>
    </row>
    <row r="37" spans="1:9" x14ac:dyDescent="0.2">
      <c r="A37" s="2037" t="s">
        <v>379</v>
      </c>
      <c r="B37" s="90"/>
      <c r="C37" s="1128"/>
      <c r="D37" s="1174"/>
      <c r="E37" s="1174"/>
      <c r="F37" s="1174"/>
      <c r="G37" s="90"/>
      <c r="H37" s="2058"/>
      <c r="I37" s="159">
        <f t="shared" si="3"/>
        <v>0</v>
      </c>
    </row>
    <row r="38" spans="1:9" ht="13.2" x14ac:dyDescent="0.25">
      <c r="A38" s="147" t="s">
        <v>380</v>
      </c>
      <c r="B38" s="90"/>
      <c r="C38" s="1174"/>
      <c r="D38" s="1174"/>
      <c r="E38" s="1174"/>
      <c r="F38" s="1174"/>
      <c r="G38" s="90"/>
      <c r="H38" s="2059"/>
      <c r="I38" s="159">
        <f t="shared" si="3"/>
        <v>0</v>
      </c>
    </row>
    <row r="39" spans="1:9" x14ac:dyDescent="0.2">
      <c r="A39" s="2037" t="s">
        <v>381</v>
      </c>
      <c r="B39" s="318" t="s">
        <v>411</v>
      </c>
      <c r="C39" s="1169"/>
      <c r="D39" s="1169"/>
      <c r="E39" s="1169"/>
      <c r="F39" s="1169"/>
      <c r="G39" s="1169"/>
      <c r="H39" s="2049"/>
      <c r="I39" s="159">
        <f t="shared" si="3"/>
        <v>0</v>
      </c>
    </row>
    <row r="40" spans="1:9" x14ac:dyDescent="0.2">
      <c r="A40" s="2037" t="s">
        <v>383</v>
      </c>
      <c r="B40" s="318" t="s">
        <v>411</v>
      </c>
      <c r="C40" s="1169">
        <v>70000</v>
      </c>
      <c r="D40" s="1169">
        <v>70000</v>
      </c>
      <c r="E40" s="1169">
        <v>70000</v>
      </c>
      <c r="F40" s="1169">
        <v>70000</v>
      </c>
      <c r="G40" s="1169">
        <v>70000</v>
      </c>
      <c r="H40" s="1169">
        <v>70000</v>
      </c>
      <c r="I40" s="159">
        <f t="shared" si="3"/>
        <v>420000</v>
      </c>
    </row>
    <row r="41" spans="1:9" ht="12.75" customHeight="1" x14ac:dyDescent="0.2">
      <c r="A41" s="2037"/>
      <c r="B41" s="90"/>
      <c r="C41" s="1174"/>
      <c r="D41" s="1174"/>
      <c r="E41" s="1174"/>
      <c r="F41" s="1174"/>
      <c r="G41" s="90"/>
      <c r="H41" s="2053"/>
      <c r="I41" s="159">
        <f t="shared" si="3"/>
        <v>0</v>
      </c>
    </row>
    <row r="42" spans="1:9" x14ac:dyDescent="0.2">
      <c r="A42" s="2037" t="s">
        <v>384</v>
      </c>
      <c r="B42" s="90" t="s">
        <v>385</v>
      </c>
      <c r="C42" s="1169"/>
      <c r="D42" s="1169"/>
      <c r="E42" s="1169"/>
      <c r="F42" s="1169"/>
      <c r="G42" s="1169"/>
      <c r="H42" s="2049"/>
      <c r="I42" s="159">
        <f t="shared" si="3"/>
        <v>0</v>
      </c>
    </row>
    <row r="43" spans="1:9" x14ac:dyDescent="0.2">
      <c r="A43" s="2037" t="s">
        <v>386</v>
      </c>
      <c r="B43" s="90" t="s">
        <v>385</v>
      </c>
      <c r="C43" s="1169">
        <v>85</v>
      </c>
      <c r="D43" s="1169">
        <v>85</v>
      </c>
      <c r="E43" s="1169">
        <v>85</v>
      </c>
      <c r="F43" s="1169">
        <v>85</v>
      </c>
      <c r="G43" s="1169">
        <v>85</v>
      </c>
      <c r="H43" s="1169">
        <v>85</v>
      </c>
      <c r="I43" s="159">
        <f t="shared" si="3"/>
        <v>510</v>
      </c>
    </row>
    <row r="44" spans="1:9" x14ac:dyDescent="0.2">
      <c r="A44" s="2037"/>
      <c r="B44" s="90"/>
      <c r="C44" s="1183"/>
      <c r="D44" s="1183"/>
      <c r="E44" s="1183"/>
      <c r="F44" s="1183"/>
      <c r="G44" s="90"/>
      <c r="H44" s="2060"/>
      <c r="I44" s="159">
        <f t="shared" si="3"/>
        <v>0</v>
      </c>
    </row>
    <row r="45" spans="1:9" ht="13.2" x14ac:dyDescent="0.25">
      <c r="A45" s="2037" t="s">
        <v>148</v>
      </c>
      <c r="B45" s="151" t="s">
        <v>320</v>
      </c>
      <c r="C45" s="2832">
        <f>C6+C16+C17+C22</f>
        <v>23032587.260000002</v>
      </c>
      <c r="D45" s="2832">
        <f t="shared" ref="D45:H45" si="9">D6+D16+D17+D22</f>
        <v>25304424.300000001</v>
      </c>
      <c r="E45" s="2832">
        <f t="shared" si="9"/>
        <v>23032587.260000002</v>
      </c>
      <c r="F45" s="2832">
        <f t="shared" si="9"/>
        <v>24261347.159204211</v>
      </c>
      <c r="G45" s="2832">
        <f t="shared" si="9"/>
        <v>24261347.159204211</v>
      </c>
      <c r="H45" s="2830">
        <f t="shared" si="9"/>
        <v>24261347.159204211</v>
      </c>
      <c r="I45" s="159">
        <f t="shared" si="3"/>
        <v>144153640.29761264</v>
      </c>
    </row>
    <row r="46" spans="1:9" ht="13.2" x14ac:dyDescent="0.25">
      <c r="A46" s="2037" t="s">
        <v>149</v>
      </c>
      <c r="B46" s="151" t="s">
        <v>320</v>
      </c>
      <c r="C46" s="1187">
        <f>C32+(C30*C49*1000000)</f>
        <v>13489584</v>
      </c>
      <c r="D46" s="1187">
        <f t="shared" ref="D46:H46" si="10">D32+(D30*D49*1000000)</f>
        <v>13489584</v>
      </c>
      <c r="E46" s="1187">
        <f t="shared" si="10"/>
        <v>13489584</v>
      </c>
      <c r="F46" s="1187">
        <f t="shared" si="10"/>
        <v>456527527.83743989</v>
      </c>
      <c r="G46" s="1187">
        <f t="shared" si="10"/>
        <v>460548915.97631997</v>
      </c>
      <c r="H46" s="2073">
        <f t="shared" si="10"/>
        <v>456527914.54655999</v>
      </c>
      <c r="I46" s="159">
        <f t="shared" si="3"/>
        <v>1414073110.3603199</v>
      </c>
    </row>
    <row r="47" spans="1:9" ht="13.2" x14ac:dyDescent="0.25">
      <c r="A47" s="2037" t="s">
        <v>387</v>
      </c>
      <c r="B47" s="151" t="s">
        <v>320</v>
      </c>
      <c r="C47" s="1187">
        <f t="shared" ref="C47:H47" si="11">C39*C42+C40*C43</f>
        <v>5950000</v>
      </c>
      <c r="D47" s="1187">
        <f t="shared" si="11"/>
        <v>5950000</v>
      </c>
      <c r="E47" s="1187">
        <f t="shared" si="11"/>
        <v>5950000</v>
      </c>
      <c r="F47" s="1187">
        <f t="shared" si="11"/>
        <v>5950000</v>
      </c>
      <c r="G47" s="1187">
        <f t="shared" si="11"/>
        <v>5950000</v>
      </c>
      <c r="H47" s="2073">
        <f t="shared" si="11"/>
        <v>5950000</v>
      </c>
      <c r="I47" s="159">
        <f t="shared" si="3"/>
        <v>35700000</v>
      </c>
    </row>
    <row r="48" spans="1:9" ht="13.2" x14ac:dyDescent="0.25">
      <c r="A48" s="2037" t="s">
        <v>150</v>
      </c>
      <c r="B48" s="151" t="s">
        <v>39</v>
      </c>
      <c r="C48" s="1184">
        <v>24</v>
      </c>
      <c r="D48" s="1184">
        <v>24</v>
      </c>
      <c r="E48" s="1184">
        <v>24</v>
      </c>
      <c r="F48" s="1184">
        <v>24</v>
      </c>
      <c r="G48" s="1184">
        <v>24</v>
      </c>
      <c r="H48" s="2054">
        <v>24</v>
      </c>
      <c r="I48" s="159">
        <f t="shared" si="3"/>
        <v>144</v>
      </c>
    </row>
    <row r="49" spans="1:10" ht="13.2" x14ac:dyDescent="0.25">
      <c r="A49" s="2037" t="s">
        <v>642</v>
      </c>
      <c r="B49" s="151" t="s">
        <v>56</v>
      </c>
      <c r="C49" s="1188">
        <f>DispatchSchedule!F23</f>
        <v>0</v>
      </c>
      <c r="D49" s="1188">
        <f>DispatchSchedule!G23</f>
        <v>0</v>
      </c>
      <c r="E49" s="1188">
        <f>DispatchSchedule!H23</f>
        <v>0</v>
      </c>
      <c r="F49" s="1188">
        <f>DispatchSchedule!I23</f>
        <v>11.857601699999998</v>
      </c>
      <c r="G49" s="1188">
        <f>DispatchSchedule!J23</f>
        <v>11.96523135</v>
      </c>
      <c r="H49" s="2074">
        <f>DispatchSchedule!K23</f>
        <v>11.85761205</v>
      </c>
      <c r="I49" s="159">
        <f t="shared" si="3"/>
        <v>35.6804451</v>
      </c>
      <c r="J49" s="150"/>
    </row>
    <row r="50" spans="1:10" ht="13.2" x14ac:dyDescent="0.25">
      <c r="A50" s="465" t="s">
        <v>805</v>
      </c>
      <c r="B50" s="151" t="s">
        <v>214</v>
      </c>
      <c r="C50" s="143">
        <f>IF(C49=0,0,(C46/C54/10^6))</f>
        <v>0</v>
      </c>
      <c r="D50" s="143">
        <f t="shared" ref="D50:H50" si="12">IF(D49=0,0,(D46/D54/10^6))</f>
        <v>0</v>
      </c>
      <c r="E50" s="143">
        <f t="shared" si="12"/>
        <v>0</v>
      </c>
      <c r="F50" s="143">
        <f t="shared" si="12"/>
        <v>39.848360846169285</v>
      </c>
      <c r="G50" s="143">
        <f t="shared" si="12"/>
        <v>39.837769458213707</v>
      </c>
      <c r="H50" s="2062">
        <f t="shared" si="12"/>
        <v>39.848359818424782</v>
      </c>
      <c r="I50" s="159">
        <f t="shared" si="3"/>
        <v>119.53449012280778</v>
      </c>
      <c r="J50" s="155">
        <f>+D56*1000000</f>
        <v>38794008.299999997</v>
      </c>
    </row>
    <row r="51" spans="1:10" ht="13.2" x14ac:dyDescent="0.25">
      <c r="A51" s="2032" t="s">
        <v>804</v>
      </c>
      <c r="B51" s="508" t="s">
        <v>214</v>
      </c>
      <c r="C51" s="570">
        <f t="shared" ref="C51:H51" si="13">IF(C54=0,0,(C46+C47)/(C54*1000000))</f>
        <v>0</v>
      </c>
      <c r="D51" s="570">
        <f t="shared" si="13"/>
        <v>0</v>
      </c>
      <c r="E51" s="570">
        <f t="shared" si="13"/>
        <v>0</v>
      </c>
      <c r="F51" s="570">
        <f t="shared" si="13"/>
        <v>40.367711230488567</v>
      </c>
      <c r="G51" s="570">
        <f t="shared" si="13"/>
        <v>40.352448181914276</v>
      </c>
      <c r="H51" s="2063">
        <f t="shared" si="13"/>
        <v>40.367709749425444</v>
      </c>
      <c r="I51" s="159">
        <f t="shared" si="3"/>
        <v>121.08786916182828</v>
      </c>
    </row>
    <row r="52" spans="1:10" s="167" customFormat="1" ht="13.2" x14ac:dyDescent="0.25">
      <c r="A52" s="55" t="s">
        <v>390</v>
      </c>
      <c r="B52" s="151" t="s">
        <v>214</v>
      </c>
      <c r="C52" s="166">
        <f t="shared" ref="C52:H52" si="14">IF(C54=0,0,C45/(C49*1000000))</f>
        <v>0</v>
      </c>
      <c r="D52" s="166">
        <f t="shared" si="14"/>
        <v>0</v>
      </c>
      <c r="E52" s="166">
        <f t="shared" si="14"/>
        <v>0</v>
      </c>
      <c r="F52" s="166">
        <f t="shared" si="14"/>
        <v>2.0460585346870115</v>
      </c>
      <c r="G52" s="166">
        <f t="shared" si="14"/>
        <v>2.0276538287915522</v>
      </c>
      <c r="H52" s="2064">
        <f t="shared" si="14"/>
        <v>2.0460567487704413</v>
      </c>
      <c r="I52" s="159">
        <f t="shared" si="3"/>
        <v>6.1197691122490046</v>
      </c>
    </row>
    <row r="53" spans="1:10" ht="13.2" x14ac:dyDescent="0.25">
      <c r="A53" s="55" t="s">
        <v>390</v>
      </c>
      <c r="B53" s="151" t="s">
        <v>322</v>
      </c>
      <c r="C53" s="168">
        <f t="shared" ref="C53:H53" si="15">C45/C48/1000</f>
        <v>959.69113583333342</v>
      </c>
      <c r="D53" s="168">
        <f t="shared" si="15"/>
        <v>1054.3510125</v>
      </c>
      <c r="E53" s="168">
        <f t="shared" si="15"/>
        <v>959.69113583333342</v>
      </c>
      <c r="F53" s="168">
        <f t="shared" si="15"/>
        <v>1010.8894649668421</v>
      </c>
      <c r="G53" s="168">
        <f t="shared" si="15"/>
        <v>1010.8894649668421</v>
      </c>
      <c r="H53" s="2065">
        <f t="shared" si="15"/>
        <v>1010.8894649668421</v>
      </c>
      <c r="I53" s="159">
        <f t="shared" si="3"/>
        <v>6006.4016790671922</v>
      </c>
    </row>
    <row r="54" spans="1:10" ht="13.2" x14ac:dyDescent="0.25">
      <c r="A54" s="2037" t="s">
        <v>134</v>
      </c>
      <c r="B54" s="151" t="s">
        <v>56</v>
      </c>
      <c r="C54" s="1189">
        <f>DispatchSchedule!F90</f>
        <v>0</v>
      </c>
      <c r="D54" s="1189">
        <f>DispatchSchedule!G90</f>
        <v>0</v>
      </c>
      <c r="E54" s="1189">
        <f>DispatchSchedule!H90</f>
        <v>0</v>
      </c>
      <c r="F54" s="1189">
        <f>DispatchSchedule!I90</f>
        <v>11.456619999999999</v>
      </c>
      <c r="G54" s="1189">
        <f>DispatchSchedule!J90</f>
        <v>11.56061</v>
      </c>
      <c r="H54" s="2075">
        <f>DispatchSchedule!K90</f>
        <v>11.456630000000001</v>
      </c>
      <c r="I54" s="159">
        <f t="shared" si="3"/>
        <v>34.473860000000002</v>
      </c>
    </row>
    <row r="55" spans="1:10" x14ac:dyDescent="0.2">
      <c r="A55" s="75"/>
      <c r="C55" s="146"/>
      <c r="H55" s="171"/>
      <c r="I55" s="159">
        <f t="shared" si="3"/>
        <v>0</v>
      </c>
    </row>
    <row r="56" spans="1:10" ht="13.2" x14ac:dyDescent="0.25">
      <c r="A56" s="2035" t="s">
        <v>148</v>
      </c>
      <c r="B56" s="508" t="s">
        <v>460</v>
      </c>
      <c r="C56" s="1231">
        <f t="shared" ref="C56:H56" si="16">IF(C54=0,(C45+C46)/1000000,C45/1000000)</f>
        <v>36.522171260000007</v>
      </c>
      <c r="D56" s="1231">
        <f t="shared" si="16"/>
        <v>38.794008299999994</v>
      </c>
      <c r="E56" s="1231">
        <f t="shared" si="16"/>
        <v>36.522171260000007</v>
      </c>
      <c r="F56" s="1231">
        <f t="shared" si="16"/>
        <v>24.26134715920421</v>
      </c>
      <c r="G56" s="1231">
        <f t="shared" si="16"/>
        <v>24.26134715920421</v>
      </c>
      <c r="H56" s="2066">
        <f t="shared" si="16"/>
        <v>24.26134715920421</v>
      </c>
      <c r="I56" s="159">
        <f t="shared" si="3"/>
        <v>184.62239229761263</v>
      </c>
    </row>
    <row r="57" spans="1:10" ht="13.2" x14ac:dyDescent="0.25">
      <c r="A57" s="2037" t="s">
        <v>149</v>
      </c>
      <c r="B57" s="151" t="s">
        <v>460</v>
      </c>
      <c r="C57" s="1232">
        <f t="shared" ref="C57:H57" si="17">IF(C54=0,0,(C46+C47)/1000000)</f>
        <v>0</v>
      </c>
      <c r="D57" s="1232">
        <f t="shared" si="17"/>
        <v>0</v>
      </c>
      <c r="E57" s="1232">
        <f t="shared" si="17"/>
        <v>0</v>
      </c>
      <c r="F57" s="1232">
        <f t="shared" si="17"/>
        <v>462.47752783743988</v>
      </c>
      <c r="G57" s="1232">
        <f t="shared" si="17"/>
        <v>466.49891597631995</v>
      </c>
      <c r="H57" s="2067">
        <f t="shared" si="17"/>
        <v>462.47791454655999</v>
      </c>
      <c r="I57" s="159">
        <f t="shared" si="3"/>
        <v>1391.4543583603199</v>
      </c>
    </row>
    <row r="58" spans="1:10" ht="13.8" thickBot="1" x14ac:dyDescent="0.3">
      <c r="A58" s="2039" t="s">
        <v>134</v>
      </c>
      <c r="B58" s="2040" t="s">
        <v>56</v>
      </c>
      <c r="C58" s="2076">
        <f>+C49</f>
        <v>0</v>
      </c>
      <c r="D58" s="2076">
        <f t="shared" ref="D58:H58" si="18">+D49</f>
        <v>0</v>
      </c>
      <c r="E58" s="2076">
        <f t="shared" si="18"/>
        <v>0</v>
      </c>
      <c r="F58" s="2076">
        <f t="shared" si="18"/>
        <v>11.857601699999998</v>
      </c>
      <c r="G58" s="2076">
        <f t="shared" si="18"/>
        <v>11.96523135</v>
      </c>
      <c r="H58" s="2077">
        <f t="shared" si="18"/>
        <v>11.85761205</v>
      </c>
      <c r="I58" s="159">
        <f t="shared" si="3"/>
        <v>35.6804451</v>
      </c>
    </row>
    <row r="60" spans="1:10" x14ac:dyDescent="0.2">
      <c r="B60" s="456"/>
      <c r="C60" s="135"/>
      <c r="D60" s="135"/>
      <c r="E60" s="135"/>
      <c r="F60" s="135"/>
      <c r="G60" s="135"/>
      <c r="H60" s="135"/>
    </row>
    <row r="61" spans="1:10" x14ac:dyDescent="0.2">
      <c r="B61" s="456"/>
      <c r="C61" s="135"/>
      <c r="D61" s="135"/>
      <c r="E61" s="135"/>
      <c r="F61" s="135"/>
      <c r="G61" s="135"/>
      <c r="H61" s="135"/>
    </row>
    <row r="62" spans="1:10" ht="13.8" x14ac:dyDescent="0.25">
      <c r="A62" s="1083"/>
      <c r="B62" s="456"/>
      <c r="C62" s="587"/>
      <c r="D62" s="587"/>
      <c r="E62" s="587"/>
      <c r="F62" s="587"/>
      <c r="G62" s="587"/>
      <c r="H62" s="587"/>
    </row>
    <row r="63" spans="1:10" ht="32.25" customHeight="1" x14ac:dyDescent="0.2">
      <c r="A63" s="1156"/>
      <c r="B63" s="1156"/>
      <c r="C63" s="1156"/>
      <c r="D63" s="1156"/>
      <c r="E63" s="1156"/>
      <c r="F63" s="1156"/>
      <c r="G63" s="1156"/>
      <c r="H63" s="1156"/>
    </row>
    <row r="64" spans="1:10" x14ac:dyDescent="0.2">
      <c r="C64" s="241"/>
      <c r="D64" s="135"/>
      <c r="E64" s="241"/>
      <c r="F64" s="241"/>
      <c r="G64" s="241"/>
      <c r="H64" s="241"/>
    </row>
    <row r="65" spans="1:8" x14ac:dyDescent="0.2">
      <c r="C65" s="241"/>
      <c r="D65" s="135"/>
      <c r="E65" s="241"/>
      <c r="F65" s="241"/>
      <c r="G65" s="241"/>
      <c r="H65" s="241"/>
    </row>
    <row r="66" spans="1:8" x14ac:dyDescent="0.2">
      <c r="C66" s="241"/>
      <c r="D66" s="135"/>
      <c r="E66" s="241"/>
      <c r="F66" s="241"/>
      <c r="G66" s="241"/>
      <c r="H66" s="241"/>
    </row>
    <row r="67" spans="1:8" x14ac:dyDescent="0.2">
      <c r="D67" s="135"/>
    </row>
    <row r="68" spans="1:8" x14ac:dyDescent="0.2">
      <c r="D68" s="135"/>
    </row>
    <row r="69" spans="1:8" x14ac:dyDescent="0.2">
      <c r="D69" s="135"/>
    </row>
    <row r="70" spans="1:8" x14ac:dyDescent="0.2">
      <c r="A70" s="647"/>
      <c r="B70" s="647"/>
      <c r="C70" s="647"/>
      <c r="D70" s="135"/>
    </row>
    <row r="71" spans="1:8" x14ac:dyDescent="0.2">
      <c r="A71" s="647"/>
      <c r="B71" s="647"/>
      <c r="C71" s="1819"/>
      <c r="D71" s="1819"/>
      <c r="E71" s="1819"/>
      <c r="F71" s="1819"/>
      <c r="G71" s="1819"/>
      <c r="H71" s="1819"/>
    </row>
    <row r="72" spans="1:8" x14ac:dyDescent="0.2">
      <c r="A72" s="647"/>
      <c r="B72" s="647"/>
      <c r="C72" s="1819"/>
      <c r="D72" s="1819"/>
      <c r="E72" s="1819"/>
      <c r="F72" s="1819"/>
      <c r="G72" s="1819"/>
      <c r="H72" s="1819"/>
    </row>
    <row r="73" spans="1:8" x14ac:dyDescent="0.2">
      <c r="C73" s="1819"/>
      <c r="D73" s="1819"/>
      <c r="E73" s="1819"/>
      <c r="F73" s="1819"/>
      <c r="G73" s="1819"/>
      <c r="H73" s="1819"/>
    </row>
    <row r="74" spans="1:8" x14ac:dyDescent="0.2">
      <c r="C74" s="1819"/>
      <c r="D74" s="1819"/>
      <c r="E74" s="1819"/>
      <c r="F74" s="1819"/>
      <c r="G74" s="1819"/>
      <c r="H74" s="1819"/>
    </row>
    <row r="75" spans="1:8" x14ac:dyDescent="0.2">
      <c r="C75" s="1819"/>
      <c r="D75" s="1819"/>
      <c r="E75" s="1819"/>
      <c r="F75" s="1819"/>
      <c r="G75" s="1819"/>
      <c r="H75" s="1819"/>
    </row>
    <row r="76" spans="1:8" x14ac:dyDescent="0.2">
      <c r="C76" s="1819"/>
      <c r="D76" s="1819"/>
      <c r="E76" s="1819"/>
      <c r="F76" s="1819"/>
      <c r="G76" s="1819"/>
      <c r="H76" s="1819"/>
    </row>
    <row r="77" spans="1:8" x14ac:dyDescent="0.2">
      <c r="C77" s="1315"/>
      <c r="D77" s="1315"/>
      <c r="E77" s="1315"/>
      <c r="F77" s="1315"/>
      <c r="G77" s="1315"/>
      <c r="H77" s="1315"/>
    </row>
    <row r="78" spans="1:8" x14ac:dyDescent="0.2">
      <c r="C78" s="1315"/>
      <c r="D78" s="1315"/>
      <c r="E78" s="1315"/>
      <c r="F78" s="1315"/>
      <c r="G78" s="1315"/>
      <c r="H78" s="1315"/>
    </row>
    <row r="79" spans="1:8" x14ac:dyDescent="0.2">
      <c r="C79" s="1315"/>
      <c r="D79" s="1315"/>
      <c r="E79" s="1315"/>
      <c r="F79" s="1315"/>
      <c r="G79" s="1315"/>
      <c r="H79" s="1315"/>
    </row>
    <row r="80" spans="1:8" x14ac:dyDescent="0.2">
      <c r="C80" s="1315"/>
      <c r="D80" s="1315"/>
      <c r="E80" s="1315"/>
      <c r="F80" s="1315"/>
      <c r="G80" s="1315"/>
      <c r="H80" s="1315"/>
    </row>
  </sheetData>
  <dataValidations disablePrompts="1" count="3">
    <dataValidation type="list" allowBlank="1" showInputMessage="1" showErrorMessage="1" sqref="C26" xr:uid="{00000000-0002-0000-1400-000000000000}">
      <formula1>Units</formula1>
    </dataValidation>
    <dataValidation type="list" allowBlank="1" showInputMessage="1" showErrorMessage="1" sqref="C25" xr:uid="{00000000-0002-0000-1400-000001000000}">
      <formula1>Combustible</formula1>
    </dataValidation>
    <dataValidation type="list" allowBlank="1" showInputMessage="1" showErrorMessage="1" sqref="B41 C27" xr:uid="{00000000-0002-0000-1400-000002000000}">
      <formula1>Currency</formula1>
    </dataValidation>
  </dataValidations>
  <pageMargins left="0.69" right="0" top="0.22" bottom="0" header="0.19684820647419074" footer="0.11810804899387577"/>
  <pageSetup scale="73" orientation="landscape" verticalDpi="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6">
    <tabColor rgb="FFFFC000"/>
    <pageSetUpPr fitToPage="1"/>
  </sheetPr>
  <dimension ref="A1:L82"/>
  <sheetViews>
    <sheetView showGridLines="0" view="pageBreakPreview" zoomScaleNormal="80" zoomScaleSheetLayoutView="100" workbookViewId="0">
      <pane xSplit="2" ySplit="5" topLeftCell="C38" activePane="bottomRight" state="frozen"/>
      <selection pane="topRight" activeCell="C1" sqref="C1"/>
      <selection pane="bottomLeft" activeCell="A6" sqref="A6"/>
      <selection pane="bottomRight" activeCell="I59" sqref="I59:I60"/>
    </sheetView>
  </sheetViews>
  <sheetFormatPr defaultColWidth="11" defaultRowHeight="12.6" x14ac:dyDescent="0.2"/>
  <cols>
    <col min="1" max="1" width="38.26953125" customWidth="1"/>
    <col min="2" max="2" width="10.08984375" style="2" customWidth="1"/>
    <col min="3" max="3" width="18" hidden="1" customWidth="1"/>
    <col min="4" max="5" width="16.26953125" hidden="1" customWidth="1"/>
    <col min="6" max="8" width="16.26953125" bestFit="1" customWidth="1"/>
    <col min="9" max="9" width="19.08984375" bestFit="1" customWidth="1"/>
    <col min="10" max="10" width="15.90625" customWidth="1"/>
    <col min="11" max="11" width="18" customWidth="1"/>
  </cols>
  <sheetData>
    <row r="1" spans="1:10" ht="24.6" x14ac:dyDescent="0.4">
      <c r="A1" s="53" t="s">
        <v>420</v>
      </c>
      <c r="B1" s="131" t="s">
        <v>421</v>
      </c>
      <c r="C1" s="131" t="s">
        <v>422</v>
      </c>
      <c r="E1" s="315" t="s">
        <v>598</v>
      </c>
      <c r="H1" s="462"/>
    </row>
    <row r="2" spans="1:10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10" x14ac:dyDescent="0.2">
      <c r="A3" s="46" t="s">
        <v>27</v>
      </c>
      <c r="B3" s="38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45">
        <f>DispatchSchedule!K3</f>
        <v>46174</v>
      </c>
    </row>
    <row r="4" spans="1:10" ht="13.2" x14ac:dyDescent="0.25">
      <c r="A4" s="147" t="s">
        <v>122</v>
      </c>
      <c r="B4" s="151"/>
      <c r="C4" s="473"/>
      <c r="D4" s="473"/>
      <c r="E4" s="473"/>
      <c r="F4" s="473"/>
      <c r="G4" s="467"/>
      <c r="H4" s="2006"/>
    </row>
    <row r="5" spans="1:10" ht="13.2" x14ac:dyDescent="0.25">
      <c r="A5" s="2046" t="s">
        <v>310</v>
      </c>
      <c r="B5" s="1133"/>
      <c r="C5" s="1183"/>
      <c r="D5" s="1183"/>
      <c r="E5" s="1183"/>
      <c r="F5" s="1183"/>
      <c r="G5" s="90"/>
      <c r="H5" s="48"/>
      <c r="J5" s="2"/>
    </row>
    <row r="6" spans="1:10" x14ac:dyDescent="0.2">
      <c r="A6" s="2037" t="s">
        <v>311</v>
      </c>
      <c r="B6" s="90" t="s">
        <v>312</v>
      </c>
      <c r="C6" s="1126">
        <f>SUM(C7:C15)</f>
        <v>10099715</v>
      </c>
      <c r="D6" s="1126">
        <f t="shared" ref="D6:H6" si="0">SUM(D7:D15)</f>
        <v>10298500.74</v>
      </c>
      <c r="E6" s="1126">
        <f t="shared" si="0"/>
        <v>10099715</v>
      </c>
      <c r="F6" s="1126">
        <f t="shared" si="0"/>
        <v>10099715</v>
      </c>
      <c r="G6" s="1126">
        <f t="shared" si="0"/>
        <v>10099715</v>
      </c>
      <c r="H6" s="1126">
        <f t="shared" si="0"/>
        <v>10099715</v>
      </c>
      <c r="I6" s="281">
        <f>SUM(C6:H6)</f>
        <v>60797075.740000002</v>
      </c>
      <c r="J6" s="2"/>
    </row>
    <row r="7" spans="1:10" x14ac:dyDescent="0.2">
      <c r="A7" s="2048" t="s">
        <v>753</v>
      </c>
      <c r="B7" s="90"/>
      <c r="C7" s="1169">
        <v>6560006</v>
      </c>
      <c r="D7" s="1169">
        <v>6560006</v>
      </c>
      <c r="E7" s="1169">
        <v>6560006</v>
      </c>
      <c r="F7" s="1169">
        <v>6560006</v>
      </c>
      <c r="G7" s="1169">
        <v>6560006</v>
      </c>
      <c r="H7" s="1169">
        <v>6560006</v>
      </c>
      <c r="I7" s="281">
        <f>SUM(C7:H7)</f>
        <v>39360036</v>
      </c>
      <c r="J7" s="1339"/>
    </row>
    <row r="8" spans="1:10" x14ac:dyDescent="0.2">
      <c r="A8" s="2048" t="s">
        <v>758</v>
      </c>
      <c r="B8" s="90"/>
      <c r="C8" s="1169">
        <v>0</v>
      </c>
      <c r="D8" s="1169">
        <v>0</v>
      </c>
      <c r="E8" s="1169">
        <v>0</v>
      </c>
      <c r="F8" s="1169">
        <v>0</v>
      </c>
      <c r="G8" s="1169">
        <v>0</v>
      </c>
      <c r="H8" s="1169">
        <v>0</v>
      </c>
      <c r="I8" s="281">
        <f t="shared" ref="I8:I58" si="1">SUM(C8:H8)</f>
        <v>0</v>
      </c>
      <c r="J8" s="1339"/>
    </row>
    <row r="9" spans="1:10" x14ac:dyDescent="0.2">
      <c r="A9" s="2048" t="s">
        <v>754</v>
      </c>
      <c r="B9" s="90"/>
      <c r="C9" s="1169">
        <v>170567</v>
      </c>
      <c r="D9" s="1169">
        <v>170567</v>
      </c>
      <c r="E9" s="1169">
        <v>170567</v>
      </c>
      <c r="F9" s="1169">
        <v>170567</v>
      </c>
      <c r="G9" s="1169">
        <v>170567</v>
      </c>
      <c r="H9" s="1169">
        <v>170567</v>
      </c>
      <c r="I9" s="281">
        <f t="shared" si="1"/>
        <v>1023402</v>
      </c>
      <c r="J9" s="1339"/>
    </row>
    <row r="10" spans="1:10" x14ac:dyDescent="0.2">
      <c r="A10" s="2048" t="s">
        <v>755</v>
      </c>
      <c r="B10" s="90"/>
      <c r="C10" s="1169">
        <v>768620</v>
      </c>
      <c r="D10" s="1169">
        <v>768620</v>
      </c>
      <c r="E10" s="1169">
        <v>768620</v>
      </c>
      <c r="F10" s="1169">
        <v>768620</v>
      </c>
      <c r="G10" s="1169">
        <v>768620</v>
      </c>
      <c r="H10" s="1169">
        <v>768620</v>
      </c>
      <c r="I10" s="281">
        <f t="shared" si="1"/>
        <v>4611720</v>
      </c>
      <c r="J10" s="1339"/>
    </row>
    <row r="11" spans="1:10" ht="13.5" customHeight="1" x14ac:dyDescent="0.2">
      <c r="A11" s="2048" t="s">
        <v>752</v>
      </c>
      <c r="B11" s="90"/>
      <c r="C11" s="1169">
        <v>0</v>
      </c>
      <c r="D11" s="1169">
        <v>0</v>
      </c>
      <c r="E11" s="1169">
        <v>0</v>
      </c>
      <c r="F11" s="1169">
        <v>0</v>
      </c>
      <c r="G11" s="1169">
        <v>0</v>
      </c>
      <c r="H11" s="1169">
        <v>0</v>
      </c>
      <c r="I11" s="281">
        <f t="shared" si="1"/>
        <v>0</v>
      </c>
      <c r="J11" s="1339"/>
    </row>
    <row r="12" spans="1:10" x14ac:dyDescent="0.2">
      <c r="A12" s="2048" t="s">
        <v>757</v>
      </c>
      <c r="B12" s="90"/>
      <c r="C12" s="1169">
        <v>2445131</v>
      </c>
      <c r="D12" s="1169">
        <f>2445131+198785.74</f>
        <v>2643916.7400000002</v>
      </c>
      <c r="E12" s="1169">
        <v>2445131</v>
      </c>
      <c r="F12" s="1169">
        <v>2445131</v>
      </c>
      <c r="G12" s="1169">
        <v>2445131</v>
      </c>
      <c r="H12" s="1169">
        <v>2445131</v>
      </c>
      <c r="I12" s="281">
        <f t="shared" si="1"/>
        <v>14869571.74</v>
      </c>
      <c r="J12" s="1339"/>
    </row>
    <row r="13" spans="1:10" x14ac:dyDescent="0.2">
      <c r="A13" s="2048" t="s">
        <v>756</v>
      </c>
      <c r="B13" s="90"/>
      <c r="C13" s="1169">
        <v>0</v>
      </c>
      <c r="D13" s="1169">
        <v>0</v>
      </c>
      <c r="E13" s="1169">
        <v>0</v>
      </c>
      <c r="F13" s="1169">
        <v>0</v>
      </c>
      <c r="G13" s="1169">
        <v>0</v>
      </c>
      <c r="H13" s="1169">
        <v>0</v>
      </c>
      <c r="I13" s="281">
        <f t="shared" si="1"/>
        <v>0</v>
      </c>
      <c r="J13" s="1339"/>
    </row>
    <row r="14" spans="1:10" x14ac:dyDescent="0.2">
      <c r="A14" s="2048" t="s">
        <v>814</v>
      </c>
      <c r="B14" s="90"/>
      <c r="C14" s="1169">
        <v>155391</v>
      </c>
      <c r="D14" s="1169">
        <v>155391</v>
      </c>
      <c r="E14" s="1169">
        <v>155391</v>
      </c>
      <c r="F14" s="1169">
        <v>155391</v>
      </c>
      <c r="G14" s="1169">
        <v>155391</v>
      </c>
      <c r="H14" s="1169">
        <v>155391</v>
      </c>
      <c r="I14" s="281">
        <f t="shared" si="1"/>
        <v>932346</v>
      </c>
      <c r="J14" s="1339"/>
    </row>
    <row r="15" spans="1:10" x14ac:dyDescent="0.2">
      <c r="A15" s="2048" t="s">
        <v>815</v>
      </c>
      <c r="B15" s="90"/>
      <c r="C15" s="1169">
        <v>0</v>
      </c>
      <c r="D15" s="1169">
        <v>0</v>
      </c>
      <c r="E15" s="1169">
        <v>0</v>
      </c>
      <c r="F15" s="1169">
        <v>0</v>
      </c>
      <c r="G15" s="1169">
        <v>0</v>
      </c>
      <c r="H15" s="1169">
        <v>0</v>
      </c>
      <c r="I15" s="281">
        <f t="shared" si="1"/>
        <v>0</v>
      </c>
      <c r="J15" s="1339"/>
    </row>
    <row r="16" spans="1:10" x14ac:dyDescent="0.2">
      <c r="A16" s="2037" t="s">
        <v>313</v>
      </c>
      <c r="B16" s="90" t="s">
        <v>312</v>
      </c>
      <c r="C16" s="1169">
        <v>34228</v>
      </c>
      <c r="D16" s="1169">
        <v>34228</v>
      </c>
      <c r="E16" s="1169">
        <v>34228</v>
      </c>
      <c r="F16" s="1169">
        <f>78998.47+9678.46651395503</f>
        <v>88676.936513955035</v>
      </c>
      <c r="G16" s="1169">
        <f t="shared" ref="G16:H16" si="2">78998.47+9678.46651395503</f>
        <v>88676.936513955035</v>
      </c>
      <c r="H16" s="1169">
        <f t="shared" si="2"/>
        <v>88676.936513955035</v>
      </c>
      <c r="I16" s="281">
        <f t="shared" si="1"/>
        <v>368714.80954186514</v>
      </c>
      <c r="J16" s="1339"/>
    </row>
    <row r="17" spans="1:12" x14ac:dyDescent="0.2">
      <c r="A17" s="2037" t="s">
        <v>314</v>
      </c>
      <c r="B17" s="90" t="s">
        <v>312</v>
      </c>
      <c r="C17" s="1127">
        <v>59032.68</v>
      </c>
      <c r="D17" s="1127">
        <v>59032.68</v>
      </c>
      <c r="E17" s="1127">
        <v>59032.68</v>
      </c>
      <c r="F17" s="1127">
        <f>59032.68+10472.4097914137</f>
        <v>69505.089791413702</v>
      </c>
      <c r="G17" s="1127">
        <f t="shared" ref="G17:H17" si="3">59032.68+10472.4097914137</f>
        <v>69505.089791413702</v>
      </c>
      <c r="H17" s="1127">
        <f t="shared" si="3"/>
        <v>69505.089791413702</v>
      </c>
      <c r="I17" s="281">
        <f t="shared" si="1"/>
        <v>385613.3093742411</v>
      </c>
      <c r="J17" s="1339"/>
    </row>
    <row r="18" spans="1:12" x14ac:dyDescent="0.2">
      <c r="A18" s="2037" t="s">
        <v>315</v>
      </c>
      <c r="B18" s="90"/>
      <c r="C18" s="1316"/>
      <c r="D18" s="1316"/>
      <c r="E18" s="1316"/>
      <c r="F18" s="1316"/>
      <c r="G18" s="1316"/>
      <c r="H18" s="2051"/>
      <c r="I18" s="281">
        <f t="shared" si="1"/>
        <v>0</v>
      </c>
    </row>
    <row r="19" spans="1:12" x14ac:dyDescent="0.2">
      <c r="A19" s="2037" t="s">
        <v>316</v>
      </c>
      <c r="B19" s="90"/>
      <c r="C19" s="1186"/>
      <c r="D19" s="1186"/>
      <c r="E19" s="1186"/>
      <c r="F19" s="1186"/>
      <c r="G19" s="1186"/>
      <c r="H19" s="2052"/>
      <c r="I19" s="281">
        <f t="shared" si="1"/>
        <v>0</v>
      </c>
    </row>
    <row r="20" spans="1:12" x14ac:dyDescent="0.2">
      <c r="A20" s="2037"/>
      <c r="B20" s="90"/>
      <c r="C20" s="1183"/>
      <c r="D20" s="1183"/>
      <c r="E20" s="1183"/>
      <c r="F20" s="1183"/>
      <c r="G20" s="90"/>
      <c r="H20" s="2053"/>
      <c r="I20" s="281">
        <f t="shared" si="1"/>
        <v>0</v>
      </c>
    </row>
    <row r="21" spans="1:12" ht="13.2" x14ac:dyDescent="0.25">
      <c r="A21" s="2046" t="s">
        <v>317</v>
      </c>
      <c r="B21" s="1133"/>
      <c r="C21" s="1183"/>
      <c r="D21" s="1183"/>
      <c r="E21" s="1183"/>
      <c r="F21" s="1183"/>
      <c r="G21" s="90"/>
      <c r="H21" s="48"/>
      <c r="I21" s="281">
        <f t="shared" si="1"/>
        <v>0</v>
      </c>
    </row>
    <row r="22" spans="1:12" x14ac:dyDescent="0.2">
      <c r="A22" s="2037" t="s">
        <v>318</v>
      </c>
      <c r="B22" s="90" t="s">
        <v>312</v>
      </c>
      <c r="C22" s="1184">
        <v>0</v>
      </c>
      <c r="D22" s="1184">
        <v>0</v>
      </c>
      <c r="E22" s="1184">
        <v>0</v>
      </c>
      <c r="F22" s="1184">
        <v>0</v>
      </c>
      <c r="G22" s="1184">
        <v>0</v>
      </c>
      <c r="H22" s="1184">
        <v>0</v>
      </c>
      <c r="I22" s="281">
        <f t="shared" si="1"/>
        <v>0</v>
      </c>
      <c r="J22" s="2"/>
    </row>
    <row r="23" spans="1:12" x14ac:dyDescent="0.2">
      <c r="A23" s="2037"/>
      <c r="B23" s="90"/>
      <c r="C23" s="47"/>
      <c r="D23" s="1183"/>
      <c r="E23" s="1183"/>
      <c r="F23" s="1183"/>
      <c r="G23" s="90"/>
      <c r="H23" s="48"/>
      <c r="I23" s="281">
        <f t="shared" si="1"/>
        <v>0</v>
      </c>
    </row>
    <row r="24" spans="1:12" ht="13.2" x14ac:dyDescent="0.25">
      <c r="A24" s="147" t="s">
        <v>24</v>
      </c>
      <c r="B24" s="151"/>
      <c r="C24" s="1183"/>
      <c r="D24" s="1183"/>
      <c r="E24" s="1183"/>
      <c r="F24" s="1183"/>
      <c r="G24" s="90"/>
      <c r="H24" s="48"/>
      <c r="I24" s="281">
        <f t="shared" si="1"/>
        <v>0</v>
      </c>
      <c r="L24" s="164"/>
    </row>
    <row r="25" spans="1:12" x14ac:dyDescent="0.2">
      <c r="A25" s="2055" t="s">
        <v>89</v>
      </c>
      <c r="B25" s="90" t="s">
        <v>393</v>
      </c>
      <c r="C25" s="1183"/>
      <c r="D25" s="1183"/>
      <c r="E25" s="1183"/>
      <c r="F25" s="1183"/>
      <c r="G25" s="90"/>
      <c r="H25" s="2053"/>
      <c r="I25" s="281">
        <f t="shared" si="1"/>
        <v>0</v>
      </c>
      <c r="L25" s="164"/>
    </row>
    <row r="26" spans="1:12" x14ac:dyDescent="0.2">
      <c r="A26" s="2055" t="s">
        <v>100</v>
      </c>
      <c r="B26" s="90" t="s">
        <v>371</v>
      </c>
      <c r="C26" s="1183"/>
      <c r="D26" s="1183"/>
      <c r="E26" s="1183"/>
      <c r="F26" s="1183"/>
      <c r="G26" s="90"/>
      <c r="H26" s="2053"/>
      <c r="I26" s="281">
        <f t="shared" si="1"/>
        <v>0</v>
      </c>
      <c r="L26" s="164"/>
    </row>
    <row r="27" spans="1:12" x14ac:dyDescent="0.2">
      <c r="A27" s="2055" t="s">
        <v>99</v>
      </c>
      <c r="B27" s="90" t="s">
        <v>372</v>
      </c>
      <c r="C27" s="1183"/>
      <c r="D27" s="1183"/>
      <c r="E27" s="1183"/>
      <c r="F27" s="1183"/>
      <c r="G27" s="90"/>
      <c r="H27" s="2053"/>
      <c r="I27" s="281">
        <f t="shared" si="1"/>
        <v>0</v>
      </c>
      <c r="L27" s="164"/>
    </row>
    <row r="28" spans="1:12" x14ac:dyDescent="0.2">
      <c r="A28" s="465" t="s">
        <v>816</v>
      </c>
      <c r="B28" s="90" t="s">
        <v>373</v>
      </c>
      <c r="C28" s="1876">
        <v>0.33090000000000003</v>
      </c>
      <c r="D28" s="1876">
        <v>0.33090000000000003</v>
      </c>
      <c r="E28" s="1876">
        <v>0.33090000000000003</v>
      </c>
      <c r="F28" s="1876">
        <v>0.33090000000000003</v>
      </c>
      <c r="G28" s="1876">
        <v>0.33090000000000003</v>
      </c>
      <c r="H28" s="1876">
        <v>0.33090000000000003</v>
      </c>
      <c r="I28" s="281">
        <f t="shared" si="1"/>
        <v>1.9854000000000001</v>
      </c>
      <c r="K28" s="165"/>
      <c r="L28" s="164"/>
    </row>
    <row r="29" spans="1:12" x14ac:dyDescent="0.2">
      <c r="A29" s="2037" t="s">
        <v>87</v>
      </c>
      <c r="B29" s="90" t="s">
        <v>374</v>
      </c>
      <c r="C29" s="1146">
        <f>+Inputs!C69</f>
        <v>279</v>
      </c>
      <c r="D29" s="1146">
        <f>+Inputs!D69</f>
        <v>277</v>
      </c>
      <c r="E29" s="1146">
        <f>+Inputs!E69</f>
        <v>277</v>
      </c>
      <c r="F29" s="1146">
        <f>+Inputs!F69</f>
        <v>382</v>
      </c>
      <c r="G29" s="1146">
        <f>+Inputs!G69</f>
        <v>382</v>
      </c>
      <c r="H29" s="2056">
        <f>+Inputs!H69</f>
        <v>382</v>
      </c>
      <c r="I29" s="281">
        <f t="shared" si="1"/>
        <v>1979</v>
      </c>
      <c r="L29" s="164"/>
    </row>
    <row r="30" spans="1:12" x14ac:dyDescent="0.2">
      <c r="A30" s="2037" t="s">
        <v>375</v>
      </c>
      <c r="B30" s="90" t="s">
        <v>214</v>
      </c>
      <c r="C30" s="1185">
        <f t="shared" ref="C30:H30" si="4">C28*C29</f>
        <v>92.321100000000001</v>
      </c>
      <c r="D30" s="1185">
        <f t="shared" si="4"/>
        <v>91.659300000000002</v>
      </c>
      <c r="E30" s="1185">
        <f t="shared" si="4"/>
        <v>91.659300000000002</v>
      </c>
      <c r="F30" s="1185">
        <f t="shared" si="4"/>
        <v>126.4038</v>
      </c>
      <c r="G30" s="1185">
        <f t="shared" si="4"/>
        <v>126.4038</v>
      </c>
      <c r="H30" s="2057">
        <f t="shared" si="4"/>
        <v>126.4038</v>
      </c>
      <c r="I30" s="281">
        <f t="shared" si="1"/>
        <v>654.85110000000009</v>
      </c>
      <c r="K30" s="165"/>
    </row>
    <row r="31" spans="1:12" ht="13.2" x14ac:dyDescent="0.25">
      <c r="A31" s="147" t="s">
        <v>132</v>
      </c>
      <c r="B31" s="151"/>
      <c r="C31" s="1183"/>
      <c r="D31" s="1183"/>
      <c r="E31" s="1183"/>
      <c r="F31" s="1183"/>
      <c r="G31" s="90"/>
      <c r="H31" s="48"/>
      <c r="I31" s="281">
        <f t="shared" si="1"/>
        <v>0</v>
      </c>
    </row>
    <row r="32" spans="1:12" x14ac:dyDescent="0.2">
      <c r="A32" s="2037" t="s">
        <v>376</v>
      </c>
      <c r="B32" s="90" t="s">
        <v>312</v>
      </c>
      <c r="C32" s="1169">
        <v>209333</v>
      </c>
      <c r="D32" s="1169">
        <v>209333</v>
      </c>
      <c r="E32" s="1169">
        <v>209333</v>
      </c>
      <c r="F32" s="1169">
        <v>209333</v>
      </c>
      <c r="G32" s="1169">
        <v>209333</v>
      </c>
      <c r="H32" s="1169">
        <v>209333</v>
      </c>
      <c r="I32" s="281">
        <f t="shared" si="1"/>
        <v>1255998</v>
      </c>
      <c r="K32" s="165"/>
    </row>
    <row r="33" spans="1:10" x14ac:dyDescent="0.2">
      <c r="A33" s="2037" t="s">
        <v>376</v>
      </c>
      <c r="B33" s="90" t="s">
        <v>377</v>
      </c>
      <c r="C33" s="1183"/>
      <c r="D33" s="1183"/>
      <c r="E33" s="1183"/>
      <c r="F33" s="1183"/>
      <c r="G33" s="90"/>
      <c r="H33" s="48"/>
      <c r="I33" s="281">
        <f t="shared" si="1"/>
        <v>0</v>
      </c>
    </row>
    <row r="34" spans="1:10" x14ac:dyDescent="0.2">
      <c r="A34" s="2037" t="s">
        <v>315</v>
      </c>
      <c r="B34" s="90"/>
      <c r="C34" s="1186">
        <f t="shared" ref="C34:H34" si="5">C18</f>
        <v>0</v>
      </c>
      <c r="D34" s="1186">
        <f t="shared" si="5"/>
        <v>0</v>
      </c>
      <c r="E34" s="1186">
        <f t="shared" si="5"/>
        <v>0</v>
      </c>
      <c r="F34" s="1186">
        <f t="shared" si="5"/>
        <v>0</v>
      </c>
      <c r="G34" s="1186">
        <f t="shared" si="5"/>
        <v>0</v>
      </c>
      <c r="H34" s="2052">
        <f t="shared" si="5"/>
        <v>0</v>
      </c>
      <c r="I34" s="281">
        <f t="shared" si="1"/>
        <v>0</v>
      </c>
    </row>
    <row r="35" spans="1:10" x14ac:dyDescent="0.2">
      <c r="A35" s="2037" t="s">
        <v>316</v>
      </c>
      <c r="B35" s="90"/>
      <c r="C35" s="1186"/>
      <c r="D35" s="1183"/>
      <c r="E35" s="1183"/>
      <c r="F35" s="1183"/>
      <c r="G35" s="90"/>
      <c r="H35" s="2058"/>
      <c r="I35" s="281">
        <f t="shared" si="1"/>
        <v>0</v>
      </c>
    </row>
    <row r="36" spans="1:10" x14ac:dyDescent="0.2">
      <c r="A36" s="2037" t="s">
        <v>378</v>
      </c>
      <c r="B36" s="90"/>
      <c r="C36" s="1186"/>
      <c r="D36" s="1183"/>
      <c r="E36" s="1183"/>
      <c r="F36" s="1183"/>
      <c r="G36" s="90"/>
      <c r="H36" s="2058"/>
      <c r="I36" s="281">
        <f t="shared" si="1"/>
        <v>0</v>
      </c>
    </row>
    <row r="37" spans="1:10" x14ac:dyDescent="0.2">
      <c r="A37" s="2037" t="s">
        <v>379</v>
      </c>
      <c r="B37" s="90"/>
      <c r="C37" s="1186"/>
      <c r="D37" s="1183"/>
      <c r="E37" s="1183"/>
      <c r="F37" s="1183"/>
      <c r="G37" s="90"/>
      <c r="H37" s="2058"/>
      <c r="I37" s="281">
        <f t="shared" si="1"/>
        <v>0</v>
      </c>
    </row>
    <row r="38" spans="1:10" ht="13.2" x14ac:dyDescent="0.25">
      <c r="A38" s="147" t="s">
        <v>380</v>
      </c>
      <c r="B38" s="90"/>
      <c r="C38" s="1183"/>
      <c r="D38" s="1183"/>
      <c r="E38" s="1183"/>
      <c r="F38" s="1183"/>
      <c r="G38" s="90"/>
      <c r="H38" s="2059"/>
      <c r="I38" s="281">
        <f t="shared" si="1"/>
        <v>0</v>
      </c>
    </row>
    <row r="39" spans="1:10" x14ac:dyDescent="0.2">
      <c r="A39" s="2037" t="s">
        <v>381</v>
      </c>
      <c r="B39" s="318" t="s">
        <v>411</v>
      </c>
      <c r="C39" s="1184"/>
      <c r="D39" s="1184"/>
      <c r="E39" s="1184"/>
      <c r="F39" s="1184"/>
      <c r="G39" s="1184"/>
      <c r="H39" s="2054"/>
      <c r="I39" s="281">
        <f t="shared" si="1"/>
        <v>0</v>
      </c>
    </row>
    <row r="40" spans="1:10" x14ac:dyDescent="0.2">
      <c r="A40" s="2037" t="s">
        <v>383</v>
      </c>
      <c r="B40" s="318" t="s">
        <v>411</v>
      </c>
      <c r="C40" s="1184"/>
      <c r="D40" s="1184"/>
      <c r="E40" s="1184"/>
      <c r="F40" s="1184"/>
      <c r="G40" s="1184"/>
      <c r="H40" s="2054"/>
      <c r="I40" s="281">
        <f t="shared" si="1"/>
        <v>0</v>
      </c>
    </row>
    <row r="41" spans="1:10" ht="12.75" customHeight="1" x14ac:dyDescent="0.2">
      <c r="A41" s="2037"/>
      <c r="B41" s="90"/>
      <c r="C41" s="1183"/>
      <c r="D41" s="1183"/>
      <c r="E41" s="1183"/>
      <c r="F41" s="1183"/>
      <c r="G41" s="90"/>
      <c r="H41" s="2053"/>
      <c r="I41" s="281">
        <f t="shared" si="1"/>
        <v>0</v>
      </c>
    </row>
    <row r="42" spans="1:10" x14ac:dyDescent="0.2">
      <c r="A42" s="2037" t="s">
        <v>384</v>
      </c>
      <c r="B42" s="90" t="s">
        <v>385</v>
      </c>
      <c r="C42" s="1184">
        <v>0</v>
      </c>
      <c r="D42" s="1184">
        <v>0</v>
      </c>
      <c r="E42" s="1184">
        <v>0</v>
      </c>
      <c r="F42" s="1184">
        <v>0</v>
      </c>
      <c r="G42" s="1184">
        <v>0</v>
      </c>
      <c r="H42" s="2054">
        <v>0</v>
      </c>
      <c r="I42" s="281">
        <f t="shared" si="1"/>
        <v>0</v>
      </c>
    </row>
    <row r="43" spans="1:10" x14ac:dyDescent="0.2">
      <c r="A43" s="2037" t="s">
        <v>386</v>
      </c>
      <c r="B43" s="90" t="s">
        <v>385</v>
      </c>
      <c r="C43" s="1184">
        <v>0</v>
      </c>
      <c r="D43" s="1184">
        <v>0</v>
      </c>
      <c r="E43" s="1184">
        <v>0</v>
      </c>
      <c r="F43" s="1184">
        <v>0</v>
      </c>
      <c r="G43" s="1184">
        <v>0</v>
      </c>
      <c r="H43" s="2054">
        <v>0</v>
      </c>
      <c r="I43" s="281">
        <f t="shared" si="1"/>
        <v>0</v>
      </c>
    </row>
    <row r="44" spans="1:10" x14ac:dyDescent="0.2">
      <c r="A44" s="2037"/>
      <c r="B44" s="90"/>
      <c r="C44" s="1183"/>
      <c r="D44" s="1183"/>
      <c r="E44" s="1183"/>
      <c r="F44" s="1183"/>
      <c r="G44" s="90"/>
      <c r="H44" s="2060"/>
      <c r="I44" s="281">
        <f t="shared" si="1"/>
        <v>0</v>
      </c>
    </row>
    <row r="45" spans="1:10" ht="13.2" x14ac:dyDescent="0.25">
      <c r="A45" s="2037" t="s">
        <v>148</v>
      </c>
      <c r="B45" s="151" t="s">
        <v>320</v>
      </c>
      <c r="C45" s="2831">
        <f>C6+C16+C17+C22</f>
        <v>10192975.68</v>
      </c>
      <c r="D45" s="2831">
        <f t="shared" ref="D45:G45" si="6">D6+D16+D17+D22</f>
        <v>10391761.42</v>
      </c>
      <c r="E45" s="2831">
        <f t="shared" si="6"/>
        <v>10192975.68</v>
      </c>
      <c r="F45" s="2831">
        <f t="shared" si="6"/>
        <v>10257897.026305368</v>
      </c>
      <c r="G45" s="2831">
        <f t="shared" si="6"/>
        <v>10257897.026305368</v>
      </c>
      <c r="H45" s="2829">
        <f>H6+H16+H17+H22</f>
        <v>10257897.026305368</v>
      </c>
      <c r="I45" s="281">
        <f t="shared" si="1"/>
        <v>61551403.858916111</v>
      </c>
      <c r="J45" s="150"/>
    </row>
    <row r="46" spans="1:10" ht="13.2" x14ac:dyDescent="0.25">
      <c r="A46" s="2037" t="s">
        <v>149</v>
      </c>
      <c r="B46" s="151" t="s">
        <v>320</v>
      </c>
      <c r="C46" s="1183">
        <f>C32+C30*C49</f>
        <v>209333</v>
      </c>
      <c r="D46" s="1183">
        <f t="shared" ref="D46:H46" si="7">D32+D30*D49</f>
        <v>209333</v>
      </c>
      <c r="E46" s="1183">
        <f t="shared" si="7"/>
        <v>209333</v>
      </c>
      <c r="F46" s="1183">
        <f t="shared" si="7"/>
        <v>25490093</v>
      </c>
      <c r="G46" s="1183">
        <f t="shared" si="7"/>
        <v>25490093</v>
      </c>
      <c r="H46" s="2061">
        <f t="shared" si="7"/>
        <v>25490093</v>
      </c>
      <c r="I46" s="281">
        <f t="shared" si="1"/>
        <v>77098278</v>
      </c>
      <c r="J46" s="150"/>
    </row>
    <row r="47" spans="1:10" ht="13.2" x14ac:dyDescent="0.25">
      <c r="A47" s="2037" t="s">
        <v>387</v>
      </c>
      <c r="B47" s="151" t="s">
        <v>320</v>
      </c>
      <c r="C47" s="1183">
        <f t="shared" ref="C47:H47" si="8">C39*C42+C40*C43</f>
        <v>0</v>
      </c>
      <c r="D47" s="1183">
        <f t="shared" si="8"/>
        <v>0</v>
      </c>
      <c r="E47" s="1183">
        <f t="shared" si="8"/>
        <v>0</v>
      </c>
      <c r="F47" s="1183">
        <f t="shared" si="8"/>
        <v>0</v>
      </c>
      <c r="G47" s="1183">
        <f t="shared" si="8"/>
        <v>0</v>
      </c>
      <c r="H47" s="2061">
        <f t="shared" si="8"/>
        <v>0</v>
      </c>
      <c r="I47" s="281">
        <f t="shared" si="1"/>
        <v>0</v>
      </c>
    </row>
    <row r="48" spans="1:10" ht="13.2" x14ac:dyDescent="0.25">
      <c r="A48" s="2037" t="s">
        <v>150</v>
      </c>
      <c r="B48" s="151" t="s">
        <v>39</v>
      </c>
      <c r="C48" s="2539">
        <v>2.1</v>
      </c>
      <c r="D48" s="2539">
        <v>2.1</v>
      </c>
      <c r="E48" s="2539">
        <v>2.1</v>
      </c>
      <c r="F48" s="2539">
        <v>2.1</v>
      </c>
      <c r="G48" s="2539">
        <v>2.1</v>
      </c>
      <c r="H48" s="2539">
        <v>2.1</v>
      </c>
      <c r="I48" s="281">
        <f t="shared" si="1"/>
        <v>12.6</v>
      </c>
    </row>
    <row r="49" spans="1:12" ht="13.2" x14ac:dyDescent="0.25">
      <c r="A49" s="2037" t="s">
        <v>134</v>
      </c>
      <c r="B49" s="151" t="s">
        <v>388</v>
      </c>
      <c r="C49" s="1126">
        <f>+DispatchSchedule!F89*1000000</f>
        <v>0</v>
      </c>
      <c r="D49" s="1126">
        <f>+DispatchSchedule!G89*1000000</f>
        <v>0</v>
      </c>
      <c r="E49" s="1126">
        <f>+DispatchSchedule!H89*1000000</f>
        <v>0</v>
      </c>
      <c r="F49" s="1126">
        <f>+DispatchSchedule!I89*1000000</f>
        <v>200000</v>
      </c>
      <c r="G49" s="1126">
        <f>+DispatchSchedule!J89*1000000</f>
        <v>200000</v>
      </c>
      <c r="H49" s="2047">
        <f>+DispatchSchedule!K89*1000000</f>
        <v>200000</v>
      </c>
      <c r="I49" s="281">
        <f t="shared" si="1"/>
        <v>600000</v>
      </c>
      <c r="J49" s="167"/>
      <c r="K49" s="167"/>
      <c r="L49" s="167"/>
    </row>
    <row r="50" spans="1:12" ht="13.2" x14ac:dyDescent="0.25">
      <c r="A50" s="465" t="s">
        <v>805</v>
      </c>
      <c r="B50" s="151" t="s">
        <v>214</v>
      </c>
      <c r="C50" s="143">
        <f>IF(C49=0,0,(C46/C49))</f>
        <v>0</v>
      </c>
      <c r="D50" s="143">
        <f t="shared" ref="D50:H50" si="9">IF(D49=0,0,(D46/D49))</f>
        <v>0</v>
      </c>
      <c r="E50" s="143">
        <f t="shared" si="9"/>
        <v>0</v>
      </c>
      <c r="F50" s="143">
        <f t="shared" si="9"/>
        <v>127.45046499999999</v>
      </c>
      <c r="G50" s="143">
        <f t="shared" si="9"/>
        <v>127.45046499999999</v>
      </c>
      <c r="H50" s="2062">
        <f t="shared" si="9"/>
        <v>127.45046499999999</v>
      </c>
      <c r="I50" s="281">
        <f t="shared" si="1"/>
        <v>382.35139499999997</v>
      </c>
      <c r="J50" s="167"/>
      <c r="K50" s="167"/>
      <c r="L50" s="167"/>
    </row>
    <row r="51" spans="1:12" ht="13.2" x14ac:dyDescent="0.25">
      <c r="A51" s="2032" t="s">
        <v>804</v>
      </c>
      <c r="B51" s="508" t="s">
        <v>214</v>
      </c>
      <c r="C51" s="570">
        <f>IF(C49=0,0,(C46+C47)/C49)</f>
        <v>0</v>
      </c>
      <c r="D51" s="570">
        <f t="shared" ref="D51:H51" si="10">IF(D49=0,0,(D46+D47)/D49)</f>
        <v>0</v>
      </c>
      <c r="E51" s="570">
        <f t="shared" si="10"/>
        <v>0</v>
      </c>
      <c r="F51" s="570">
        <f t="shared" si="10"/>
        <v>127.45046499999999</v>
      </c>
      <c r="G51" s="570">
        <f t="shared" si="10"/>
        <v>127.45046499999999</v>
      </c>
      <c r="H51" s="2063">
        <f t="shared" si="10"/>
        <v>127.45046499999999</v>
      </c>
      <c r="I51" s="281">
        <f t="shared" si="1"/>
        <v>382.35139499999997</v>
      </c>
    </row>
    <row r="52" spans="1:12" s="167" customFormat="1" ht="13.2" x14ac:dyDescent="0.25">
      <c r="A52" s="55" t="s">
        <v>390</v>
      </c>
      <c r="B52" s="151" t="s">
        <v>214</v>
      </c>
      <c r="C52" s="166">
        <f>IF(C49=0,0,C45/C49)</f>
        <v>0</v>
      </c>
      <c r="D52" s="166">
        <f t="shared" ref="D52:H52" si="11">IF(D49=0,0,D45/D49)</f>
        <v>0</v>
      </c>
      <c r="E52" s="166">
        <f t="shared" si="11"/>
        <v>0</v>
      </c>
      <c r="F52" s="166">
        <f t="shared" si="11"/>
        <v>51.289485131526838</v>
      </c>
      <c r="G52" s="166">
        <f t="shared" si="11"/>
        <v>51.289485131526838</v>
      </c>
      <c r="H52" s="2064">
        <f t="shared" si="11"/>
        <v>51.289485131526838</v>
      </c>
      <c r="I52" s="281">
        <f t="shared" si="1"/>
        <v>153.86845539458051</v>
      </c>
      <c r="J52" s="162"/>
      <c r="K52" s="162"/>
      <c r="L52" s="162"/>
    </row>
    <row r="53" spans="1:12" ht="13.2" x14ac:dyDescent="0.25">
      <c r="A53" s="55" t="s">
        <v>390</v>
      </c>
      <c r="B53" s="151" t="s">
        <v>322</v>
      </c>
      <c r="C53" s="168">
        <f t="shared" ref="C53:H53" si="12">C45/C48/1000</f>
        <v>4853.7979428571425</v>
      </c>
      <c r="D53" s="168">
        <f t="shared" si="12"/>
        <v>4948.4578190476186</v>
      </c>
      <c r="E53" s="168">
        <f t="shared" si="12"/>
        <v>4853.7979428571425</v>
      </c>
      <c r="F53" s="168">
        <f t="shared" si="12"/>
        <v>4884.7128696692225</v>
      </c>
      <c r="G53" s="168">
        <f t="shared" si="12"/>
        <v>4884.7128696692225</v>
      </c>
      <c r="H53" s="2065">
        <f t="shared" si="12"/>
        <v>4884.7128696692225</v>
      </c>
      <c r="I53" s="281">
        <f t="shared" si="1"/>
        <v>29310.192313769574</v>
      </c>
    </row>
    <row r="54" spans="1:12" ht="13.2" x14ac:dyDescent="0.25">
      <c r="A54" s="75"/>
      <c r="B54" s="82"/>
      <c r="H54" s="171"/>
      <c r="I54" s="281">
        <f t="shared" si="1"/>
        <v>0</v>
      </c>
    </row>
    <row r="55" spans="1:12" x14ac:dyDescent="0.2">
      <c r="A55" s="75"/>
      <c r="H55" s="171"/>
      <c r="I55" s="281">
        <f t="shared" si="1"/>
        <v>0</v>
      </c>
    </row>
    <row r="56" spans="1:12" ht="13.2" x14ac:dyDescent="0.25">
      <c r="A56" s="2035" t="s">
        <v>148</v>
      </c>
      <c r="B56" s="508" t="s">
        <v>460</v>
      </c>
      <c r="C56" s="1231">
        <f>IF(C49=0,(C45+C46)/1000000,C45/1000000)</f>
        <v>10.402308679999999</v>
      </c>
      <c r="D56" s="1231">
        <f t="shared" ref="D56:G56" si="13">IF(D49=0,(D45+D46)/1000000,D45/1000000)</f>
        <v>10.601094420000001</v>
      </c>
      <c r="E56" s="1231">
        <f t="shared" si="13"/>
        <v>10.402308679999999</v>
      </c>
      <c r="F56" s="1231">
        <f t="shared" si="13"/>
        <v>10.257897026305368</v>
      </c>
      <c r="G56" s="1231">
        <f t="shared" si="13"/>
        <v>10.257897026305368</v>
      </c>
      <c r="H56" s="2066">
        <f>IF(H49=0,(H45+H46)/1000000,H45/1000000)</f>
        <v>10.257897026305368</v>
      </c>
      <c r="I56" s="281">
        <f t="shared" si="1"/>
        <v>62.179402858916106</v>
      </c>
      <c r="J56" s="150">
        <f>+C56*1000000</f>
        <v>10402308.68</v>
      </c>
      <c r="K56" s="2685">
        <f>+D56*1000000</f>
        <v>10601094.42</v>
      </c>
    </row>
    <row r="57" spans="1:12" ht="13.2" x14ac:dyDescent="0.25">
      <c r="A57" s="2037" t="s">
        <v>149</v>
      </c>
      <c r="B57" s="151" t="s">
        <v>460</v>
      </c>
      <c r="C57" s="1232">
        <f>IF(C49=0,0,(C46+C47)/1000000)</f>
        <v>0</v>
      </c>
      <c r="D57" s="1232">
        <f t="shared" ref="D57:H57" si="14">IF(D49=0,0,(D46+D47)/1000000)</f>
        <v>0</v>
      </c>
      <c r="E57" s="1232">
        <f t="shared" si="14"/>
        <v>0</v>
      </c>
      <c r="F57" s="1232">
        <f t="shared" si="14"/>
        <v>25.490093000000002</v>
      </c>
      <c r="G57" s="1232">
        <f t="shared" si="14"/>
        <v>25.490093000000002</v>
      </c>
      <c r="H57" s="2067">
        <f t="shared" si="14"/>
        <v>25.490093000000002</v>
      </c>
      <c r="I57" s="281">
        <f t="shared" si="1"/>
        <v>76.470279000000005</v>
      </c>
      <c r="J57" s="150">
        <f>+J56+C16</f>
        <v>10436536.68</v>
      </c>
    </row>
    <row r="58" spans="1:12" ht="13.8" thickBot="1" x14ac:dyDescent="0.3">
      <c r="A58" s="2039" t="s">
        <v>134</v>
      </c>
      <c r="B58" s="2040" t="s">
        <v>56</v>
      </c>
      <c r="C58" s="2068">
        <f t="shared" ref="C58:H58" si="15">+C49/1000000</f>
        <v>0</v>
      </c>
      <c r="D58" s="2068">
        <f t="shared" si="15"/>
        <v>0</v>
      </c>
      <c r="E58" s="2068">
        <f t="shared" si="15"/>
        <v>0</v>
      </c>
      <c r="F58" s="2068">
        <f t="shared" si="15"/>
        <v>0.2</v>
      </c>
      <c r="G58" s="2068">
        <f t="shared" si="15"/>
        <v>0.2</v>
      </c>
      <c r="H58" s="2069">
        <f t="shared" si="15"/>
        <v>0.2</v>
      </c>
      <c r="I58" s="281">
        <f t="shared" si="1"/>
        <v>0.60000000000000009</v>
      </c>
    </row>
    <row r="60" spans="1:12" x14ac:dyDescent="0.2">
      <c r="C60" s="403"/>
      <c r="D60" s="403"/>
      <c r="E60" s="403"/>
      <c r="F60" s="403"/>
      <c r="G60" s="403"/>
      <c r="H60" s="403"/>
    </row>
    <row r="61" spans="1:12" ht="13.8" x14ac:dyDescent="0.25">
      <c r="A61" s="1083"/>
      <c r="B61" s="456"/>
      <c r="C61" s="587"/>
      <c r="D61" s="587"/>
      <c r="E61" s="587"/>
      <c r="F61" s="587"/>
      <c r="G61" s="587"/>
      <c r="H61" s="587"/>
    </row>
    <row r="62" spans="1:12" ht="31.5" customHeight="1" x14ac:dyDescent="0.2">
      <c r="A62" s="2968"/>
      <c r="B62" s="2968"/>
      <c r="C62" s="2968"/>
      <c r="D62" s="2968"/>
      <c r="E62" s="2968"/>
      <c r="F62" s="2968"/>
      <c r="G62" s="2968"/>
      <c r="H62" s="2968"/>
    </row>
    <row r="63" spans="1:12" x14ac:dyDescent="0.2">
      <c r="A63" s="647"/>
      <c r="B63" s="647"/>
      <c r="C63" s="647"/>
      <c r="D63" s="150"/>
    </row>
    <row r="64" spans="1:12" x14ac:dyDescent="0.2">
      <c r="A64" s="647"/>
      <c r="B64" s="647"/>
      <c r="C64" s="647"/>
      <c r="D64" s="150"/>
    </row>
    <row r="65" spans="1:8" x14ac:dyDescent="0.2">
      <c r="A65" s="647"/>
      <c r="B65" s="647"/>
      <c r="C65" s="647"/>
      <c r="D65" s="150"/>
    </row>
    <row r="66" spans="1:8" x14ac:dyDescent="0.2">
      <c r="D66" s="150"/>
    </row>
    <row r="67" spans="1:8" x14ac:dyDescent="0.2">
      <c r="D67" s="150"/>
    </row>
    <row r="68" spans="1:8" x14ac:dyDescent="0.2">
      <c r="D68" s="150"/>
    </row>
    <row r="69" spans="1:8" x14ac:dyDescent="0.2">
      <c r="D69" s="150"/>
    </row>
    <row r="70" spans="1:8" x14ac:dyDescent="0.2">
      <c r="D70" s="150"/>
    </row>
    <row r="71" spans="1:8" x14ac:dyDescent="0.2">
      <c r="C71" s="414"/>
      <c r="D71" s="414"/>
      <c r="E71" s="414"/>
      <c r="F71" s="414"/>
      <c r="G71" s="414"/>
      <c r="H71" s="414"/>
    </row>
    <row r="72" spans="1:8" x14ac:dyDescent="0.2">
      <c r="C72" s="414"/>
      <c r="D72" s="414"/>
      <c r="E72" s="414"/>
      <c r="F72" s="414"/>
      <c r="G72" s="414"/>
      <c r="H72" s="414"/>
    </row>
    <row r="73" spans="1:8" x14ac:dyDescent="0.2">
      <c r="C73" s="414"/>
      <c r="D73" s="414"/>
      <c r="E73" s="414"/>
      <c r="F73" s="414"/>
      <c r="G73" s="414"/>
      <c r="H73" s="414"/>
    </row>
    <row r="74" spans="1:8" x14ac:dyDescent="0.2">
      <c r="C74" s="414"/>
      <c r="D74" s="414"/>
      <c r="E74" s="414"/>
      <c r="F74" s="414"/>
      <c r="G74" s="414"/>
      <c r="H74" s="414"/>
    </row>
    <row r="75" spans="1:8" x14ac:dyDescent="0.2">
      <c r="C75" s="414"/>
      <c r="D75" s="414"/>
      <c r="E75" s="414"/>
      <c r="F75" s="414"/>
      <c r="G75" s="414"/>
      <c r="H75" s="414"/>
    </row>
    <row r="76" spans="1:8" x14ac:dyDescent="0.2">
      <c r="C76" s="414"/>
      <c r="D76" s="414"/>
      <c r="E76" s="414"/>
      <c r="F76" s="414"/>
      <c r="G76" s="414"/>
      <c r="H76" s="414"/>
    </row>
    <row r="77" spans="1:8" x14ac:dyDescent="0.2">
      <c r="C77" s="414"/>
      <c r="D77" s="414"/>
      <c r="E77" s="414"/>
      <c r="F77" s="414"/>
      <c r="G77" s="414"/>
      <c r="H77" s="414"/>
    </row>
    <row r="78" spans="1:8" x14ac:dyDescent="0.2">
      <c r="C78" s="414"/>
      <c r="D78" s="414"/>
      <c r="E78" s="414"/>
      <c r="F78" s="414"/>
      <c r="G78" s="414"/>
      <c r="H78" s="414"/>
    </row>
    <row r="79" spans="1:8" x14ac:dyDescent="0.2">
      <c r="C79" s="414"/>
      <c r="D79" s="414"/>
      <c r="E79" s="414"/>
      <c r="F79" s="414"/>
      <c r="G79" s="414"/>
      <c r="H79" s="414"/>
    </row>
    <row r="80" spans="1:8" x14ac:dyDescent="0.2">
      <c r="C80" s="414"/>
      <c r="D80" s="414"/>
      <c r="E80" s="414"/>
      <c r="F80" s="414"/>
      <c r="G80" s="414"/>
      <c r="H80" s="414"/>
    </row>
    <row r="81" spans="3:8" x14ac:dyDescent="0.2">
      <c r="C81" s="414"/>
      <c r="D81" s="414"/>
      <c r="E81" s="414"/>
      <c r="F81" s="414"/>
      <c r="G81" s="414"/>
      <c r="H81" s="414"/>
    </row>
    <row r="82" spans="3:8" x14ac:dyDescent="0.2">
      <c r="C82" s="414"/>
      <c r="D82" s="414"/>
      <c r="E82" s="414"/>
      <c r="F82" s="414"/>
      <c r="G82" s="414"/>
      <c r="H82" s="414"/>
    </row>
  </sheetData>
  <mergeCells count="1">
    <mergeCell ref="A62:H62"/>
  </mergeCells>
  <phoneticPr fontId="54" type="noConversion"/>
  <dataValidations count="3">
    <dataValidation type="list" allowBlank="1" showInputMessage="1" showErrorMessage="1" sqref="B41 C27" xr:uid="{00000000-0002-0000-1500-000000000000}">
      <formula1>Currency</formula1>
    </dataValidation>
    <dataValidation type="list" allowBlank="1" showInputMessage="1" showErrorMessage="1" sqref="C25" xr:uid="{00000000-0002-0000-1500-000001000000}">
      <formula1>Combustible</formula1>
    </dataValidation>
    <dataValidation type="list" allowBlank="1" showInputMessage="1" showErrorMessage="1" sqref="C26" xr:uid="{00000000-0002-0000-1500-000002000000}">
      <formula1>Units</formula1>
    </dataValidation>
  </dataValidations>
  <pageMargins left="0.69" right="0" top="0.22" bottom="0" header="0.19684820647419074" footer="0.11810804899387577"/>
  <pageSetup paperSize="9" scale="7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FFC000"/>
    <pageSetUpPr fitToPage="1"/>
  </sheetPr>
  <dimension ref="A1:N79"/>
  <sheetViews>
    <sheetView view="pageBreakPreview" zoomScale="80" zoomScaleNormal="80" zoomScaleSheetLayoutView="80" workbookViewId="0">
      <pane xSplit="2" ySplit="5" topLeftCell="C41" activePane="bottomRight" state="frozen"/>
      <selection pane="topRight" activeCell="C1" sqref="C1"/>
      <selection pane="bottomLeft" activeCell="A6" sqref="A6"/>
      <selection pane="bottomRight" activeCell="I66" sqref="I66"/>
    </sheetView>
  </sheetViews>
  <sheetFormatPr defaultRowHeight="12.6" x14ac:dyDescent="0.2"/>
  <cols>
    <col min="1" max="1" width="43.26953125" bestFit="1" customWidth="1"/>
    <col min="2" max="2" width="10.08984375" customWidth="1"/>
    <col min="3" max="5" width="17.36328125" hidden="1" customWidth="1"/>
    <col min="6" max="6" width="17.36328125" bestFit="1" customWidth="1"/>
    <col min="7" max="7" width="17.26953125" customWidth="1"/>
    <col min="8" max="8" width="16.08984375" customWidth="1"/>
    <col min="9" max="9" width="20.7265625" customWidth="1"/>
    <col min="10" max="10" width="19.36328125" customWidth="1"/>
    <col min="11" max="11" width="11.453125" bestFit="1" customWidth="1"/>
    <col min="13" max="13" width="16.7265625" bestFit="1" customWidth="1"/>
  </cols>
  <sheetData>
    <row r="1" spans="1:10" ht="17.399999999999999" x14ac:dyDescent="0.3">
      <c r="A1" s="53" t="s">
        <v>641</v>
      </c>
      <c r="B1" s="424"/>
      <c r="C1" s="154"/>
      <c r="G1" s="183"/>
      <c r="I1" s="867"/>
    </row>
    <row r="2" spans="1:10" ht="18" thickBot="1" x14ac:dyDescent="0.35">
      <c r="A2" s="53"/>
      <c r="B2" s="131"/>
      <c r="C2" s="448"/>
      <c r="D2" s="448"/>
      <c r="E2" s="448"/>
      <c r="F2" s="448"/>
      <c r="G2" s="448"/>
      <c r="H2" s="448"/>
    </row>
    <row r="3" spans="1:10" ht="28.8" thickBot="1" x14ac:dyDescent="0.5">
      <c r="A3" s="323" t="s">
        <v>27</v>
      </c>
      <c r="B3" s="175" t="s">
        <v>36</v>
      </c>
      <c r="C3" s="1931">
        <f>DispatchSchedule!F3</f>
        <v>46023</v>
      </c>
      <c r="D3" s="1931">
        <f>DispatchSchedule!G3</f>
        <v>46054</v>
      </c>
      <c r="E3" s="1931">
        <f>DispatchSchedule!H3</f>
        <v>46082</v>
      </c>
      <c r="F3" s="1931">
        <f>DispatchSchedule!I3</f>
        <v>46113</v>
      </c>
      <c r="G3" s="1931">
        <f>DispatchSchedule!J3</f>
        <v>46143</v>
      </c>
      <c r="H3" s="1932">
        <f>DispatchSchedule!K3</f>
        <v>46174</v>
      </c>
      <c r="I3" s="472"/>
    </row>
    <row r="4" spans="1:10" ht="13.2" x14ac:dyDescent="0.25">
      <c r="A4" s="1926" t="s">
        <v>122</v>
      </c>
      <c r="B4" s="511"/>
      <c r="C4" s="1927"/>
      <c r="D4" s="1928"/>
      <c r="E4" s="1928"/>
      <c r="F4" s="1928"/>
      <c r="G4" s="1929"/>
      <c r="H4" s="1930"/>
    </row>
    <row r="5" spans="1:10" ht="13.2" x14ac:dyDescent="0.25">
      <c r="A5" s="1132" t="s">
        <v>310</v>
      </c>
      <c r="B5" s="1133"/>
      <c r="C5" s="1125"/>
      <c r="D5" s="1125"/>
      <c r="E5" s="1125"/>
      <c r="F5" s="1125"/>
      <c r="G5" s="90"/>
      <c r="H5" s="47"/>
    </row>
    <row r="6" spans="1:10" x14ac:dyDescent="0.2">
      <c r="A6" s="47" t="s">
        <v>311</v>
      </c>
      <c r="B6" s="90" t="s">
        <v>312</v>
      </c>
      <c r="C6" s="1126">
        <f>SUM(C7:C15)</f>
        <v>21985395.600000001</v>
      </c>
      <c r="D6" s="1126">
        <f t="shared" ref="D6:H6" si="0">SUM(D7:D15)</f>
        <v>27664988.199999999</v>
      </c>
      <c r="E6" s="1126">
        <f t="shared" si="0"/>
        <v>21985395.600000001</v>
      </c>
      <c r="F6" s="1126">
        <f t="shared" si="0"/>
        <v>22700809.766666666</v>
      </c>
      <c r="G6" s="1126">
        <f t="shared" si="0"/>
        <v>22700809.766666666</v>
      </c>
      <c r="H6" s="1126">
        <f t="shared" si="0"/>
        <v>22700809.766666666</v>
      </c>
      <c r="I6" s="402">
        <f>SUM(C6:H6)</f>
        <v>139738208.69999999</v>
      </c>
      <c r="J6" s="150">
        <v>1362500</v>
      </c>
    </row>
    <row r="7" spans="1:10" x14ac:dyDescent="0.2">
      <c r="A7" s="1134" t="s">
        <v>753</v>
      </c>
      <c r="B7" s="90"/>
      <c r="C7" s="1129">
        <f>11255648</f>
        <v>11255648</v>
      </c>
      <c r="D7" s="1129">
        <f t="shared" ref="D7:E7" si="1">11255648</f>
        <v>11255648</v>
      </c>
      <c r="E7" s="1129">
        <f t="shared" si="1"/>
        <v>11255648</v>
      </c>
      <c r="F7" s="1129">
        <f t="shared" ref="F7:H7" si="2">11255648+715414.166666667</f>
        <v>11971062.166666668</v>
      </c>
      <c r="G7" s="1129">
        <f t="shared" si="2"/>
        <v>11971062.166666668</v>
      </c>
      <c r="H7" s="1129">
        <f t="shared" si="2"/>
        <v>11971062.166666668</v>
      </c>
      <c r="I7" s="402">
        <f>SUM(C7:H7)</f>
        <v>69680130.500000015</v>
      </c>
      <c r="J7" s="150">
        <v>2725000</v>
      </c>
    </row>
    <row r="8" spans="1:10" x14ac:dyDescent="0.2">
      <c r="A8" s="1134" t="s">
        <v>758</v>
      </c>
      <c r="B8" s="90"/>
      <c r="C8" s="1129">
        <v>1766667</v>
      </c>
      <c r="D8" s="1129">
        <v>1766667</v>
      </c>
      <c r="E8" s="1129">
        <v>1766667</v>
      </c>
      <c r="F8" s="1129">
        <v>1766667</v>
      </c>
      <c r="G8" s="1129">
        <v>1766667</v>
      </c>
      <c r="H8" s="1129">
        <v>1766667</v>
      </c>
      <c r="I8" s="402">
        <f t="shared" ref="I8:I58" si="3">SUM(C8:H8)</f>
        <v>10600002</v>
      </c>
      <c r="J8" s="150">
        <v>2725000</v>
      </c>
    </row>
    <row r="9" spans="1:10" x14ac:dyDescent="0.2">
      <c r="A9" s="1134" t="s">
        <v>754</v>
      </c>
      <c r="B9" s="90"/>
      <c r="C9" s="1129">
        <v>1044723</v>
      </c>
      <c r="D9" s="1129">
        <v>1044723</v>
      </c>
      <c r="E9" s="1129">
        <v>1044723</v>
      </c>
      <c r="F9" s="1129">
        <v>1044723</v>
      </c>
      <c r="G9" s="1129">
        <v>1044723</v>
      </c>
      <c r="H9" s="1129">
        <v>1044723</v>
      </c>
      <c r="I9" s="402">
        <f t="shared" si="3"/>
        <v>6268338</v>
      </c>
      <c r="J9" s="150"/>
    </row>
    <row r="10" spans="1:10" x14ac:dyDescent="0.2">
      <c r="A10" s="1134" t="s">
        <v>755</v>
      </c>
      <c r="B10" s="90"/>
      <c r="C10" s="1129">
        <v>922745</v>
      </c>
      <c r="D10" s="1129">
        <v>922745</v>
      </c>
      <c r="E10" s="1129">
        <v>922745</v>
      </c>
      <c r="F10" s="1129">
        <v>922745</v>
      </c>
      <c r="G10" s="1129">
        <v>922745</v>
      </c>
      <c r="H10" s="1129">
        <v>922745</v>
      </c>
      <c r="I10" s="402">
        <f t="shared" si="3"/>
        <v>5536470</v>
      </c>
      <c r="J10" s="150"/>
    </row>
    <row r="11" spans="1:10" x14ac:dyDescent="0.2">
      <c r="A11" s="1134" t="s">
        <v>752</v>
      </c>
      <c r="B11" s="90"/>
      <c r="C11" s="1129">
        <f>3174948*0.2</f>
        <v>634989.60000000009</v>
      </c>
      <c r="D11" s="1129">
        <f t="shared" ref="D11:H11" si="4">3174948*0.2</f>
        <v>634989.60000000009</v>
      </c>
      <c r="E11" s="1129">
        <f t="shared" si="4"/>
        <v>634989.60000000009</v>
      </c>
      <c r="F11" s="1129">
        <f t="shared" si="4"/>
        <v>634989.60000000009</v>
      </c>
      <c r="G11" s="1129">
        <f t="shared" si="4"/>
        <v>634989.60000000009</v>
      </c>
      <c r="H11" s="1129">
        <f t="shared" si="4"/>
        <v>634989.60000000009</v>
      </c>
      <c r="I11" s="402">
        <f t="shared" si="3"/>
        <v>3809937.6000000006</v>
      </c>
      <c r="J11" s="150"/>
    </row>
    <row r="12" spans="1:10" x14ac:dyDescent="0.2">
      <c r="A12" s="1134" t="s">
        <v>757</v>
      </c>
      <c r="B12" s="90"/>
      <c r="C12" s="1129">
        <v>1920885</v>
      </c>
      <c r="D12" s="1129">
        <f>1920885+5679592.6</f>
        <v>7600477.5999999996</v>
      </c>
      <c r="E12" s="1129">
        <v>1920885</v>
      </c>
      <c r="F12" s="1129">
        <v>1920885</v>
      </c>
      <c r="G12" s="1129">
        <v>1920885</v>
      </c>
      <c r="H12" s="1129">
        <v>1920885</v>
      </c>
      <c r="I12" s="402">
        <f t="shared" si="3"/>
        <v>17204902.600000001</v>
      </c>
      <c r="J12" s="150"/>
    </row>
    <row r="13" spans="1:10" x14ac:dyDescent="0.2">
      <c r="A13" s="1134" t="s">
        <v>756</v>
      </c>
      <c r="B13" s="90"/>
      <c r="C13" s="1129">
        <v>0</v>
      </c>
      <c r="D13" s="1129">
        <v>0</v>
      </c>
      <c r="E13" s="1129">
        <v>0</v>
      </c>
      <c r="F13" s="1129">
        <v>0</v>
      </c>
      <c r="G13" s="1129">
        <v>0</v>
      </c>
      <c r="H13" s="1129">
        <v>0</v>
      </c>
      <c r="I13" s="402">
        <f t="shared" si="3"/>
        <v>0</v>
      </c>
      <c r="J13" s="150"/>
    </row>
    <row r="14" spans="1:10" x14ac:dyDescent="0.2">
      <c r="A14" s="1134" t="s">
        <v>814</v>
      </c>
      <c r="B14" s="90"/>
      <c r="C14" s="1129">
        <v>4439738</v>
      </c>
      <c r="D14" s="1129">
        <v>4439738</v>
      </c>
      <c r="E14" s="1129">
        <v>4439738</v>
      </c>
      <c r="F14" s="1129">
        <v>4439738</v>
      </c>
      <c r="G14" s="1129">
        <v>4439738</v>
      </c>
      <c r="H14" s="1129">
        <v>4439738</v>
      </c>
      <c r="I14" s="402">
        <f t="shared" si="3"/>
        <v>26638428</v>
      </c>
      <c r="J14" s="150"/>
    </row>
    <row r="15" spans="1:10" x14ac:dyDescent="0.2">
      <c r="A15" s="1134" t="s">
        <v>815</v>
      </c>
      <c r="B15" s="90"/>
      <c r="C15" s="1129">
        <v>0</v>
      </c>
      <c r="D15" s="1129">
        <v>0</v>
      </c>
      <c r="E15" s="1129">
        <v>0</v>
      </c>
      <c r="F15" s="1129">
        <v>0</v>
      </c>
      <c r="G15" s="1129">
        <v>0</v>
      </c>
      <c r="H15" s="1129">
        <v>0</v>
      </c>
      <c r="I15" s="402">
        <f t="shared" si="3"/>
        <v>0</v>
      </c>
      <c r="J15" s="150"/>
    </row>
    <row r="16" spans="1:10" x14ac:dyDescent="0.2">
      <c r="A16" s="47" t="s">
        <v>313</v>
      </c>
      <c r="B16" s="90" t="s">
        <v>312</v>
      </c>
      <c r="C16" s="1169">
        <v>977945</v>
      </c>
      <c r="D16" s="1169">
        <v>977945</v>
      </c>
      <c r="E16" s="1169">
        <v>977945</v>
      </c>
      <c r="F16" s="1169">
        <f>2257099.18+276527.614684429</f>
        <v>2533626.7946844292</v>
      </c>
      <c r="G16" s="1169">
        <f t="shared" ref="G16:H16" si="5">2257099.18+276527.614684429</f>
        <v>2533626.7946844292</v>
      </c>
      <c r="H16" s="1169">
        <f t="shared" si="5"/>
        <v>2533626.7946844292</v>
      </c>
      <c r="I16" s="402">
        <f t="shared" si="3"/>
        <v>10534715.384053286</v>
      </c>
      <c r="J16" s="150"/>
    </row>
    <row r="17" spans="1:14" x14ac:dyDescent="0.2">
      <c r="A17" s="47" t="s">
        <v>314</v>
      </c>
      <c r="B17" s="90" t="s">
        <v>312</v>
      </c>
      <c r="C17" s="1127">
        <v>1686648.14</v>
      </c>
      <c r="D17" s="1127">
        <v>1686648.14</v>
      </c>
      <c r="E17" s="1127">
        <v>1686648.14</v>
      </c>
      <c r="F17" s="1127">
        <f>1686648.14+299211.708326106</f>
        <v>1985859.8483261059</v>
      </c>
      <c r="G17" s="1127">
        <f t="shared" ref="G17:H17" si="6">1686648.14+299211.708326106</f>
        <v>1985859.8483261059</v>
      </c>
      <c r="H17" s="1127">
        <f t="shared" si="6"/>
        <v>1985859.8483261059</v>
      </c>
      <c r="I17" s="402">
        <f t="shared" si="3"/>
        <v>11017523.964978317</v>
      </c>
      <c r="J17" s="150"/>
    </row>
    <row r="18" spans="1:14" x14ac:dyDescent="0.2">
      <c r="A18" s="47" t="s">
        <v>315</v>
      </c>
      <c r="B18" s="90"/>
      <c r="C18" s="1139"/>
      <c r="D18" s="1139"/>
      <c r="E18" s="1139"/>
      <c r="F18" s="1139"/>
      <c r="G18" s="1139"/>
      <c r="H18" s="1139"/>
      <c r="I18" s="402">
        <f t="shared" si="3"/>
        <v>0</v>
      </c>
    </row>
    <row r="19" spans="1:14" x14ac:dyDescent="0.2">
      <c r="A19" s="47" t="s">
        <v>316</v>
      </c>
      <c r="B19" s="90"/>
      <c r="C19" s="1137">
        <f>Inputs!C31</f>
        <v>193.8</v>
      </c>
      <c r="D19" s="1137">
        <f>Inputs!D31</f>
        <v>193.4</v>
      </c>
      <c r="E19" s="1137">
        <f>Inputs!E31</f>
        <v>195.8</v>
      </c>
      <c r="F19" s="1137">
        <f>Inputs!F31</f>
        <v>195.8</v>
      </c>
      <c r="G19" s="1137">
        <f>Inputs!G31</f>
        <v>195.8</v>
      </c>
      <c r="H19" s="1137">
        <f>Inputs!H31</f>
        <v>195.8</v>
      </c>
      <c r="I19" s="402">
        <f t="shared" si="3"/>
        <v>1170.3999999999999</v>
      </c>
      <c r="J19" s="241"/>
      <c r="K19" s="241"/>
      <c r="L19" s="241"/>
      <c r="M19" s="241"/>
      <c r="N19" s="241"/>
    </row>
    <row r="20" spans="1:14" x14ac:dyDescent="0.2">
      <c r="A20" s="47"/>
      <c r="B20" s="90"/>
      <c r="C20" s="1125"/>
      <c r="D20" s="1125"/>
      <c r="E20" s="1125"/>
      <c r="F20" s="1125"/>
      <c r="G20" s="90"/>
      <c r="H20" s="90"/>
      <c r="I20" s="402">
        <f t="shared" si="3"/>
        <v>0</v>
      </c>
      <c r="J20" s="241"/>
      <c r="K20" s="241"/>
      <c r="L20" s="241"/>
      <c r="M20" s="241"/>
      <c r="N20" s="241"/>
    </row>
    <row r="21" spans="1:14" ht="13.2" x14ac:dyDescent="0.25">
      <c r="A21" s="1132" t="s">
        <v>317</v>
      </c>
      <c r="B21" s="1133"/>
      <c r="C21" s="1125"/>
      <c r="D21" s="1125"/>
      <c r="E21" s="1125"/>
      <c r="F21" s="1125"/>
      <c r="G21" s="90"/>
      <c r="H21" s="47"/>
      <c r="I21" s="402">
        <f t="shared" si="3"/>
        <v>0</v>
      </c>
      <c r="J21" s="241"/>
      <c r="K21" s="241"/>
      <c r="L21" s="241"/>
      <c r="M21" s="241"/>
      <c r="N21" s="241"/>
    </row>
    <row r="22" spans="1:14" x14ac:dyDescent="0.2">
      <c r="A22" s="47" t="s">
        <v>318</v>
      </c>
      <c r="B22" s="90" t="s">
        <v>312</v>
      </c>
      <c r="C22" s="1129"/>
      <c r="D22" s="1129"/>
      <c r="E22" s="1129"/>
      <c r="F22" s="1129"/>
      <c r="G22" s="1129"/>
      <c r="H22" s="1129"/>
      <c r="I22" s="402">
        <f t="shared" si="3"/>
        <v>0</v>
      </c>
      <c r="J22" s="241"/>
      <c r="K22" s="241"/>
      <c r="L22" s="241"/>
      <c r="M22" s="241"/>
      <c r="N22" s="241"/>
    </row>
    <row r="23" spans="1:14" x14ac:dyDescent="0.2">
      <c r="A23" s="47"/>
      <c r="B23" s="90"/>
      <c r="C23" s="47"/>
      <c r="D23" s="1125"/>
      <c r="E23" s="1125"/>
      <c r="F23" s="1125"/>
      <c r="G23" s="90"/>
      <c r="H23" s="47"/>
      <c r="I23" s="402">
        <f t="shared" si="3"/>
        <v>0</v>
      </c>
      <c r="J23" s="241"/>
      <c r="K23" s="241"/>
      <c r="L23" s="241"/>
      <c r="M23" s="241"/>
      <c r="N23" s="241"/>
    </row>
    <row r="24" spans="1:14" ht="13.2" x14ac:dyDescent="0.25">
      <c r="A24" s="132" t="s">
        <v>24</v>
      </c>
      <c r="B24" s="151"/>
      <c r="C24" s="1125"/>
      <c r="D24" s="1125"/>
      <c r="E24" s="1125"/>
      <c r="F24" s="1125"/>
      <c r="G24" s="90"/>
      <c r="H24" s="47"/>
      <c r="I24" s="402">
        <f t="shared" si="3"/>
        <v>0</v>
      </c>
      <c r="J24" s="241"/>
      <c r="K24" s="241"/>
      <c r="L24" s="241"/>
      <c r="M24" s="241"/>
      <c r="N24" s="241"/>
    </row>
    <row r="25" spans="1:14" x14ac:dyDescent="0.2">
      <c r="A25" s="484" t="s">
        <v>89</v>
      </c>
      <c r="B25" s="90" t="s">
        <v>370</v>
      </c>
      <c r="C25" s="1190"/>
      <c r="D25" s="1125"/>
      <c r="E25" s="1125"/>
      <c r="F25" s="1125"/>
      <c r="G25" s="90"/>
      <c r="H25" s="90"/>
      <c r="I25" s="402">
        <f t="shared" si="3"/>
        <v>0</v>
      </c>
      <c r="J25" s="241"/>
      <c r="K25" s="241"/>
      <c r="L25" s="241"/>
      <c r="M25" s="241"/>
      <c r="N25" s="241"/>
    </row>
    <row r="26" spans="1:14" x14ac:dyDescent="0.2">
      <c r="A26" s="484" t="s">
        <v>100</v>
      </c>
      <c r="B26" s="90" t="s">
        <v>371</v>
      </c>
      <c r="C26" s="1125"/>
      <c r="D26" s="1125"/>
      <c r="E26" s="1125"/>
      <c r="F26" s="1125"/>
      <c r="G26" s="90"/>
      <c r="H26" s="90"/>
      <c r="I26" s="402">
        <f t="shared" si="3"/>
        <v>0</v>
      </c>
      <c r="J26" s="241"/>
      <c r="K26" s="241"/>
      <c r="L26" s="241"/>
      <c r="M26" s="241"/>
      <c r="N26" s="241"/>
    </row>
    <row r="27" spans="1:14" x14ac:dyDescent="0.2">
      <c r="A27" s="484" t="s">
        <v>99</v>
      </c>
      <c r="B27" s="90" t="s">
        <v>372</v>
      </c>
      <c r="C27" s="1125"/>
      <c r="D27" s="1125"/>
      <c r="E27" s="1125"/>
      <c r="F27" s="1125"/>
      <c r="G27" s="90"/>
      <c r="H27" s="90"/>
      <c r="I27" s="402">
        <f t="shared" si="3"/>
        <v>0</v>
      </c>
      <c r="J27" s="241"/>
      <c r="K27" s="241">
        <f>80417/50*30</f>
        <v>48250.2</v>
      </c>
      <c r="L27" s="241"/>
      <c r="M27" s="241"/>
      <c r="N27" s="241"/>
    </row>
    <row r="28" spans="1:14" x14ac:dyDescent="0.2">
      <c r="A28" s="484" t="s">
        <v>816</v>
      </c>
      <c r="B28" s="90" t="s">
        <v>373</v>
      </c>
      <c r="C28" s="2711">
        <v>0.21820000000000001</v>
      </c>
      <c r="D28" s="2711">
        <v>0.21820000000000001</v>
      </c>
      <c r="E28" s="2711">
        <v>0.21820000000000001</v>
      </c>
      <c r="F28" s="2711">
        <v>0.21820000000000001</v>
      </c>
      <c r="G28" s="2711">
        <v>0.21820000000000001</v>
      </c>
      <c r="H28" s="2711">
        <v>0.21820000000000001</v>
      </c>
      <c r="I28" s="402">
        <f t="shared" si="3"/>
        <v>1.3091999999999999</v>
      </c>
      <c r="J28" s="241"/>
      <c r="K28" s="241">
        <f>80417/50*20</f>
        <v>32166.799999999999</v>
      </c>
      <c r="L28" s="241"/>
      <c r="M28" s="241"/>
      <c r="N28" s="241"/>
    </row>
    <row r="29" spans="1:14" x14ac:dyDescent="0.2">
      <c r="A29" s="47" t="s">
        <v>87</v>
      </c>
      <c r="B29" s="90" t="s">
        <v>374</v>
      </c>
      <c r="C29" s="1191">
        <f>Inputs!C78</f>
        <v>177</v>
      </c>
      <c r="D29" s="1191">
        <f>Inputs!D78</f>
        <v>168</v>
      </c>
      <c r="E29" s="1191">
        <f>Inputs!E78</f>
        <v>168</v>
      </c>
      <c r="F29" s="1191">
        <f>Inputs!F78</f>
        <v>168</v>
      </c>
      <c r="G29" s="1191">
        <f>Inputs!G78</f>
        <v>168</v>
      </c>
      <c r="H29" s="1191">
        <f>Inputs!H78</f>
        <v>168</v>
      </c>
      <c r="I29" s="402">
        <f t="shared" si="3"/>
        <v>1017</v>
      </c>
      <c r="J29" s="241"/>
      <c r="K29" s="241">
        <f>SUM(K27:K28)</f>
        <v>80417</v>
      </c>
      <c r="L29" s="241"/>
      <c r="M29" s="241"/>
      <c r="N29" s="241"/>
    </row>
    <row r="30" spans="1:14" x14ac:dyDescent="0.2">
      <c r="A30" s="47" t="s">
        <v>375</v>
      </c>
      <c r="B30" s="90" t="s">
        <v>214</v>
      </c>
      <c r="C30" s="1056">
        <f t="shared" ref="C30:E30" si="7">+C29*C28</f>
        <v>38.621400000000001</v>
      </c>
      <c r="D30" s="1056">
        <f t="shared" si="7"/>
        <v>36.657600000000002</v>
      </c>
      <c r="E30" s="1056">
        <f t="shared" si="7"/>
        <v>36.657600000000002</v>
      </c>
      <c r="F30" s="1056">
        <f>+F29*F28</f>
        <v>36.657600000000002</v>
      </c>
      <c r="G30" s="1056">
        <f t="shared" ref="G30:H30" si="8">+G29*G28</f>
        <v>36.657600000000002</v>
      </c>
      <c r="H30" s="1056">
        <f t="shared" si="8"/>
        <v>36.657600000000002</v>
      </c>
      <c r="I30" s="402">
        <f t="shared" si="3"/>
        <v>221.90940000000001</v>
      </c>
      <c r="J30" s="241"/>
      <c r="K30" s="241"/>
      <c r="L30" s="241"/>
      <c r="M30" s="241"/>
      <c r="N30" s="241"/>
    </row>
    <row r="31" spans="1:14" ht="13.2" x14ac:dyDescent="0.25">
      <c r="A31" s="132" t="s">
        <v>132</v>
      </c>
      <c r="B31" s="151"/>
      <c r="C31" s="1125"/>
      <c r="D31" s="1125"/>
      <c r="E31" s="1125"/>
      <c r="F31" s="1125"/>
      <c r="G31" s="90"/>
      <c r="H31" s="47"/>
      <c r="I31" s="402">
        <f t="shared" si="3"/>
        <v>0</v>
      </c>
    </row>
    <row r="32" spans="1:14" x14ac:dyDescent="0.2">
      <c r="A32" s="47" t="s">
        <v>376</v>
      </c>
      <c r="B32" s="90" t="s">
        <v>312</v>
      </c>
      <c r="C32" s="1169">
        <v>55975000</v>
      </c>
      <c r="D32" s="1169">
        <v>55975000</v>
      </c>
      <c r="E32" s="1169">
        <v>55975000</v>
      </c>
      <c r="F32" s="1169">
        <v>55975000</v>
      </c>
      <c r="G32" s="1169">
        <v>55975000</v>
      </c>
      <c r="H32" s="1169">
        <v>55975000</v>
      </c>
      <c r="I32" s="402">
        <f t="shared" si="3"/>
        <v>335850000</v>
      </c>
    </row>
    <row r="33" spans="1:9" x14ac:dyDescent="0.2">
      <c r="A33" s="47" t="s">
        <v>376</v>
      </c>
      <c r="B33" s="90" t="s">
        <v>377</v>
      </c>
      <c r="C33" s="1125"/>
      <c r="D33" s="1125"/>
      <c r="E33" s="1125"/>
      <c r="F33" s="1125"/>
      <c r="G33" s="90"/>
      <c r="H33" s="47"/>
      <c r="I33" s="402">
        <f t="shared" si="3"/>
        <v>0</v>
      </c>
    </row>
    <row r="34" spans="1:9" x14ac:dyDescent="0.2">
      <c r="A34" s="47" t="s">
        <v>315</v>
      </c>
      <c r="B34" s="90"/>
      <c r="C34" s="1140">
        <f>C18</f>
        <v>0</v>
      </c>
      <c r="D34" s="1140">
        <f t="shared" ref="D34:H34" si="9">D18</f>
        <v>0</v>
      </c>
      <c r="E34" s="1140">
        <f t="shared" si="9"/>
        <v>0</v>
      </c>
      <c r="F34" s="1140">
        <f t="shared" si="9"/>
        <v>0</v>
      </c>
      <c r="G34" s="1140">
        <f t="shared" si="9"/>
        <v>0</v>
      </c>
      <c r="H34" s="1140">
        <f t="shared" si="9"/>
        <v>0</v>
      </c>
      <c r="I34" s="402">
        <f t="shared" si="3"/>
        <v>0</v>
      </c>
    </row>
    <row r="35" spans="1:9" x14ac:dyDescent="0.2">
      <c r="A35" s="47" t="s">
        <v>316</v>
      </c>
      <c r="B35" s="90"/>
      <c r="C35" s="1140">
        <f>C19</f>
        <v>193.8</v>
      </c>
      <c r="D35" s="1140">
        <f t="shared" ref="D35:H35" si="10">D19</f>
        <v>193.4</v>
      </c>
      <c r="E35" s="1140">
        <f t="shared" si="10"/>
        <v>195.8</v>
      </c>
      <c r="F35" s="1140">
        <f t="shared" si="10"/>
        <v>195.8</v>
      </c>
      <c r="G35" s="1140">
        <f t="shared" si="10"/>
        <v>195.8</v>
      </c>
      <c r="H35" s="1140">
        <f t="shared" si="10"/>
        <v>195.8</v>
      </c>
      <c r="I35" s="402">
        <f t="shared" si="3"/>
        <v>1170.3999999999999</v>
      </c>
    </row>
    <row r="36" spans="1:9" x14ac:dyDescent="0.2">
      <c r="A36" s="47" t="s">
        <v>378</v>
      </c>
      <c r="B36" s="90"/>
      <c r="C36" s="1140"/>
      <c r="D36" s="1125"/>
      <c r="E36" s="1125"/>
      <c r="F36" s="1125"/>
      <c r="G36" s="90"/>
      <c r="H36" s="1154"/>
      <c r="I36" s="402">
        <f t="shared" si="3"/>
        <v>0</v>
      </c>
    </row>
    <row r="37" spans="1:9" x14ac:dyDescent="0.2">
      <c r="A37" s="47" t="s">
        <v>379</v>
      </c>
      <c r="B37" s="90"/>
      <c r="C37" s="1140"/>
      <c r="D37" s="1125"/>
      <c r="E37" s="1125"/>
      <c r="F37" s="1125"/>
      <c r="G37" s="90"/>
      <c r="H37" s="1154"/>
      <c r="I37" s="402">
        <f t="shared" si="3"/>
        <v>0</v>
      </c>
    </row>
    <row r="38" spans="1:9" ht="13.2" x14ac:dyDescent="0.25">
      <c r="A38" s="132" t="s">
        <v>380</v>
      </c>
      <c r="B38" s="90"/>
      <c r="C38" s="1125"/>
      <c r="D38" s="1125"/>
      <c r="E38" s="1125"/>
      <c r="F38" s="1125"/>
      <c r="G38" s="90"/>
      <c r="H38" s="1155"/>
      <c r="I38" s="402">
        <f t="shared" si="3"/>
        <v>0</v>
      </c>
    </row>
    <row r="39" spans="1:9" x14ac:dyDescent="0.2">
      <c r="A39" s="551" t="s">
        <v>381</v>
      </c>
      <c r="B39" s="90" t="s">
        <v>411</v>
      </c>
      <c r="C39" s="1169"/>
      <c r="D39" s="1169"/>
      <c r="E39" s="1169"/>
      <c r="F39" s="1169"/>
      <c r="G39" s="1169"/>
      <c r="H39" s="1169"/>
      <c r="I39" s="402">
        <f t="shared" si="3"/>
        <v>0</v>
      </c>
    </row>
    <row r="40" spans="1:9" x14ac:dyDescent="0.2">
      <c r="A40" s="551" t="s">
        <v>383</v>
      </c>
      <c r="B40" s="90" t="s">
        <v>411</v>
      </c>
      <c r="C40" s="1169">
        <v>32200</v>
      </c>
      <c r="D40" s="1169">
        <v>32200</v>
      </c>
      <c r="E40" s="1169">
        <v>32200</v>
      </c>
      <c r="F40" s="1169">
        <v>32200</v>
      </c>
      <c r="G40" s="1169">
        <v>32200</v>
      </c>
      <c r="H40" s="1169">
        <v>32200</v>
      </c>
      <c r="I40" s="402">
        <f t="shared" si="3"/>
        <v>193200</v>
      </c>
    </row>
    <row r="41" spans="1:9" x14ac:dyDescent="0.2">
      <c r="A41" s="47"/>
      <c r="B41" s="90"/>
      <c r="C41" s="1125"/>
      <c r="D41" s="1125"/>
      <c r="E41" s="1125"/>
      <c r="F41" s="1125"/>
      <c r="G41" s="1125"/>
      <c r="H41" s="1125"/>
      <c r="I41" s="402">
        <f t="shared" si="3"/>
        <v>0</v>
      </c>
    </row>
    <row r="42" spans="1:9" x14ac:dyDescent="0.2">
      <c r="A42" s="47" t="s">
        <v>384</v>
      </c>
      <c r="B42" s="90" t="s">
        <v>385</v>
      </c>
      <c r="C42" s="1129"/>
      <c r="D42" s="1129"/>
      <c r="E42" s="1129"/>
      <c r="F42" s="1129"/>
      <c r="G42" s="1129"/>
      <c r="H42" s="1129"/>
      <c r="I42" s="402">
        <f t="shared" si="3"/>
        <v>0</v>
      </c>
    </row>
    <row r="43" spans="1:9" x14ac:dyDescent="0.2">
      <c r="A43" s="47" t="s">
        <v>386</v>
      </c>
      <c r="B43" s="90" t="s">
        <v>385</v>
      </c>
      <c r="C43" s="1129">
        <v>120</v>
      </c>
      <c r="D43" s="1129">
        <v>120</v>
      </c>
      <c r="E43" s="1129">
        <v>120</v>
      </c>
      <c r="F43" s="1129">
        <v>120</v>
      </c>
      <c r="G43" s="1129">
        <v>120</v>
      </c>
      <c r="H43" s="1129">
        <v>120</v>
      </c>
      <c r="I43" s="402">
        <f t="shared" si="3"/>
        <v>720</v>
      </c>
    </row>
    <row r="44" spans="1:9" x14ac:dyDescent="0.2">
      <c r="A44" s="47"/>
      <c r="B44" s="90"/>
      <c r="C44" s="1125"/>
      <c r="D44" s="1125"/>
      <c r="E44" s="1125"/>
      <c r="F44" s="1125"/>
      <c r="G44" s="90"/>
      <c r="H44" s="1130"/>
      <c r="I44" s="402">
        <f t="shared" si="3"/>
        <v>0</v>
      </c>
    </row>
    <row r="45" spans="1:9" ht="13.2" x14ac:dyDescent="0.25">
      <c r="A45" s="47" t="s">
        <v>148</v>
      </c>
      <c r="B45" s="151" t="s">
        <v>320</v>
      </c>
      <c r="C45" s="2831">
        <f t="shared" ref="C45:E45" si="11">C6+C16+C17+C22</f>
        <v>24649988.740000002</v>
      </c>
      <c r="D45" s="2831">
        <f t="shared" si="11"/>
        <v>30329581.34</v>
      </c>
      <c r="E45" s="2831">
        <f t="shared" si="11"/>
        <v>24649988.740000002</v>
      </c>
      <c r="F45" s="2831">
        <f t="shared" ref="F45:H45" si="12">F6+F16+F17+F22</f>
        <v>27220296.4096772</v>
      </c>
      <c r="G45" s="2831">
        <f t="shared" si="12"/>
        <v>27220296.4096772</v>
      </c>
      <c r="H45" s="2831">
        <f t="shared" si="12"/>
        <v>27220296.4096772</v>
      </c>
      <c r="I45" s="402">
        <f t="shared" si="3"/>
        <v>161290448.04903162</v>
      </c>
    </row>
    <row r="46" spans="1:9" ht="13.2" x14ac:dyDescent="0.25">
      <c r="A46" s="47" t="s">
        <v>149</v>
      </c>
      <c r="B46" s="151" t="s">
        <v>320</v>
      </c>
      <c r="C46" s="1125">
        <f>C32+(C30*C49)</f>
        <v>55975000</v>
      </c>
      <c r="D46" s="1125">
        <f t="shared" ref="D46:E46" si="13">D32+(D30*D49)</f>
        <v>55975000</v>
      </c>
      <c r="E46" s="1125">
        <f t="shared" si="13"/>
        <v>55975000</v>
      </c>
      <c r="F46" s="1192">
        <f>F32+(F30*F49)</f>
        <v>1049090499.55072</v>
      </c>
      <c r="G46" s="1192">
        <f t="shared" ref="G46:H46" si="14">G32+(G30*G49)</f>
        <v>1040017010.39872</v>
      </c>
      <c r="H46" s="1192">
        <f t="shared" si="14"/>
        <v>1049092024.5068802</v>
      </c>
      <c r="I46" s="402">
        <f t="shared" si="3"/>
        <v>3306124534.4563203</v>
      </c>
    </row>
    <row r="47" spans="1:9" ht="13.2" x14ac:dyDescent="0.25">
      <c r="A47" s="47" t="s">
        <v>387</v>
      </c>
      <c r="B47" s="151" t="s">
        <v>320</v>
      </c>
      <c r="C47" s="1125">
        <f>C39*C42+C40*C43</f>
        <v>3864000</v>
      </c>
      <c r="D47" s="1125">
        <f t="shared" ref="D47:E47" si="15">D39*D42+D40*D43</f>
        <v>3864000</v>
      </c>
      <c r="E47" s="1125">
        <f t="shared" si="15"/>
        <v>3864000</v>
      </c>
      <c r="F47" s="1125">
        <f t="shared" ref="F47:H47" si="16">F39*F42+F40*F43</f>
        <v>3864000</v>
      </c>
      <c r="G47" s="1125">
        <f t="shared" si="16"/>
        <v>3864000</v>
      </c>
      <c r="H47" s="1125">
        <f t="shared" si="16"/>
        <v>3864000</v>
      </c>
      <c r="I47" s="402">
        <f t="shared" si="3"/>
        <v>23184000</v>
      </c>
    </row>
    <row r="48" spans="1:9" ht="13.2" x14ac:dyDescent="0.25">
      <c r="A48" s="47" t="s">
        <v>150</v>
      </c>
      <c r="B48" s="151" t="s">
        <v>39</v>
      </c>
      <c r="C48" s="1129">
        <v>60</v>
      </c>
      <c r="D48" s="1129">
        <v>60</v>
      </c>
      <c r="E48" s="1129">
        <v>60</v>
      </c>
      <c r="F48" s="1129">
        <v>60</v>
      </c>
      <c r="G48" s="1129">
        <v>60</v>
      </c>
      <c r="H48" s="1129">
        <v>60</v>
      </c>
      <c r="I48" s="402">
        <f t="shared" si="3"/>
        <v>360</v>
      </c>
    </row>
    <row r="49" spans="1:10" ht="13.2" x14ac:dyDescent="0.25">
      <c r="A49" s="47" t="s">
        <v>642</v>
      </c>
      <c r="B49" s="151" t="s">
        <v>388</v>
      </c>
      <c r="C49" s="1125">
        <f>DispatchSchedule!F15*1000000</f>
        <v>0</v>
      </c>
      <c r="D49" s="1125">
        <f>DispatchSchedule!G15*1000000</f>
        <v>0</v>
      </c>
      <c r="E49" s="1125">
        <f>DispatchSchedule!H15*1000000</f>
        <v>0</v>
      </c>
      <c r="F49" s="1125">
        <f>DispatchSchedule!I15*1000000</f>
        <v>27091667.199999999</v>
      </c>
      <c r="G49" s="1125">
        <f>DispatchSchedule!J15*1000000</f>
        <v>26844147.199999999</v>
      </c>
      <c r="H49" s="1125">
        <f>DispatchSchedule!K15*1000000</f>
        <v>27091708.800000004</v>
      </c>
      <c r="I49" s="402">
        <f t="shared" si="3"/>
        <v>81027523.200000003</v>
      </c>
    </row>
    <row r="50" spans="1:10" ht="13.2" x14ac:dyDescent="0.25">
      <c r="A50" s="47" t="s">
        <v>134</v>
      </c>
      <c r="B50" s="151" t="s">
        <v>388</v>
      </c>
      <c r="C50" s="1125">
        <f>DispatchSchedule!F84*1000000</f>
        <v>0</v>
      </c>
      <c r="D50" s="1125">
        <f>DispatchSchedule!G84*1000000</f>
        <v>0</v>
      </c>
      <c r="E50" s="1125">
        <f>DispatchSchedule!H84*1000000</f>
        <v>0</v>
      </c>
      <c r="F50" s="1125">
        <f>DispatchSchedule!I84*1000000</f>
        <v>26049680</v>
      </c>
      <c r="G50" s="1125">
        <f>DispatchSchedule!J84*1000000</f>
        <v>25811680</v>
      </c>
      <c r="H50" s="1125">
        <f>DispatchSchedule!K84*1000000</f>
        <v>26049720</v>
      </c>
      <c r="I50" s="402">
        <f t="shared" si="3"/>
        <v>77911080</v>
      </c>
    </row>
    <row r="51" spans="1:10" ht="13.2" x14ac:dyDescent="0.25">
      <c r="A51" s="484" t="s">
        <v>805</v>
      </c>
      <c r="B51" s="151" t="s">
        <v>214</v>
      </c>
      <c r="C51" s="143">
        <f>IF(C50=0,0,(C46/C50))</f>
        <v>0</v>
      </c>
      <c r="D51" s="143">
        <f t="shared" ref="D51:H51" si="17">IF(D50=0,0,(D46/D50))</f>
        <v>0</v>
      </c>
      <c r="E51" s="143">
        <f t="shared" si="17"/>
        <v>0</v>
      </c>
      <c r="F51" s="143">
        <f t="shared" si="17"/>
        <v>40.272682794979438</v>
      </c>
      <c r="G51" s="143">
        <f t="shared" si="17"/>
        <v>40.292495893282421</v>
      </c>
      <c r="H51" s="143">
        <f t="shared" si="17"/>
        <v>40.272679495475579</v>
      </c>
      <c r="I51" s="402">
        <f t="shared" si="3"/>
        <v>120.83785818373744</v>
      </c>
    </row>
    <row r="52" spans="1:10" ht="13.2" x14ac:dyDescent="0.25">
      <c r="A52" s="567" t="s">
        <v>804</v>
      </c>
      <c r="B52" s="508" t="s">
        <v>214</v>
      </c>
      <c r="C52" s="569">
        <f>IF(C50=0,0,(C46+C47)/C50)</f>
        <v>0</v>
      </c>
      <c r="D52" s="569">
        <f t="shared" ref="D52:H52" si="18">IF(D50=0,0,(D46+D47)/D50)</f>
        <v>0</v>
      </c>
      <c r="E52" s="569">
        <f t="shared" si="18"/>
        <v>0</v>
      </c>
      <c r="F52" s="569">
        <f t="shared" si="18"/>
        <v>40.421014751456447</v>
      </c>
      <c r="G52" s="569">
        <f t="shared" si="18"/>
        <v>40.442195564129108</v>
      </c>
      <c r="H52" s="569">
        <f t="shared" si="18"/>
        <v>40.421011224185143</v>
      </c>
      <c r="I52" s="402">
        <f t="shared" si="3"/>
        <v>121.2842215397707</v>
      </c>
    </row>
    <row r="53" spans="1:10" ht="13.2" x14ac:dyDescent="0.25">
      <c r="A53" s="140" t="s">
        <v>390</v>
      </c>
      <c r="B53" s="151" t="s">
        <v>214</v>
      </c>
      <c r="C53" s="145">
        <f>IF(C50=0,0,C45/C50)</f>
        <v>0</v>
      </c>
      <c r="D53" s="145">
        <f t="shared" ref="D53:H53" si="19">IF(D50=0,0,D45/D50)</f>
        <v>0</v>
      </c>
      <c r="E53" s="145">
        <f t="shared" si="19"/>
        <v>0</v>
      </c>
      <c r="F53" s="145">
        <f t="shared" si="19"/>
        <v>1.0449378422182998</v>
      </c>
      <c r="G53" s="145">
        <f t="shared" si="19"/>
        <v>1.0545728294197512</v>
      </c>
      <c r="H53" s="145">
        <f t="shared" si="19"/>
        <v>1.0449362376899713</v>
      </c>
      <c r="I53" s="402">
        <f t="shared" si="3"/>
        <v>3.1444469093280221</v>
      </c>
    </row>
    <row r="54" spans="1:10" ht="13.2" x14ac:dyDescent="0.25">
      <c r="A54" s="140" t="s">
        <v>390</v>
      </c>
      <c r="B54" s="151" t="s">
        <v>322</v>
      </c>
      <c r="C54" s="145">
        <f t="shared" ref="C54:E54" si="20">C45/C48/1000</f>
        <v>410.83314566666667</v>
      </c>
      <c r="D54" s="145">
        <f t="shared" si="20"/>
        <v>505.49302233333333</v>
      </c>
      <c r="E54" s="145">
        <f t="shared" si="20"/>
        <v>410.83314566666667</v>
      </c>
      <c r="F54" s="145">
        <f t="shared" ref="F54:H54" si="21">F45/F48/1000</f>
        <v>453.67160682795333</v>
      </c>
      <c r="G54" s="145">
        <f t="shared" si="21"/>
        <v>453.67160682795333</v>
      </c>
      <c r="H54" s="145">
        <f t="shared" si="21"/>
        <v>453.67160682795333</v>
      </c>
      <c r="I54" s="402">
        <f t="shared" si="3"/>
        <v>2688.1741341505267</v>
      </c>
    </row>
    <row r="55" spans="1:10" x14ac:dyDescent="0.2">
      <c r="I55" s="402">
        <f t="shared" si="3"/>
        <v>0</v>
      </c>
      <c r="J55" s="402">
        <f>+D56*1000000</f>
        <v>86304581.340000004</v>
      </c>
    </row>
    <row r="56" spans="1:10" ht="13.2" x14ac:dyDescent="0.25">
      <c r="A56" s="507" t="s">
        <v>148</v>
      </c>
      <c r="B56" s="508" t="s">
        <v>460</v>
      </c>
      <c r="C56" s="1231">
        <f>IF(C50=0,(C45+C46)/1000000,C45/1000000)</f>
        <v>80.624988740000006</v>
      </c>
      <c r="D56" s="1231">
        <f t="shared" ref="D56:H56" si="22">IF(D50=0,(D45+D46)/1000000,D45/1000000)</f>
        <v>86.304581339999999</v>
      </c>
      <c r="E56" s="1231">
        <f t="shared" si="22"/>
        <v>80.624988740000006</v>
      </c>
      <c r="F56" s="1231">
        <f t="shared" si="22"/>
        <v>27.2202964096772</v>
      </c>
      <c r="G56" s="1231">
        <f t="shared" si="22"/>
        <v>27.2202964096772</v>
      </c>
      <c r="H56" s="1231">
        <f t="shared" si="22"/>
        <v>27.2202964096772</v>
      </c>
      <c r="I56" s="402">
        <f t="shared" si="3"/>
        <v>329.21544804903158</v>
      </c>
      <c r="J56" s="150"/>
    </row>
    <row r="57" spans="1:10" ht="13.2" x14ac:dyDescent="0.25">
      <c r="A57" s="47" t="s">
        <v>149</v>
      </c>
      <c r="B57" s="151" t="s">
        <v>460</v>
      </c>
      <c r="C57" s="1232">
        <f>IF(C50=0,0,(C46+C47)/1000000)</f>
        <v>0</v>
      </c>
      <c r="D57" s="1232">
        <f t="shared" ref="D57:H57" si="23">IF(D50=0,0,(D46+D47)/1000000)</f>
        <v>0</v>
      </c>
      <c r="E57" s="1232">
        <f t="shared" si="23"/>
        <v>0</v>
      </c>
      <c r="F57" s="1232">
        <f t="shared" si="23"/>
        <v>1052.9544995507199</v>
      </c>
      <c r="G57" s="1232">
        <f t="shared" si="23"/>
        <v>1043.88101039872</v>
      </c>
      <c r="H57" s="1232">
        <f t="shared" si="23"/>
        <v>1052.9560245068801</v>
      </c>
      <c r="I57" s="402">
        <f t="shared" si="3"/>
        <v>3149.7915344563203</v>
      </c>
    </row>
    <row r="58" spans="1:10" ht="13.2" x14ac:dyDescent="0.25">
      <c r="A58" s="47" t="s">
        <v>134</v>
      </c>
      <c r="B58" s="151" t="s">
        <v>56</v>
      </c>
      <c r="C58" s="1233">
        <f>C50/1000000</f>
        <v>0</v>
      </c>
      <c r="D58" s="1233">
        <f t="shared" ref="D58:H58" si="24">D50/1000000</f>
        <v>0</v>
      </c>
      <c r="E58" s="1233">
        <f t="shared" si="24"/>
        <v>0</v>
      </c>
      <c r="F58" s="1233">
        <f t="shared" si="24"/>
        <v>26.049679999999999</v>
      </c>
      <c r="G58" s="1233">
        <f t="shared" si="24"/>
        <v>25.811679999999999</v>
      </c>
      <c r="H58" s="1233">
        <f t="shared" si="24"/>
        <v>26.049720000000001</v>
      </c>
      <c r="I58" s="402">
        <f t="shared" si="3"/>
        <v>77.911079999999998</v>
      </c>
    </row>
    <row r="60" spans="1:10" x14ac:dyDescent="0.2">
      <c r="B60" s="415"/>
      <c r="C60" s="150"/>
      <c r="D60" s="150"/>
      <c r="E60" s="150"/>
      <c r="F60" s="150"/>
      <c r="G60" s="150"/>
      <c r="H60" s="150"/>
    </row>
    <row r="61" spans="1:10" ht="13.8" x14ac:dyDescent="0.25">
      <c r="A61" s="1083"/>
      <c r="B61" s="456"/>
      <c r="C61" s="587"/>
      <c r="D61" s="587"/>
      <c r="E61" s="587"/>
      <c r="F61" s="587"/>
      <c r="G61" s="587"/>
      <c r="H61" s="587"/>
    </row>
    <row r="62" spans="1:10" ht="30.75" customHeight="1" x14ac:dyDescent="0.2">
      <c r="A62" s="1156"/>
      <c r="B62" s="1156"/>
      <c r="C62" s="1156"/>
      <c r="D62" s="1156"/>
      <c r="E62" s="1156"/>
      <c r="F62" s="1156"/>
      <c r="G62" s="1156"/>
      <c r="H62" s="1156"/>
    </row>
    <row r="63" spans="1:10" x14ac:dyDescent="0.2">
      <c r="D63" s="566"/>
      <c r="F63" s="414"/>
      <c r="G63" s="414"/>
      <c r="H63" s="414"/>
    </row>
    <row r="64" spans="1:10" x14ac:dyDescent="0.2">
      <c r="C64" s="415"/>
      <c r="D64" s="566"/>
      <c r="F64" s="414"/>
      <c r="G64" s="414"/>
      <c r="H64" s="414"/>
    </row>
    <row r="65" spans="2:9" x14ac:dyDescent="0.2">
      <c r="D65" s="566"/>
      <c r="F65" s="414"/>
      <c r="G65" s="414"/>
      <c r="H65" s="414"/>
    </row>
    <row r="66" spans="2:9" x14ac:dyDescent="0.2">
      <c r="D66" s="566"/>
      <c r="F66" s="414"/>
    </row>
    <row r="67" spans="2:9" x14ac:dyDescent="0.2">
      <c r="B67" s="647"/>
      <c r="D67" s="566"/>
    </row>
    <row r="68" spans="2:9" x14ac:dyDescent="0.2">
      <c r="D68" s="566"/>
    </row>
    <row r="69" spans="2:9" x14ac:dyDescent="0.2">
      <c r="D69" s="566"/>
    </row>
    <row r="70" spans="2:9" x14ac:dyDescent="0.2">
      <c r="C70" s="414"/>
      <c r="D70" s="414"/>
      <c r="E70" s="414"/>
      <c r="F70" s="414"/>
      <c r="G70" s="414"/>
      <c r="H70" s="414"/>
    </row>
    <row r="71" spans="2:9" x14ac:dyDescent="0.2">
      <c r="C71" s="414"/>
      <c r="D71" s="414"/>
      <c r="E71" s="414"/>
      <c r="F71" s="414"/>
      <c r="G71" s="414"/>
      <c r="H71" s="414"/>
      <c r="I71" s="414"/>
    </row>
    <row r="72" spans="2:9" x14ac:dyDescent="0.2">
      <c r="C72" s="414"/>
      <c r="D72" s="414"/>
      <c r="E72" s="414"/>
      <c r="F72" s="414"/>
      <c r="G72" s="414"/>
      <c r="H72" s="414"/>
    </row>
    <row r="73" spans="2:9" x14ac:dyDescent="0.2">
      <c r="C73" s="414"/>
      <c r="D73" s="414"/>
      <c r="E73" s="414"/>
      <c r="F73" s="414"/>
      <c r="G73" s="414"/>
      <c r="H73" s="414"/>
    </row>
    <row r="74" spans="2:9" x14ac:dyDescent="0.2">
      <c r="C74" s="414"/>
      <c r="D74" s="414"/>
      <c r="E74" s="414"/>
      <c r="F74" s="414"/>
      <c r="G74" s="414"/>
      <c r="H74" s="414"/>
    </row>
    <row r="75" spans="2:9" x14ac:dyDescent="0.2">
      <c r="C75" s="414"/>
      <c r="D75" s="414"/>
      <c r="E75" s="414"/>
      <c r="F75" s="414"/>
      <c r="G75" s="414"/>
      <c r="H75" s="414"/>
    </row>
    <row r="76" spans="2:9" x14ac:dyDescent="0.2">
      <c r="C76" s="241"/>
      <c r="D76" s="241"/>
      <c r="E76" s="241"/>
      <c r="F76" s="241"/>
      <c r="G76" s="241"/>
      <c r="H76" s="241"/>
    </row>
    <row r="77" spans="2:9" x14ac:dyDescent="0.2">
      <c r="C77" s="241"/>
      <c r="D77" s="241"/>
      <c r="E77" s="241"/>
      <c r="F77" s="241"/>
      <c r="G77" s="241"/>
      <c r="H77" s="241"/>
    </row>
    <row r="78" spans="2:9" x14ac:dyDescent="0.2">
      <c r="C78" s="241"/>
      <c r="D78" s="241"/>
      <c r="E78" s="241"/>
      <c r="F78" s="241"/>
      <c r="G78" s="241"/>
      <c r="H78" s="241"/>
    </row>
    <row r="79" spans="2:9" x14ac:dyDescent="0.2">
      <c r="C79" s="241"/>
      <c r="D79" s="241"/>
      <c r="E79" s="241"/>
      <c r="F79" s="241"/>
      <c r="G79" s="241"/>
      <c r="H79" s="241"/>
    </row>
  </sheetData>
  <dataValidations count="3">
    <dataValidation type="list" allowBlank="1" showInputMessage="1" showErrorMessage="1" sqref="C26" xr:uid="{00000000-0002-0000-1600-000000000000}">
      <formula1>Units</formula1>
    </dataValidation>
    <dataValidation type="list" allowBlank="1" showInputMessage="1" showErrorMessage="1" sqref="C25" xr:uid="{00000000-0002-0000-1600-000001000000}">
      <formula1>Combustible</formula1>
    </dataValidation>
    <dataValidation type="list" allowBlank="1" showInputMessage="1" showErrorMessage="1" sqref="B41 C27" xr:uid="{00000000-0002-0000-1600-000002000000}">
      <formula1>Currency</formula1>
    </dataValidation>
  </dataValidations>
  <pageMargins left="0.69" right="0" top="0.22" bottom="0" header="0.19684820647419074" footer="0.11810804899387577"/>
  <pageSetup paperSize="9" scale="7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7">
    <tabColor rgb="FFFF0000"/>
  </sheetPr>
  <dimension ref="A1:J71"/>
  <sheetViews>
    <sheetView showGridLines="0" zoomScale="85" workbookViewId="0">
      <selection activeCell="E16" sqref="E16"/>
    </sheetView>
  </sheetViews>
  <sheetFormatPr defaultColWidth="11" defaultRowHeight="12.6" x14ac:dyDescent="0.2"/>
  <cols>
    <col min="1" max="1" width="50.6328125" customWidth="1"/>
    <col min="2" max="2" width="10" customWidth="1"/>
    <col min="3" max="3" width="13.7265625" bestFit="1" customWidth="1"/>
    <col min="4" max="5" width="15.36328125" bestFit="1" customWidth="1"/>
    <col min="6" max="6" width="15.26953125" bestFit="1" customWidth="1"/>
    <col min="7" max="7" width="16.26953125" bestFit="1" customWidth="1"/>
    <col min="8" max="8" width="15.36328125" bestFit="1" customWidth="1"/>
  </cols>
  <sheetData>
    <row r="1" spans="1:10" ht="19.8" x14ac:dyDescent="0.35">
      <c r="A1" s="53" t="s">
        <v>202</v>
      </c>
      <c r="B1" s="53"/>
      <c r="D1" s="349" t="s">
        <v>570</v>
      </c>
    </row>
    <row r="2" spans="1:10" ht="18" thickBot="1" x14ac:dyDescent="0.35">
      <c r="A2" s="53"/>
      <c r="B2" s="53"/>
      <c r="C2" s="298">
        <v>42186</v>
      </c>
      <c r="D2" s="298">
        <v>42217</v>
      </c>
      <c r="E2" s="298">
        <v>42248</v>
      </c>
      <c r="F2" s="298">
        <v>42278</v>
      </c>
      <c r="G2" s="298">
        <v>42309</v>
      </c>
      <c r="H2" s="298">
        <v>42339</v>
      </c>
    </row>
    <row r="3" spans="1:10" ht="13.2" thickBot="1" x14ac:dyDescent="0.25">
      <c r="A3" s="46" t="s">
        <v>27</v>
      </c>
      <c r="B3" s="66" t="s">
        <v>36</v>
      </c>
      <c r="C3" s="175">
        <f>+'Gen. Energy Cost'!C5</f>
        <v>46023</v>
      </c>
      <c r="D3" s="175">
        <f>+'Gen. Energy Cost'!D5</f>
        <v>46054</v>
      </c>
      <c r="E3" s="175">
        <f>+'Gen. Energy Cost'!E5</f>
        <v>46082</v>
      </c>
      <c r="F3" s="175">
        <f>+'Gen. Energy Cost'!F5</f>
        <v>46113</v>
      </c>
      <c r="G3" s="175">
        <f>+'Gen. Energy Cost'!G5</f>
        <v>46143</v>
      </c>
      <c r="H3" s="175">
        <f>+'Gen. Energy Cost'!H5</f>
        <v>46174</v>
      </c>
      <c r="I3" s="75"/>
    </row>
    <row r="4" spans="1:10" ht="13.2" x14ac:dyDescent="0.25">
      <c r="A4" s="55" t="s">
        <v>136</v>
      </c>
      <c r="B4" s="61"/>
      <c r="C4" s="47"/>
      <c r="D4" s="47"/>
      <c r="E4" s="47"/>
      <c r="F4" s="47"/>
      <c r="G4" s="47"/>
      <c r="H4" s="48"/>
      <c r="I4" s="75"/>
    </row>
    <row r="5" spans="1:10" x14ac:dyDescent="0.2">
      <c r="A5" s="6" t="s">
        <v>203</v>
      </c>
      <c r="B5" s="20"/>
      <c r="C5" s="49">
        <v>0.16700000000000001</v>
      </c>
      <c r="D5" s="8"/>
      <c r="E5" s="8"/>
      <c r="F5" s="8"/>
      <c r="G5" s="8"/>
      <c r="H5" s="9"/>
      <c r="I5" s="75"/>
    </row>
    <row r="6" spans="1:10" x14ac:dyDescent="0.2">
      <c r="A6" s="6"/>
      <c r="B6" s="30"/>
      <c r="C6" s="8"/>
      <c r="D6" s="8"/>
      <c r="E6" s="8"/>
      <c r="F6" s="8"/>
      <c r="G6" s="8"/>
      <c r="H6" s="9"/>
      <c r="I6" s="75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I7" s="75"/>
    </row>
    <row r="8" spans="1:10" ht="13.2" x14ac:dyDescent="0.25">
      <c r="A8" s="56" t="s">
        <v>123</v>
      </c>
      <c r="B8" s="62"/>
      <c r="C8" s="8"/>
      <c r="D8" s="8"/>
      <c r="E8" s="8"/>
      <c r="F8" s="8"/>
      <c r="G8" s="8"/>
      <c r="H8" s="9"/>
      <c r="I8" s="75"/>
      <c r="J8" s="2"/>
    </row>
    <row r="9" spans="1:10" ht="13.2" x14ac:dyDescent="0.25">
      <c r="A9" s="57" t="s">
        <v>99</v>
      </c>
      <c r="B9" s="63"/>
      <c r="C9" s="49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6" t="s">
        <v>124</v>
      </c>
      <c r="B10" s="20" t="str">
        <f>$C$9&amp;"/kWh"</f>
        <v>US$/kWh</v>
      </c>
      <c r="C10" s="49">
        <v>5.3E-3</v>
      </c>
      <c r="D10" s="49">
        <v>5.3E-3</v>
      </c>
      <c r="E10" s="49">
        <v>5.3E-3</v>
      </c>
      <c r="F10" s="49">
        <v>5.3E-3</v>
      </c>
      <c r="G10" s="49">
        <v>5.3E-3</v>
      </c>
      <c r="H10" s="49">
        <v>5.3E-3</v>
      </c>
      <c r="I10" s="75"/>
    </row>
    <row r="11" spans="1:10" x14ac:dyDescent="0.2">
      <c r="A11" s="6" t="s">
        <v>151</v>
      </c>
      <c r="B11" s="30"/>
      <c r="C11" s="49">
        <v>169.3</v>
      </c>
      <c r="D11" s="8"/>
      <c r="E11" s="8"/>
      <c r="F11" s="8"/>
      <c r="G11" s="8"/>
      <c r="H11" s="9"/>
      <c r="I11" s="75"/>
    </row>
    <row r="12" spans="1:10" x14ac:dyDescent="0.2">
      <c r="A12" s="6" t="s">
        <v>152</v>
      </c>
      <c r="B12" s="30"/>
      <c r="C12" s="170">
        <v>231.40700000000001</v>
      </c>
      <c r="D12" s="170">
        <v>231.40700000000001</v>
      </c>
      <c r="E12" s="170">
        <v>231.40700000000001</v>
      </c>
      <c r="F12" s="170">
        <v>231.40700000000001</v>
      </c>
      <c r="G12" s="170">
        <v>231.40700000000001</v>
      </c>
      <c r="H12" s="170">
        <v>231.40700000000001</v>
      </c>
      <c r="I12" s="75"/>
    </row>
    <row r="13" spans="1:10" x14ac:dyDescent="0.2">
      <c r="A13" s="6" t="s">
        <v>126</v>
      </c>
      <c r="B13" s="20" t="str">
        <f>$C$9&amp;"/kWh"</f>
        <v>US$/kWh</v>
      </c>
      <c r="C13" s="67">
        <f t="shared" ref="C13:H13" si="0">$C$10*C12/$C$11</f>
        <v>7.2442829297105719E-3</v>
      </c>
      <c r="D13" s="67">
        <f t="shared" si="0"/>
        <v>7.2442829297105719E-3</v>
      </c>
      <c r="E13" s="67">
        <f t="shared" si="0"/>
        <v>7.2442829297105719E-3</v>
      </c>
      <c r="F13" s="67">
        <f t="shared" si="0"/>
        <v>7.2442829297105719E-3</v>
      </c>
      <c r="G13" s="67">
        <f t="shared" si="0"/>
        <v>7.2442829297105719E-3</v>
      </c>
      <c r="H13" s="71">
        <f t="shared" si="0"/>
        <v>7.2442829297105719E-3</v>
      </c>
      <c r="I13" s="75"/>
    </row>
    <row r="14" spans="1:10" x14ac:dyDescent="0.2">
      <c r="A14" s="6"/>
      <c r="B14" s="30"/>
      <c r="C14" s="12"/>
      <c r="D14" s="12"/>
      <c r="E14" s="12"/>
      <c r="F14" s="12"/>
      <c r="G14" s="12"/>
      <c r="H14" s="15"/>
      <c r="I14" s="75"/>
    </row>
    <row r="15" spans="1:10" ht="13.2" x14ac:dyDescent="0.25">
      <c r="A15" s="56" t="s">
        <v>127</v>
      </c>
      <c r="B15" s="62"/>
      <c r="C15" s="8"/>
      <c r="D15" s="8"/>
      <c r="E15" s="8"/>
      <c r="F15" s="8"/>
      <c r="G15" s="8"/>
      <c r="H15" s="9"/>
      <c r="I15" s="75"/>
    </row>
    <row r="16" spans="1:10" ht="13.2" x14ac:dyDescent="0.25">
      <c r="A16" s="57" t="s">
        <v>99</v>
      </c>
      <c r="C16" s="49" t="s">
        <v>97</v>
      </c>
      <c r="D16" s="8"/>
      <c r="E16" s="8"/>
      <c r="F16" s="8"/>
      <c r="G16" s="8"/>
      <c r="H16" s="9"/>
      <c r="I16" s="75"/>
      <c r="J16" s="2"/>
    </row>
    <row r="17" spans="1:9" x14ac:dyDescent="0.2">
      <c r="A17" s="6" t="s">
        <v>124</v>
      </c>
      <c r="B17" s="20" t="str">
        <f>$C$16&amp;"/kWh"</f>
        <v>US$/kWh</v>
      </c>
      <c r="C17" s="49">
        <v>1.47E-2</v>
      </c>
      <c r="D17" s="49">
        <v>1.47E-2</v>
      </c>
      <c r="E17" s="49">
        <v>1.47E-2</v>
      </c>
      <c r="F17" s="49">
        <v>1.47E-2</v>
      </c>
      <c r="G17" s="49">
        <v>1.47E-2</v>
      </c>
      <c r="H17" s="49">
        <v>1.47E-2</v>
      </c>
      <c r="I17" s="75"/>
    </row>
    <row r="18" spans="1:9" x14ac:dyDescent="0.2">
      <c r="A18" s="6" t="s">
        <v>128</v>
      </c>
      <c r="B18" s="20" t="str">
        <f>$C$16&amp;"/kWh"</f>
        <v>US$/kWh</v>
      </c>
      <c r="C18" s="12">
        <f t="shared" ref="C18:H18" si="1">C17</f>
        <v>1.47E-2</v>
      </c>
      <c r="D18" s="12">
        <f t="shared" si="1"/>
        <v>1.47E-2</v>
      </c>
      <c r="E18" s="12">
        <f t="shared" si="1"/>
        <v>1.47E-2</v>
      </c>
      <c r="F18" s="12">
        <f t="shared" si="1"/>
        <v>1.47E-2</v>
      </c>
      <c r="G18" s="12">
        <f t="shared" si="1"/>
        <v>1.47E-2</v>
      </c>
      <c r="H18" s="15">
        <f t="shared" si="1"/>
        <v>1.47E-2</v>
      </c>
      <c r="I18" s="75"/>
    </row>
    <row r="19" spans="1:9" x14ac:dyDescent="0.2">
      <c r="A19" s="6"/>
      <c r="B19" s="30"/>
      <c r="C19" s="8"/>
      <c r="D19" s="8"/>
      <c r="E19" s="8"/>
      <c r="F19" s="8"/>
      <c r="G19" s="8"/>
      <c r="H19" s="9"/>
      <c r="I19" s="75"/>
    </row>
    <row r="20" spans="1:9" ht="13.2" x14ac:dyDescent="0.25">
      <c r="A20" s="55" t="s">
        <v>24</v>
      </c>
      <c r="B20" s="61"/>
      <c r="C20" s="47"/>
      <c r="D20" s="47"/>
      <c r="E20" s="47"/>
      <c r="F20" s="47"/>
      <c r="G20" s="47"/>
      <c r="H20" s="48"/>
      <c r="I20" s="75"/>
    </row>
    <row r="21" spans="1:9" x14ac:dyDescent="0.2">
      <c r="A21" s="50" t="s">
        <v>89</v>
      </c>
      <c r="B21" s="8"/>
      <c r="C21" s="49" t="s">
        <v>114</v>
      </c>
      <c r="D21" s="12"/>
      <c r="E21" s="12"/>
      <c r="F21" s="12"/>
      <c r="G21" s="12"/>
      <c r="H21" s="15"/>
      <c r="I21" s="74"/>
    </row>
    <row r="22" spans="1:9" x14ac:dyDescent="0.2">
      <c r="A22" s="7" t="s">
        <v>100</v>
      </c>
      <c r="B22" s="8"/>
      <c r="C22" s="49" t="s">
        <v>103</v>
      </c>
      <c r="D22" s="12"/>
      <c r="E22" s="12"/>
      <c r="F22" s="12"/>
      <c r="G22" s="12"/>
      <c r="H22" s="15"/>
      <c r="I22" s="74"/>
    </row>
    <row r="23" spans="1:9" x14ac:dyDescent="0.2">
      <c r="A23" s="7" t="s">
        <v>99</v>
      </c>
      <c r="B23" s="8"/>
      <c r="C23" s="49" t="s">
        <v>94</v>
      </c>
      <c r="D23" s="12"/>
      <c r="E23" s="12"/>
      <c r="F23" s="12"/>
      <c r="G23" s="12"/>
      <c r="H23" s="15"/>
      <c r="I23" s="74"/>
    </row>
    <row r="24" spans="1:9" x14ac:dyDescent="0.2">
      <c r="A24" s="6" t="s">
        <v>144</v>
      </c>
      <c r="B24" s="20" t="str">
        <f>C22&amp;"/kWh"</f>
        <v>kg/kWh</v>
      </c>
      <c r="C24" s="169">
        <v>0.2258</v>
      </c>
      <c r="D24" s="8"/>
      <c r="E24" s="8"/>
      <c r="F24" s="8"/>
      <c r="G24" s="8"/>
      <c r="H24" s="9"/>
      <c r="I24" s="75"/>
    </row>
    <row r="25" spans="1:9" x14ac:dyDescent="0.2">
      <c r="A25" s="190" t="s">
        <v>469</v>
      </c>
      <c r="B25" s="191" t="str">
        <f>C23&amp;"/"&amp;C22</f>
        <v>SLR/kg</v>
      </c>
      <c r="C25" s="296">
        <v>68.58</v>
      </c>
      <c r="D25" s="296">
        <f>C25</f>
        <v>68.58</v>
      </c>
      <c r="E25" s="296">
        <f t="shared" ref="E25:H25" si="2">D25</f>
        <v>68.58</v>
      </c>
      <c r="F25" s="296">
        <f t="shared" si="2"/>
        <v>68.58</v>
      </c>
      <c r="G25" s="296">
        <f t="shared" si="2"/>
        <v>68.58</v>
      </c>
      <c r="H25" s="296">
        <f t="shared" si="2"/>
        <v>68.58</v>
      </c>
      <c r="I25" s="75"/>
    </row>
    <row r="26" spans="1:9" x14ac:dyDescent="0.2">
      <c r="A26" s="6" t="s">
        <v>25</v>
      </c>
      <c r="C26" s="188">
        <v>1.0069999999999999</v>
      </c>
      <c r="D26" s="193"/>
      <c r="E26" s="193"/>
      <c r="F26" s="193"/>
      <c r="G26" s="193"/>
      <c r="H26" s="193"/>
      <c r="I26" s="75"/>
    </row>
    <row r="27" spans="1:9" x14ac:dyDescent="0.2">
      <c r="A27" s="6" t="s">
        <v>144</v>
      </c>
      <c r="B27" s="20" t="str">
        <f>+C23&amp;"/kWh"</f>
        <v>SLR/kWh</v>
      </c>
      <c r="C27" s="69">
        <f t="shared" ref="C27:H27" si="3">C25*$C$24*$C$26</f>
        <v>15.593761547999998</v>
      </c>
      <c r="D27" s="69">
        <f t="shared" si="3"/>
        <v>15.593761547999998</v>
      </c>
      <c r="E27" s="69">
        <f t="shared" si="3"/>
        <v>15.593761547999998</v>
      </c>
      <c r="F27" s="69">
        <f t="shared" si="3"/>
        <v>15.593761547999998</v>
      </c>
      <c r="G27" s="69">
        <f t="shared" si="3"/>
        <v>15.593761547999998</v>
      </c>
      <c r="H27" s="69">
        <f t="shared" si="3"/>
        <v>15.593761547999998</v>
      </c>
      <c r="I27" s="75"/>
    </row>
    <row r="28" spans="1:9" x14ac:dyDescent="0.2">
      <c r="A28" s="6"/>
      <c r="B28" s="30"/>
      <c r="C28" s="12"/>
      <c r="D28" s="8"/>
      <c r="E28" s="8"/>
      <c r="F28" s="8"/>
      <c r="G28" s="8"/>
      <c r="H28" s="9"/>
      <c r="I28" s="75"/>
    </row>
    <row r="29" spans="1:9" x14ac:dyDescent="0.2">
      <c r="A29" s="50" t="s">
        <v>90</v>
      </c>
      <c r="B29" s="8"/>
      <c r="C29" s="49" t="s">
        <v>118</v>
      </c>
      <c r="D29" s="12"/>
      <c r="E29" s="12"/>
      <c r="F29" s="12"/>
      <c r="G29" s="12"/>
      <c r="H29" s="15"/>
      <c r="I29" s="74"/>
    </row>
    <row r="30" spans="1:9" x14ac:dyDescent="0.2">
      <c r="A30" s="7" t="s">
        <v>100</v>
      </c>
      <c r="B30" s="8"/>
      <c r="C30" s="49" t="s">
        <v>103</v>
      </c>
      <c r="D30" s="12"/>
      <c r="E30" s="12"/>
      <c r="F30" s="12"/>
      <c r="G30" s="12"/>
      <c r="H30" s="15"/>
      <c r="I30" s="74"/>
    </row>
    <row r="31" spans="1:9" x14ac:dyDescent="0.2">
      <c r="A31" s="7" t="s">
        <v>99</v>
      </c>
      <c r="B31" s="8"/>
      <c r="C31" s="49" t="s">
        <v>94</v>
      </c>
      <c r="D31" s="12"/>
      <c r="E31" s="12"/>
      <c r="F31" s="12"/>
      <c r="G31" s="12"/>
      <c r="H31" s="15"/>
      <c r="I31" s="74"/>
    </row>
    <row r="32" spans="1:9" x14ac:dyDescent="0.2">
      <c r="A32" s="6" t="s">
        <v>129</v>
      </c>
      <c r="B32" s="20" t="str">
        <f>C30&amp;"/kWh"</f>
        <v>kg/kWh</v>
      </c>
      <c r="C32" s="49">
        <v>1E-3</v>
      </c>
      <c r="D32" s="8"/>
      <c r="E32" s="8"/>
      <c r="F32" s="8"/>
      <c r="G32" s="8"/>
      <c r="H32" s="9"/>
      <c r="I32" s="75"/>
    </row>
    <row r="33" spans="1:9" x14ac:dyDescent="0.2">
      <c r="A33" s="190" t="s">
        <v>531</v>
      </c>
      <c r="B33" s="191" t="str">
        <f>C31&amp;"/"&amp;C30</f>
        <v>SLR/kg</v>
      </c>
      <c r="C33" s="296">
        <v>613.89200000000005</v>
      </c>
      <c r="D33" s="296">
        <f>C33</f>
        <v>613.89200000000005</v>
      </c>
      <c r="E33" s="296">
        <f t="shared" ref="E33:H33" si="4">D33</f>
        <v>613.89200000000005</v>
      </c>
      <c r="F33" s="296">
        <f t="shared" si="4"/>
        <v>613.89200000000005</v>
      </c>
      <c r="G33" s="296">
        <f t="shared" si="4"/>
        <v>613.89200000000005</v>
      </c>
      <c r="H33" s="296">
        <f t="shared" si="4"/>
        <v>613.89200000000005</v>
      </c>
      <c r="I33" s="75"/>
    </row>
    <row r="34" spans="1:9" x14ac:dyDescent="0.2">
      <c r="A34" s="6" t="s">
        <v>131</v>
      </c>
      <c r="B34" s="20" t="str">
        <f>+C31&amp;"/kWh"</f>
        <v>SLR/kWh</v>
      </c>
      <c r="C34" s="12">
        <f t="shared" ref="C34:H34" si="5">C33*$C$32</f>
        <v>0.6138920000000001</v>
      </c>
      <c r="D34" s="12">
        <f t="shared" si="5"/>
        <v>0.6138920000000001</v>
      </c>
      <c r="E34" s="12">
        <f t="shared" si="5"/>
        <v>0.6138920000000001</v>
      </c>
      <c r="F34" s="12">
        <f t="shared" si="5"/>
        <v>0.6138920000000001</v>
      </c>
      <c r="G34" s="12">
        <f t="shared" si="5"/>
        <v>0.6138920000000001</v>
      </c>
      <c r="H34" s="15">
        <f t="shared" si="5"/>
        <v>0.6138920000000001</v>
      </c>
      <c r="I34" s="75"/>
    </row>
    <row r="35" spans="1:9" x14ac:dyDescent="0.2">
      <c r="A35" s="6"/>
      <c r="B35" s="30"/>
      <c r="C35" s="8"/>
      <c r="D35" s="8"/>
      <c r="E35" s="8"/>
      <c r="F35" s="8"/>
      <c r="G35" s="8"/>
      <c r="H35" s="9"/>
      <c r="I35" s="75"/>
    </row>
    <row r="36" spans="1:9" x14ac:dyDescent="0.2">
      <c r="A36" s="50" t="s">
        <v>92</v>
      </c>
      <c r="B36" s="8"/>
      <c r="C36" s="49" t="s">
        <v>82</v>
      </c>
      <c r="D36" s="12"/>
      <c r="E36" s="12"/>
      <c r="F36" s="12"/>
      <c r="G36" s="12"/>
      <c r="H36" s="15"/>
      <c r="I36" s="74"/>
    </row>
    <row r="37" spans="1:9" x14ac:dyDescent="0.2">
      <c r="A37" s="7" t="s">
        <v>100</v>
      </c>
      <c r="B37" s="8"/>
      <c r="C37" s="49" t="s">
        <v>102</v>
      </c>
      <c r="D37" s="12"/>
      <c r="E37" s="12"/>
      <c r="F37" s="12"/>
      <c r="G37" s="12"/>
      <c r="H37" s="15"/>
      <c r="I37" s="74"/>
    </row>
    <row r="38" spans="1:9" x14ac:dyDescent="0.2">
      <c r="A38" s="7" t="s">
        <v>99</v>
      </c>
      <c r="B38" s="8"/>
      <c r="C38" s="49" t="s">
        <v>94</v>
      </c>
      <c r="D38" s="12"/>
      <c r="E38" s="12"/>
      <c r="F38" s="12"/>
      <c r="G38" s="12"/>
      <c r="H38" s="15"/>
      <c r="I38" s="74"/>
    </row>
    <row r="39" spans="1:9" x14ac:dyDescent="0.2">
      <c r="A39" s="6" t="s">
        <v>141</v>
      </c>
      <c r="B39" s="20" t="str">
        <f>C38&amp;"/kWh"</f>
        <v>SLR/kWh</v>
      </c>
      <c r="C39" s="21">
        <v>1.77E-2</v>
      </c>
      <c r="D39" s="8"/>
      <c r="E39" s="8"/>
      <c r="F39" s="8"/>
      <c r="G39" s="8"/>
      <c r="H39" s="9"/>
      <c r="I39" s="75"/>
    </row>
    <row r="40" spans="1:9" x14ac:dyDescent="0.2">
      <c r="A40" s="6" t="s">
        <v>142</v>
      </c>
      <c r="B40" s="20" t="str">
        <f>C38&amp;"/"&amp;C37</f>
        <v xml:space="preserve">SLR/litre </v>
      </c>
      <c r="C40" s="8">
        <v>16.2</v>
      </c>
      <c r="D40" s="8"/>
      <c r="E40" s="8"/>
      <c r="F40" s="8"/>
      <c r="G40" s="8"/>
      <c r="H40" s="9"/>
      <c r="I40" s="75"/>
    </row>
    <row r="41" spans="1:9" x14ac:dyDescent="0.2">
      <c r="A41" s="6" t="s">
        <v>143</v>
      </c>
      <c r="B41" s="20" t="str">
        <f>C38&amp;"/"&amp;C37</f>
        <v xml:space="preserve">SLR/litre </v>
      </c>
      <c r="C41" s="296">
        <v>115</v>
      </c>
      <c r="D41" s="296">
        <f>C41</f>
        <v>115</v>
      </c>
      <c r="E41" s="296">
        <f t="shared" ref="E41:H41" si="6">D41</f>
        <v>115</v>
      </c>
      <c r="F41" s="296">
        <f t="shared" si="6"/>
        <v>115</v>
      </c>
      <c r="G41" s="296">
        <f t="shared" si="6"/>
        <v>115</v>
      </c>
      <c r="H41" s="296">
        <f t="shared" si="6"/>
        <v>115</v>
      </c>
      <c r="I41" s="75"/>
    </row>
    <row r="42" spans="1:9" x14ac:dyDescent="0.2">
      <c r="A42" s="6" t="s">
        <v>141</v>
      </c>
      <c r="B42" s="20" t="str">
        <f>C38&amp;"/kWh"</f>
        <v>SLR/kWh</v>
      </c>
      <c r="C42" s="68">
        <f t="shared" ref="C42:H42" si="7">$C$39*C41/$C$40</f>
        <v>0.12564814814814815</v>
      </c>
      <c r="D42" s="68">
        <f t="shared" si="7"/>
        <v>0.12564814814814815</v>
      </c>
      <c r="E42" s="68">
        <f t="shared" si="7"/>
        <v>0.12564814814814815</v>
      </c>
      <c r="F42" s="68">
        <f t="shared" si="7"/>
        <v>0.12564814814814815</v>
      </c>
      <c r="G42" s="68">
        <f t="shared" si="7"/>
        <v>0.12564814814814815</v>
      </c>
      <c r="H42" s="72">
        <f t="shared" si="7"/>
        <v>0.12564814814814815</v>
      </c>
      <c r="I42" s="75"/>
    </row>
    <row r="43" spans="1:9" x14ac:dyDescent="0.2">
      <c r="A43" s="6"/>
      <c r="B43" s="30"/>
      <c r="C43" s="8"/>
      <c r="D43" s="8"/>
      <c r="E43" s="8"/>
      <c r="F43" s="8"/>
      <c r="G43" s="8"/>
      <c r="H43" s="9"/>
      <c r="I43" s="75"/>
    </row>
    <row r="44" spans="1:9" ht="13.2" x14ac:dyDescent="0.25">
      <c r="A44" s="58" t="s">
        <v>132</v>
      </c>
      <c r="B44" s="64"/>
      <c r="C44" s="8"/>
      <c r="D44" s="8"/>
      <c r="E44" s="8"/>
      <c r="F44" s="8"/>
      <c r="G44" s="8"/>
      <c r="H44" s="9"/>
      <c r="I44" s="75"/>
    </row>
    <row r="45" spans="1:9" x14ac:dyDescent="0.2">
      <c r="A45" s="7" t="s">
        <v>99</v>
      </c>
      <c r="B45" s="8"/>
      <c r="C45" s="49" t="s">
        <v>97</v>
      </c>
      <c r="D45" s="12"/>
      <c r="E45" s="12"/>
      <c r="F45" s="12"/>
      <c r="G45" s="12"/>
      <c r="H45" s="15"/>
      <c r="I45" s="74"/>
    </row>
    <row r="46" spans="1:9" x14ac:dyDescent="0.2">
      <c r="A46" s="6" t="s">
        <v>146</v>
      </c>
      <c r="B46" s="20" t="str">
        <f>C45&amp;"/kWh"</f>
        <v>US$/kWh</v>
      </c>
      <c r="C46" s="12">
        <v>3.3999999999999998E-3</v>
      </c>
      <c r="D46" s="8"/>
      <c r="E46" s="8"/>
      <c r="F46" s="8"/>
      <c r="G46" s="8"/>
      <c r="H46" s="9"/>
      <c r="I46" s="75"/>
    </row>
    <row r="47" spans="1:9" x14ac:dyDescent="0.2">
      <c r="A47" s="6" t="s">
        <v>147</v>
      </c>
      <c r="B47" s="20" t="str">
        <f>C45&amp;"/kWh"</f>
        <v>US$/kWh</v>
      </c>
      <c r="C47" s="12">
        <v>5.0000000000000001E-3</v>
      </c>
      <c r="D47" s="8"/>
      <c r="E47" s="8"/>
      <c r="F47" s="8"/>
      <c r="G47" s="8"/>
      <c r="H47" s="9"/>
      <c r="I47" s="75"/>
    </row>
    <row r="48" spans="1:9" x14ac:dyDescent="0.2">
      <c r="A48" s="6" t="s">
        <v>204</v>
      </c>
      <c r="B48" s="20" t="str">
        <f>C45&amp;"/kWh"</f>
        <v>US$/kWh</v>
      </c>
      <c r="C48" s="12">
        <v>5.5999999999999999E-3</v>
      </c>
      <c r="D48" s="8"/>
      <c r="E48" s="8"/>
      <c r="F48" s="8"/>
      <c r="G48" s="8"/>
      <c r="H48" s="9"/>
      <c r="I48" s="75"/>
    </row>
    <row r="49" spans="1:10" x14ac:dyDescent="0.2">
      <c r="A49" s="6" t="s">
        <v>151</v>
      </c>
      <c r="B49" s="30"/>
      <c r="C49" s="12">
        <f>C11</f>
        <v>169.3</v>
      </c>
      <c r="D49" s="8"/>
      <c r="E49" s="8"/>
      <c r="F49" s="8"/>
      <c r="G49" s="8"/>
      <c r="H49" s="9"/>
      <c r="I49" s="75"/>
    </row>
    <row r="50" spans="1:10" x14ac:dyDescent="0.2">
      <c r="A50" s="6" t="s">
        <v>152</v>
      </c>
      <c r="B50" s="30"/>
      <c r="C50" s="170">
        <f>C12</f>
        <v>231.40700000000001</v>
      </c>
      <c r="D50" s="170">
        <f>D12</f>
        <v>231.40700000000001</v>
      </c>
      <c r="E50" s="170">
        <f>E12</f>
        <v>231.40700000000001</v>
      </c>
      <c r="F50" s="170">
        <f>F12</f>
        <v>231.40700000000001</v>
      </c>
      <c r="G50" s="170">
        <f>G12</f>
        <v>231.40700000000001</v>
      </c>
      <c r="H50" s="170">
        <f>H12</f>
        <v>231.40700000000001</v>
      </c>
      <c r="I50" s="75"/>
    </row>
    <row r="51" spans="1:10" x14ac:dyDescent="0.2">
      <c r="A51" s="6" t="s">
        <v>506</v>
      </c>
      <c r="B51" s="30"/>
      <c r="C51" s="68">
        <f t="shared" ref="C51:H51" si="8">$C$48*C50/$C$49</f>
        <v>7.6543366804489076E-3</v>
      </c>
      <c r="D51" s="68">
        <f t="shared" si="8"/>
        <v>7.6543366804489076E-3</v>
      </c>
      <c r="E51" s="68">
        <f t="shared" si="8"/>
        <v>7.6543366804489076E-3</v>
      </c>
      <c r="F51" s="68">
        <f t="shared" si="8"/>
        <v>7.6543366804489076E-3</v>
      </c>
      <c r="G51" s="68">
        <f t="shared" si="8"/>
        <v>7.6543366804489076E-3</v>
      </c>
      <c r="H51" s="72">
        <f t="shared" si="8"/>
        <v>7.6543366804489076E-3</v>
      </c>
      <c r="I51" s="75"/>
    </row>
    <row r="52" spans="1:10" x14ac:dyDescent="0.2">
      <c r="A52" s="6" t="s">
        <v>425</v>
      </c>
      <c r="B52" s="30"/>
      <c r="C52" s="8"/>
      <c r="D52" s="8"/>
      <c r="E52" s="8"/>
      <c r="F52" s="8"/>
      <c r="G52" s="8"/>
      <c r="H52" s="9"/>
      <c r="I52" s="75"/>
    </row>
    <row r="53" spans="1:10" ht="12.75" customHeight="1" x14ac:dyDescent="0.3">
      <c r="A53" s="59"/>
      <c r="B53" s="65"/>
      <c r="C53" s="8"/>
      <c r="D53" s="8"/>
      <c r="E53" s="8"/>
      <c r="F53" s="8"/>
      <c r="G53" s="8"/>
      <c r="H53" s="9"/>
      <c r="I53" s="75"/>
    </row>
    <row r="54" spans="1:10" ht="12.75" customHeight="1" x14ac:dyDescent="0.25">
      <c r="A54" s="55" t="s">
        <v>189</v>
      </c>
      <c r="B54" s="61"/>
      <c r="C54" s="47"/>
      <c r="D54" s="47"/>
      <c r="E54" s="47"/>
      <c r="F54" s="47"/>
      <c r="G54" s="47"/>
      <c r="H54" s="48"/>
      <c r="I54" s="75"/>
    </row>
    <row r="55" spans="1:10" ht="12.75" customHeight="1" x14ac:dyDescent="0.25">
      <c r="A55" s="57" t="s">
        <v>190</v>
      </c>
      <c r="B55" s="20" t="s">
        <v>60</v>
      </c>
      <c r="C55" s="197"/>
      <c r="D55" s="197"/>
      <c r="E55" s="197"/>
      <c r="F55" s="197"/>
      <c r="G55" s="197"/>
      <c r="H55" s="198"/>
      <c r="I55" s="75"/>
    </row>
    <row r="56" spans="1:10" ht="12.75" customHeight="1" x14ac:dyDescent="0.25">
      <c r="A56" s="196" t="s">
        <v>191</v>
      </c>
      <c r="B56" s="199" t="s">
        <v>60</v>
      </c>
      <c r="C56" s="234">
        <v>2.9789276666666669</v>
      </c>
      <c r="D56" s="234">
        <v>2.9789276666666669</v>
      </c>
      <c r="E56" s="234">
        <v>2.9789276666666669</v>
      </c>
      <c r="F56" s="234">
        <v>2.9789276666666669</v>
      </c>
      <c r="G56" s="234">
        <v>2.9789276666666669</v>
      </c>
      <c r="H56" s="234">
        <v>2.9789276666666669</v>
      </c>
      <c r="I56" s="240"/>
    </row>
    <row r="57" spans="1:10" ht="12.75" customHeight="1" x14ac:dyDescent="0.25">
      <c r="A57" s="57"/>
      <c r="B57" s="20"/>
      <c r="C57" s="83"/>
      <c r="D57" s="83"/>
      <c r="E57" s="83"/>
      <c r="F57" s="83"/>
      <c r="G57" s="83"/>
      <c r="H57" s="198"/>
      <c r="I57" s="75"/>
    </row>
    <row r="58" spans="1:10" ht="12.75" customHeight="1" x14ac:dyDescent="0.25">
      <c r="A58" s="55" t="s">
        <v>145</v>
      </c>
      <c r="B58" s="89" t="s">
        <v>97</v>
      </c>
      <c r="C58" s="292">
        <v>129.79</v>
      </c>
      <c r="D58" s="292">
        <f>C58</f>
        <v>129.79</v>
      </c>
      <c r="E58" s="292">
        <f t="shared" ref="E58:H58" si="9">D58</f>
        <v>129.79</v>
      </c>
      <c r="F58" s="292">
        <f t="shared" si="9"/>
        <v>129.79</v>
      </c>
      <c r="G58" s="292">
        <f t="shared" si="9"/>
        <v>129.79</v>
      </c>
      <c r="H58" s="292">
        <f t="shared" si="9"/>
        <v>129.79</v>
      </c>
      <c r="I58" s="75"/>
    </row>
    <row r="59" spans="1:10" ht="13.2" thickBot="1" x14ac:dyDescent="0.25">
      <c r="A59" s="6"/>
      <c r="B59" s="30"/>
      <c r="C59" s="8"/>
      <c r="D59" s="8"/>
      <c r="E59" s="8"/>
      <c r="F59" s="8"/>
      <c r="G59" s="8"/>
      <c r="H59" s="9"/>
      <c r="I59" s="75"/>
    </row>
    <row r="60" spans="1:10" x14ac:dyDescent="0.2">
      <c r="A60" s="45" t="s">
        <v>148</v>
      </c>
      <c r="B60" s="91" t="s">
        <v>60</v>
      </c>
      <c r="C60" s="92">
        <v>0</v>
      </c>
      <c r="D60" s="92">
        <v>0</v>
      </c>
      <c r="E60" s="92">
        <v>0</v>
      </c>
      <c r="F60" s="92">
        <v>0</v>
      </c>
      <c r="G60" s="92">
        <v>0</v>
      </c>
      <c r="H60" s="93">
        <v>0</v>
      </c>
      <c r="I60" s="75"/>
      <c r="J60" s="70"/>
    </row>
    <row r="61" spans="1:10" x14ac:dyDescent="0.2">
      <c r="A61" s="6" t="s">
        <v>149</v>
      </c>
      <c r="B61" s="20" t="s">
        <v>60</v>
      </c>
      <c r="C61" s="73">
        <v>0</v>
      </c>
      <c r="D61" s="73">
        <v>0</v>
      </c>
      <c r="E61" s="73">
        <v>0</v>
      </c>
      <c r="F61" s="73">
        <v>0</v>
      </c>
      <c r="G61" s="73">
        <v>0</v>
      </c>
      <c r="H61" s="73">
        <v>0</v>
      </c>
      <c r="I61" s="75"/>
    </row>
    <row r="62" spans="1:10" x14ac:dyDescent="0.2">
      <c r="A62" s="78" t="s">
        <v>150</v>
      </c>
      <c r="B62" s="79" t="s">
        <v>39</v>
      </c>
      <c r="C62" s="80">
        <v>20</v>
      </c>
      <c r="D62" s="80">
        <v>20</v>
      </c>
      <c r="E62" s="80">
        <v>20</v>
      </c>
      <c r="F62" s="80">
        <v>20</v>
      </c>
      <c r="G62" s="80">
        <v>20</v>
      </c>
      <c r="H62" s="80">
        <v>20</v>
      </c>
      <c r="I62" s="75"/>
    </row>
    <row r="63" spans="1:10" x14ac:dyDescent="0.2">
      <c r="A63" s="78" t="s">
        <v>134</v>
      </c>
      <c r="B63" s="79" t="s">
        <v>56</v>
      </c>
      <c r="C63" s="235">
        <f>DispatchSchedule!F45</f>
        <v>0</v>
      </c>
      <c r="D63" s="235">
        <f>DispatchSchedule!G45</f>
        <v>0</v>
      </c>
      <c r="E63" s="235">
        <f>DispatchSchedule!H45</f>
        <v>0</v>
      </c>
      <c r="F63" s="235">
        <f>DispatchSchedule!I45</f>
        <v>0</v>
      </c>
      <c r="G63" s="235">
        <f>DispatchSchedule!J45</f>
        <v>0</v>
      </c>
      <c r="H63" s="235">
        <f>DispatchSchedule!K45</f>
        <v>0</v>
      </c>
      <c r="I63" s="75"/>
    </row>
    <row r="64" spans="1:10" ht="13.8" thickBot="1" x14ac:dyDescent="0.3">
      <c r="A64" s="60" t="s">
        <v>135</v>
      </c>
      <c r="B64" s="76" t="s">
        <v>88</v>
      </c>
      <c r="C64" s="186">
        <v>0</v>
      </c>
      <c r="D64" s="186">
        <v>0</v>
      </c>
      <c r="E64" s="186">
        <v>0</v>
      </c>
      <c r="F64" s="186">
        <v>0</v>
      </c>
      <c r="G64" s="186">
        <v>0</v>
      </c>
      <c r="H64" s="187">
        <v>0</v>
      </c>
      <c r="I64" s="75"/>
    </row>
    <row r="65" spans="1:8" x14ac:dyDescent="0.2">
      <c r="C65" s="236">
        <f t="shared" ref="C65:H65" si="10">C60+C61</f>
        <v>0</v>
      </c>
      <c r="D65" s="236">
        <f t="shared" si="10"/>
        <v>0</v>
      </c>
      <c r="E65" s="236">
        <f t="shared" si="10"/>
        <v>0</v>
      </c>
      <c r="F65" s="236">
        <f t="shared" si="10"/>
        <v>0</v>
      </c>
      <c r="G65" s="236">
        <f t="shared" si="10"/>
        <v>0</v>
      </c>
      <c r="H65" s="236">
        <f t="shared" si="10"/>
        <v>0</v>
      </c>
    </row>
    <row r="67" spans="1:8" x14ac:dyDescent="0.2">
      <c r="A67" s="183"/>
    </row>
    <row r="68" spans="1:8" x14ac:dyDescent="0.2">
      <c r="A68" s="192"/>
      <c r="B68" s="47"/>
      <c r="C68" s="237">
        <v>0</v>
      </c>
      <c r="D68" s="237">
        <v>0</v>
      </c>
      <c r="E68" s="237">
        <v>0</v>
      </c>
      <c r="F68" s="237">
        <v>0</v>
      </c>
      <c r="G68" s="237">
        <v>0</v>
      </c>
      <c r="H68" s="237">
        <v>0</v>
      </c>
    </row>
    <row r="69" spans="1:8" x14ac:dyDescent="0.2">
      <c r="A69" s="192"/>
    </row>
    <row r="70" spans="1:8" x14ac:dyDescent="0.2">
      <c r="A70" s="192"/>
    </row>
    <row r="71" spans="1:8" x14ac:dyDescent="0.2">
      <c r="A71" s="192"/>
    </row>
  </sheetData>
  <phoneticPr fontId="54" type="noConversion"/>
  <dataValidations count="3">
    <dataValidation type="list" allowBlank="1" showInputMessage="1" showErrorMessage="1" sqref="B58 C9 C16 C38 C23 C31 C45" xr:uid="{00000000-0002-0000-1700-000000000000}">
      <formula1>Currency</formula1>
    </dataValidation>
    <dataValidation type="list" allowBlank="1" showInputMessage="1" showErrorMessage="1" sqref="C21 C36 C29" xr:uid="{00000000-0002-0000-1700-000001000000}">
      <formula1>Combustible</formula1>
    </dataValidation>
    <dataValidation type="list" allowBlank="1" showInputMessage="1" showErrorMessage="1" sqref="C22 C37 C30" xr:uid="{00000000-0002-0000-1700-000002000000}">
      <formula1>Units</formula1>
    </dataValidation>
  </dataValidations>
  <pageMargins left="0.23" right="0.17" top="0.41" bottom="0.18" header="0.18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1">
    <tabColor rgb="FFFFC000"/>
    <pageSetUpPr fitToPage="1"/>
  </sheetPr>
  <dimension ref="A1:K92"/>
  <sheetViews>
    <sheetView showGridLines="0" view="pageBreakPreview" topLeftCell="A33" zoomScale="90" zoomScaleNormal="85" zoomScaleSheetLayoutView="90" workbookViewId="0">
      <selection activeCell="C30" sqref="C30"/>
    </sheetView>
  </sheetViews>
  <sheetFormatPr defaultRowHeight="12.6" x14ac:dyDescent="0.2"/>
  <cols>
    <col min="1" max="1" width="43.26953125" customWidth="1"/>
    <col min="2" max="2" width="10.08984375" style="2" customWidth="1"/>
    <col min="3" max="3" width="23.7265625" bestFit="1" customWidth="1"/>
    <col min="4" max="4" width="21.453125" customWidth="1"/>
    <col min="5" max="5" width="19.90625" customWidth="1"/>
    <col min="6" max="7" width="18" customWidth="1"/>
    <col min="8" max="8" width="23.08984375" customWidth="1"/>
    <col min="9" max="9" width="54.7265625" customWidth="1"/>
  </cols>
  <sheetData>
    <row r="1" spans="1:9" ht="17.399999999999999" x14ac:dyDescent="0.3">
      <c r="A1" s="53" t="s">
        <v>1149</v>
      </c>
      <c r="B1" s="131"/>
      <c r="C1" s="154"/>
      <c r="E1" s="436"/>
      <c r="F1" s="257"/>
      <c r="I1" s="561"/>
    </row>
    <row r="2" spans="1:9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9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</row>
    <row r="4" spans="1:9" ht="13.2" x14ac:dyDescent="0.25">
      <c r="A4" s="147" t="s">
        <v>122</v>
      </c>
      <c r="B4" s="151"/>
      <c r="C4" s="466"/>
      <c r="D4" s="466"/>
      <c r="E4" s="466"/>
      <c r="F4" s="466"/>
      <c r="G4" s="467"/>
      <c r="H4" s="2006"/>
    </row>
    <row r="5" spans="1:9" ht="13.2" x14ac:dyDescent="0.25">
      <c r="A5" s="136" t="s">
        <v>310</v>
      </c>
      <c r="B5" s="513"/>
      <c r="C5" s="155">
        <f>C6+C17+C18</f>
        <v>7602528.4953791499</v>
      </c>
      <c r="D5" s="134">
        <f t="shared" ref="D5:H5" si="0">D6+D17+D18</f>
        <v>7602528.4953791499</v>
      </c>
      <c r="E5" s="134">
        <f t="shared" si="0"/>
        <v>7602528.4953791499</v>
      </c>
      <c r="F5" s="134">
        <f t="shared" si="0"/>
        <v>7602528.4953791499</v>
      </c>
      <c r="G5" s="134">
        <f t="shared" si="0"/>
        <v>7602528.4953791499</v>
      </c>
      <c r="H5" s="2007">
        <f t="shared" si="0"/>
        <v>7602528.4953791499</v>
      </c>
      <c r="I5" s="2"/>
    </row>
    <row r="6" spans="1:9" x14ac:dyDescent="0.2">
      <c r="A6" s="6" t="s">
        <v>311</v>
      </c>
      <c r="B6" s="12" t="s">
        <v>312</v>
      </c>
      <c r="C6" s="1072">
        <f>+C7+C8+C9+C10+C11+C12+C13+C14</f>
        <v>6044890.6500000004</v>
      </c>
      <c r="D6" s="1072">
        <f t="shared" ref="D6:H6" si="1">+D7+D8+D9+D10+D11+D12+D13+D14</f>
        <v>6044890.6500000004</v>
      </c>
      <c r="E6" s="1072">
        <f t="shared" si="1"/>
        <v>6044890.6500000004</v>
      </c>
      <c r="F6" s="1072">
        <f t="shared" si="1"/>
        <v>6044890.6500000004</v>
      </c>
      <c r="G6" s="1072">
        <f t="shared" si="1"/>
        <v>6044890.6500000004</v>
      </c>
      <c r="H6" s="2008">
        <f t="shared" si="1"/>
        <v>6044890.6500000004</v>
      </c>
      <c r="I6" s="159"/>
    </row>
    <row r="7" spans="1:9" x14ac:dyDescent="0.2">
      <c r="A7" s="1051" t="s">
        <v>753</v>
      </c>
      <c r="B7" s="12"/>
      <c r="C7" s="1727">
        <v>1235418.33</v>
      </c>
      <c r="D7" s="1727">
        <v>1235418.33</v>
      </c>
      <c r="E7" s="1727">
        <v>1235418.33</v>
      </c>
      <c r="F7" s="1727">
        <v>1235418.33</v>
      </c>
      <c r="G7" s="1727">
        <v>1235418.33</v>
      </c>
      <c r="H7" s="2009">
        <v>1235418.33</v>
      </c>
      <c r="I7" s="159"/>
    </row>
    <row r="8" spans="1:9" x14ac:dyDescent="0.2">
      <c r="A8" s="1051" t="s">
        <v>758</v>
      </c>
      <c r="B8" s="12"/>
      <c r="C8" s="1727">
        <v>185351.83</v>
      </c>
      <c r="D8" s="1727">
        <v>185351.83</v>
      </c>
      <c r="E8" s="1727">
        <v>185351.83</v>
      </c>
      <c r="F8" s="1727">
        <v>185351.83</v>
      </c>
      <c r="G8" s="1727">
        <v>185351.83</v>
      </c>
      <c r="H8" s="2009">
        <v>185351.83</v>
      </c>
      <c r="I8" s="159"/>
    </row>
    <row r="9" spans="1:9" x14ac:dyDescent="0.2">
      <c r="A9" s="1051" t="s">
        <v>754</v>
      </c>
      <c r="B9" s="12"/>
      <c r="C9" s="1727">
        <v>67041.83</v>
      </c>
      <c r="D9" s="1727">
        <v>67041.83</v>
      </c>
      <c r="E9" s="1727">
        <v>67041.83</v>
      </c>
      <c r="F9" s="1727">
        <v>67041.83</v>
      </c>
      <c r="G9" s="1727">
        <v>67041.83</v>
      </c>
      <c r="H9" s="2009">
        <v>67041.83</v>
      </c>
      <c r="I9" s="159"/>
    </row>
    <row r="10" spans="1:9" x14ac:dyDescent="0.2">
      <c r="A10" s="1051" t="s">
        <v>755</v>
      </c>
      <c r="B10" s="12"/>
      <c r="C10" s="1727">
        <v>55066.83</v>
      </c>
      <c r="D10" s="1727">
        <v>55066.83</v>
      </c>
      <c r="E10" s="1727">
        <v>55066.83</v>
      </c>
      <c r="F10" s="1727">
        <v>55066.83</v>
      </c>
      <c r="G10" s="1727">
        <v>55066.83</v>
      </c>
      <c r="H10" s="2009">
        <v>55066.83</v>
      </c>
      <c r="I10" s="159"/>
    </row>
    <row r="11" spans="1:9" x14ac:dyDescent="0.2">
      <c r="A11" s="1051" t="s">
        <v>752</v>
      </c>
      <c r="B11" s="12"/>
      <c r="C11" s="1730">
        <v>3673333.33</v>
      </c>
      <c r="D11" s="1730">
        <v>3673333.33</v>
      </c>
      <c r="E11" s="1730">
        <v>3673333.33</v>
      </c>
      <c r="F11" s="1730">
        <v>3673333.33</v>
      </c>
      <c r="G11" s="1730">
        <v>3673333.33</v>
      </c>
      <c r="H11" s="2010">
        <v>3673333.33</v>
      </c>
      <c r="I11" s="159"/>
    </row>
    <row r="12" spans="1:9" x14ac:dyDescent="0.2">
      <c r="A12" s="1051" t="s">
        <v>757</v>
      </c>
      <c r="B12" s="12"/>
      <c r="C12" s="1727">
        <v>625678.5</v>
      </c>
      <c r="D12" s="1727">
        <v>625678.5</v>
      </c>
      <c r="E12" s="1727">
        <v>625678.5</v>
      </c>
      <c r="F12" s="1727">
        <v>625678.5</v>
      </c>
      <c r="G12" s="1727">
        <v>625678.5</v>
      </c>
      <c r="H12" s="2009">
        <v>625678.5</v>
      </c>
      <c r="I12" s="159"/>
    </row>
    <row r="13" spans="1:9" x14ac:dyDescent="0.2">
      <c r="A13" s="1051" t="s">
        <v>756</v>
      </c>
      <c r="B13" s="12"/>
      <c r="C13" s="1727">
        <v>0</v>
      </c>
      <c r="D13" s="1727">
        <v>0</v>
      </c>
      <c r="E13" s="1727">
        <v>0</v>
      </c>
      <c r="F13" s="1727">
        <v>0</v>
      </c>
      <c r="G13" s="1727">
        <v>0</v>
      </c>
      <c r="H13" s="2009">
        <v>0</v>
      </c>
      <c r="I13" s="159"/>
    </row>
    <row r="14" spans="1:9" x14ac:dyDescent="0.2">
      <c r="A14" s="1051" t="s">
        <v>1056</v>
      </c>
      <c r="B14" s="12"/>
      <c r="C14" s="1727">
        <v>203000</v>
      </c>
      <c r="D14" s="1727">
        <v>203000</v>
      </c>
      <c r="E14" s="1727">
        <v>203000</v>
      </c>
      <c r="F14" s="1727">
        <v>203000</v>
      </c>
      <c r="G14" s="1727">
        <v>203000</v>
      </c>
      <c r="H14" s="2009">
        <v>203000</v>
      </c>
      <c r="I14" s="159"/>
    </row>
    <row r="15" spans="1:9" x14ac:dyDescent="0.2">
      <c r="A15" s="1060" t="s">
        <v>782</v>
      </c>
      <c r="B15" s="12"/>
      <c r="C15" s="1727"/>
      <c r="D15" s="1727">
        <v>0</v>
      </c>
      <c r="E15" s="1727">
        <v>0</v>
      </c>
      <c r="F15" s="1727">
        <v>0</v>
      </c>
      <c r="G15" s="1727">
        <v>0</v>
      </c>
      <c r="H15" s="2009">
        <v>0</v>
      </c>
      <c r="I15" s="159"/>
    </row>
    <row r="16" spans="1:9" x14ac:dyDescent="0.2">
      <c r="A16" s="1060" t="s">
        <v>783</v>
      </c>
      <c r="B16" s="12"/>
      <c r="C16" s="1727"/>
      <c r="D16" s="1727">
        <v>0</v>
      </c>
      <c r="E16" s="1727">
        <v>0</v>
      </c>
      <c r="F16" s="1727">
        <v>0</v>
      </c>
      <c r="G16" s="1727">
        <v>0</v>
      </c>
      <c r="H16" s="2009">
        <v>0</v>
      </c>
      <c r="I16" s="159"/>
    </row>
    <row r="17" spans="1:11" x14ac:dyDescent="0.2">
      <c r="A17" s="6" t="s">
        <v>313</v>
      </c>
      <c r="B17" s="12" t="s">
        <v>312</v>
      </c>
      <c r="C17" s="1730">
        <v>497738.54097303702</v>
      </c>
      <c r="D17" s="1730">
        <v>497738.54097303702</v>
      </c>
      <c r="E17" s="1730">
        <v>497738.54097303702</v>
      </c>
      <c r="F17" s="1730">
        <v>497738.54097303702</v>
      </c>
      <c r="G17" s="1730">
        <v>497738.54097303702</v>
      </c>
      <c r="H17" s="1730">
        <v>497738.54097303702</v>
      </c>
      <c r="I17" s="159"/>
    </row>
    <row r="18" spans="1:11" x14ac:dyDescent="0.2">
      <c r="A18" s="468" t="s">
        <v>852</v>
      </c>
      <c r="B18" s="12" t="s">
        <v>312</v>
      </c>
      <c r="C18" s="1731">
        <v>1059899.3044061123</v>
      </c>
      <c r="D18" s="1731">
        <v>1059899.3044061123</v>
      </c>
      <c r="E18" s="1731">
        <v>1059899.3044061123</v>
      </c>
      <c r="F18" s="1731">
        <v>1059899.3044061123</v>
      </c>
      <c r="G18" s="1731">
        <v>1059899.3044061123</v>
      </c>
      <c r="H18" s="1731">
        <v>1059899.3044061123</v>
      </c>
      <c r="I18" s="2"/>
      <c r="K18" s="1035"/>
    </row>
    <row r="19" spans="1:11" x14ac:dyDescent="0.2">
      <c r="A19" s="6" t="s">
        <v>315</v>
      </c>
      <c r="B19" s="12"/>
      <c r="C19" s="501"/>
      <c r="D19" s="501"/>
      <c r="E19" s="501"/>
      <c r="F19" s="501"/>
      <c r="G19" s="501"/>
      <c r="H19" s="2011"/>
      <c r="K19" s="241"/>
    </row>
    <row r="20" spans="1:11" x14ac:dyDescent="0.2">
      <c r="A20" s="6" t="s">
        <v>316</v>
      </c>
      <c r="B20" s="12"/>
      <c r="C20" s="297"/>
      <c r="D20" s="297"/>
      <c r="E20" s="297"/>
      <c r="F20" s="297"/>
      <c r="G20" s="297"/>
      <c r="H20" s="2012"/>
    </row>
    <row r="21" spans="1:11" x14ac:dyDescent="0.2">
      <c r="A21" s="6"/>
      <c r="B21" s="12"/>
      <c r="C21" s="134"/>
      <c r="D21" s="134"/>
      <c r="E21" s="134"/>
      <c r="F21" s="134"/>
      <c r="G21" s="2"/>
      <c r="H21" s="198"/>
    </row>
    <row r="22" spans="1:11" ht="13.2" x14ac:dyDescent="0.25">
      <c r="A22" s="136" t="s">
        <v>317</v>
      </c>
      <c r="B22" s="513"/>
      <c r="C22" s="134"/>
      <c r="D22" s="134"/>
      <c r="E22" s="134"/>
      <c r="F22" s="134"/>
      <c r="G22" s="2"/>
      <c r="H22" s="171"/>
    </row>
    <row r="23" spans="1:11" x14ac:dyDescent="0.2">
      <c r="A23" s="6" t="s">
        <v>318</v>
      </c>
      <c r="B23" s="12" t="s">
        <v>312</v>
      </c>
      <c r="C23" s="506">
        <v>0</v>
      </c>
      <c r="D23" s="506">
        <v>0</v>
      </c>
      <c r="E23" s="506">
        <v>0</v>
      </c>
      <c r="F23" s="506">
        <v>0</v>
      </c>
      <c r="G23" s="506">
        <v>0</v>
      </c>
      <c r="H23" s="2043">
        <v>0</v>
      </c>
      <c r="I23" s="2"/>
    </row>
    <row r="24" spans="1:11" x14ac:dyDescent="0.2">
      <c r="A24" s="6"/>
      <c r="B24" s="12"/>
      <c r="D24" s="134"/>
      <c r="E24" s="134"/>
      <c r="F24" s="134"/>
      <c r="G24" s="2"/>
      <c r="H24" s="171"/>
    </row>
    <row r="25" spans="1:11" ht="13.2" x14ac:dyDescent="0.25">
      <c r="A25" s="464" t="s">
        <v>24</v>
      </c>
      <c r="B25" s="151"/>
      <c r="C25" s="466"/>
      <c r="D25" s="466"/>
      <c r="E25" s="466"/>
      <c r="F25" s="466"/>
      <c r="G25" s="467"/>
      <c r="H25" s="2006"/>
    </row>
    <row r="26" spans="1:11" x14ac:dyDescent="0.2">
      <c r="A26" s="465" t="s">
        <v>89</v>
      </c>
      <c r="B26" s="514" t="s">
        <v>370</v>
      </c>
      <c r="C26" s="466"/>
      <c r="D26" s="466"/>
      <c r="E26" s="466"/>
      <c r="F26" s="466"/>
      <c r="G26" s="467"/>
      <c r="H26" s="2013"/>
    </row>
    <row r="27" spans="1:11" x14ac:dyDescent="0.2">
      <c r="A27" s="7" t="s">
        <v>100</v>
      </c>
      <c r="B27" s="12" t="s">
        <v>371</v>
      </c>
      <c r="C27" s="134"/>
      <c r="D27" s="134"/>
      <c r="E27" s="134"/>
      <c r="F27" s="134"/>
      <c r="G27" s="2"/>
      <c r="H27" s="198"/>
    </row>
    <row r="28" spans="1:11" x14ac:dyDescent="0.2">
      <c r="A28" s="7" t="s">
        <v>99</v>
      </c>
      <c r="B28" s="12" t="s">
        <v>372</v>
      </c>
      <c r="C28" s="134"/>
      <c r="D28" s="134"/>
      <c r="E28" s="134"/>
      <c r="F28" s="134"/>
      <c r="G28" s="2"/>
      <c r="H28" s="198"/>
    </row>
    <row r="29" spans="1:11" x14ac:dyDescent="0.2">
      <c r="A29" s="6" t="s">
        <v>144</v>
      </c>
      <c r="B29" s="12" t="s">
        <v>373</v>
      </c>
      <c r="C29" s="1877">
        <v>0.25580000000000003</v>
      </c>
      <c r="D29" s="1877">
        <v>0.25580000000000003</v>
      </c>
      <c r="E29" s="1877">
        <v>0.25580000000000003</v>
      </c>
      <c r="F29" s="1877">
        <v>0.25580000000000003</v>
      </c>
      <c r="G29" s="1877">
        <v>0.25580000000000003</v>
      </c>
      <c r="H29" s="2014">
        <v>0.25580000000000003</v>
      </c>
      <c r="I29" s="1820"/>
    </row>
    <row r="30" spans="1:11" x14ac:dyDescent="0.2">
      <c r="A30" s="6" t="s">
        <v>87</v>
      </c>
      <c r="B30" s="12" t="s">
        <v>374</v>
      </c>
      <c r="C30" s="2015" t="e">
        <f>Inputs!#REF!</f>
        <v>#REF!</v>
      </c>
      <c r="D30" s="2015" t="e">
        <f>Inputs!#REF!</f>
        <v>#REF!</v>
      </c>
      <c r="E30" s="2015" t="e">
        <f>Inputs!#REF!</f>
        <v>#REF!</v>
      </c>
      <c r="F30" s="2015" t="e">
        <f>Inputs!#REF!</f>
        <v>#REF!</v>
      </c>
      <c r="G30" s="2015" t="e">
        <f>Inputs!#REF!</f>
        <v>#REF!</v>
      </c>
      <c r="H30" s="2016" t="e">
        <f>Inputs!#REF!</f>
        <v>#REF!</v>
      </c>
    </row>
    <row r="31" spans="1:11" x14ac:dyDescent="0.2">
      <c r="A31" s="6" t="s">
        <v>375</v>
      </c>
      <c r="B31" s="12" t="s">
        <v>214</v>
      </c>
      <c r="C31" s="155" t="e">
        <f>C29*C30</f>
        <v>#REF!</v>
      </c>
      <c r="D31" s="155" t="e">
        <f t="shared" ref="D31:H31" si="2">D29*D30</f>
        <v>#REF!</v>
      </c>
      <c r="E31" s="155" t="e">
        <f t="shared" si="2"/>
        <v>#REF!</v>
      </c>
      <c r="F31" s="155" t="e">
        <f t="shared" si="2"/>
        <v>#REF!</v>
      </c>
      <c r="G31" s="155" t="e">
        <f t="shared" si="2"/>
        <v>#REF!</v>
      </c>
      <c r="H31" s="2017" t="e">
        <f t="shared" si="2"/>
        <v>#REF!</v>
      </c>
    </row>
    <row r="32" spans="1:11" x14ac:dyDescent="0.2">
      <c r="A32" s="2018" t="s">
        <v>134</v>
      </c>
      <c r="B32" s="40" t="s">
        <v>56</v>
      </c>
      <c r="C32" s="2019" t="e">
        <f>DispatchSchedule!#REF!</f>
        <v>#REF!</v>
      </c>
      <c r="D32" s="2019" t="e">
        <f>DispatchSchedule!#REF!</f>
        <v>#REF!</v>
      </c>
      <c r="E32" s="2019" t="e">
        <f>DispatchSchedule!#REF!</f>
        <v>#REF!</v>
      </c>
      <c r="F32" s="2019" t="e">
        <f>DispatchSchedule!#REF!</f>
        <v>#REF!</v>
      </c>
      <c r="G32" s="2019" t="e">
        <f>DispatchSchedule!#REF!</f>
        <v>#REF!</v>
      </c>
      <c r="H32" s="2020" t="e">
        <f>DispatchSchedule!#REF!</f>
        <v>#REF!</v>
      </c>
    </row>
    <row r="33" spans="1:9" x14ac:dyDescent="0.2">
      <c r="A33" s="6"/>
      <c r="B33" s="12"/>
      <c r="C33" s="155"/>
      <c r="D33" s="155"/>
      <c r="E33" s="155"/>
      <c r="F33" s="155"/>
      <c r="G33" s="155"/>
      <c r="H33" s="2017"/>
    </row>
    <row r="34" spans="1:9" ht="13.2" x14ac:dyDescent="0.25">
      <c r="A34" s="147" t="s">
        <v>132</v>
      </c>
      <c r="B34" s="151"/>
      <c r="C34" s="466"/>
      <c r="D34" s="466"/>
      <c r="E34" s="466"/>
      <c r="F34" s="466"/>
      <c r="G34" s="467"/>
      <c r="H34" s="2006"/>
    </row>
    <row r="35" spans="1:9" x14ac:dyDescent="0.2">
      <c r="A35" s="6" t="s">
        <v>376</v>
      </c>
      <c r="B35" s="12" t="s">
        <v>312</v>
      </c>
      <c r="C35" s="1334">
        <v>1827775.67</v>
      </c>
      <c r="D35" s="1334">
        <v>1827775.67</v>
      </c>
      <c r="E35" s="1334">
        <v>1827775.67</v>
      </c>
      <c r="F35" s="1334">
        <v>1827775.67</v>
      </c>
      <c r="G35" s="1334">
        <v>1827775.67</v>
      </c>
      <c r="H35" s="1334">
        <v>1827775.67</v>
      </c>
    </row>
    <row r="36" spans="1:9" x14ac:dyDescent="0.2">
      <c r="A36" s="6" t="s">
        <v>376</v>
      </c>
      <c r="B36" s="12" t="s">
        <v>377</v>
      </c>
      <c r="C36" s="134"/>
      <c r="D36" s="134"/>
      <c r="E36" s="134"/>
      <c r="F36" s="134"/>
      <c r="G36" s="2"/>
      <c r="H36" s="171"/>
    </row>
    <row r="37" spans="1:9" x14ac:dyDescent="0.2">
      <c r="A37" s="6" t="s">
        <v>315</v>
      </c>
      <c r="B37" s="12"/>
      <c r="C37" s="138">
        <f t="shared" ref="C37:H38" si="3">C19</f>
        <v>0</v>
      </c>
      <c r="D37" s="138">
        <f t="shared" si="3"/>
        <v>0</v>
      </c>
      <c r="E37" s="138">
        <f t="shared" si="3"/>
        <v>0</v>
      </c>
      <c r="F37" s="138">
        <f t="shared" si="3"/>
        <v>0</v>
      </c>
      <c r="G37" s="138">
        <f t="shared" si="3"/>
        <v>0</v>
      </c>
      <c r="H37" s="2022">
        <f t="shared" si="3"/>
        <v>0</v>
      </c>
    </row>
    <row r="38" spans="1:9" x14ac:dyDescent="0.2">
      <c r="A38" s="6" t="s">
        <v>316</v>
      </c>
      <c r="B38" s="12"/>
      <c r="C38" s="138">
        <f t="shared" si="3"/>
        <v>0</v>
      </c>
      <c r="D38" s="138">
        <f t="shared" si="3"/>
        <v>0</v>
      </c>
      <c r="E38" s="138">
        <f t="shared" si="3"/>
        <v>0</v>
      </c>
      <c r="F38" s="138">
        <f t="shared" si="3"/>
        <v>0</v>
      </c>
      <c r="G38" s="138">
        <f t="shared" si="3"/>
        <v>0</v>
      </c>
      <c r="H38" s="2022">
        <f t="shared" si="3"/>
        <v>0</v>
      </c>
    </row>
    <row r="39" spans="1:9" x14ac:dyDescent="0.2">
      <c r="A39" s="6" t="s">
        <v>378</v>
      </c>
      <c r="B39" s="12"/>
      <c r="C39" s="138"/>
      <c r="D39" s="134"/>
      <c r="E39" s="134"/>
      <c r="F39" s="134"/>
      <c r="G39" s="2"/>
      <c r="H39" s="2023"/>
    </row>
    <row r="40" spans="1:9" x14ac:dyDescent="0.2">
      <c r="A40" s="6" t="s">
        <v>379</v>
      </c>
      <c r="B40" s="12"/>
      <c r="C40" s="138"/>
      <c r="D40" s="134"/>
      <c r="E40" s="134"/>
      <c r="F40" s="134"/>
      <c r="G40" s="2"/>
      <c r="H40" s="2023"/>
    </row>
    <row r="41" spans="1:9" ht="13.2" x14ac:dyDescent="0.25">
      <c r="A41" s="147" t="s">
        <v>380</v>
      </c>
      <c r="B41" s="90"/>
      <c r="C41" s="466"/>
      <c r="D41" s="466"/>
      <c r="E41" s="466"/>
      <c r="F41" s="466"/>
      <c r="G41" s="467"/>
      <c r="H41" s="2024"/>
    </row>
    <row r="42" spans="1:9" s="183" customFormat="1" x14ac:dyDescent="0.2">
      <c r="A42" s="468" t="s">
        <v>381</v>
      </c>
      <c r="B42" s="418" t="s">
        <v>382</v>
      </c>
      <c r="C42" s="1334"/>
      <c r="D42" s="1334"/>
      <c r="E42" s="1334"/>
      <c r="F42" s="1334"/>
      <c r="G42" s="1334"/>
      <c r="H42" s="2027"/>
    </row>
    <row r="43" spans="1:9" s="183" customFormat="1" x14ac:dyDescent="0.2">
      <c r="A43" s="468" t="s">
        <v>383</v>
      </c>
      <c r="B43" s="418" t="s">
        <v>382</v>
      </c>
      <c r="C43" s="1827">
        <v>5805</v>
      </c>
      <c r="D43" s="1827">
        <v>5805</v>
      </c>
      <c r="E43" s="1827">
        <v>5805</v>
      </c>
      <c r="F43" s="1827">
        <v>5805</v>
      </c>
      <c r="G43" s="1827">
        <v>5805</v>
      </c>
      <c r="H43" s="2044">
        <v>5805</v>
      </c>
    </row>
    <row r="44" spans="1:9" ht="12.75" customHeight="1" x14ac:dyDescent="0.2">
      <c r="A44" s="6"/>
      <c r="B44" s="12"/>
      <c r="C44" s="134"/>
      <c r="D44" s="134"/>
      <c r="E44" s="134"/>
      <c r="F44" s="134"/>
      <c r="G44" s="134"/>
      <c r="H44" s="2007"/>
    </row>
    <row r="45" spans="1:9" x14ac:dyDescent="0.2">
      <c r="A45" s="6" t="s">
        <v>384</v>
      </c>
      <c r="B45" s="12" t="s">
        <v>385</v>
      </c>
      <c r="C45" s="1334"/>
      <c r="D45" s="1334"/>
      <c r="E45" s="1334"/>
      <c r="F45" s="1334"/>
      <c r="G45" s="1334"/>
      <c r="H45" s="2027"/>
      <c r="I45" s="183"/>
    </row>
    <row r="46" spans="1:9" x14ac:dyDescent="0.2">
      <c r="A46" s="6" t="s">
        <v>386</v>
      </c>
      <c r="B46" s="12" t="s">
        <v>385</v>
      </c>
      <c r="C46" s="1334">
        <v>134</v>
      </c>
      <c r="D46" s="1334">
        <v>134</v>
      </c>
      <c r="E46" s="1334">
        <v>134</v>
      </c>
      <c r="F46" s="1334">
        <v>134</v>
      </c>
      <c r="G46" s="1334">
        <v>134</v>
      </c>
      <c r="H46" s="2027">
        <v>134</v>
      </c>
    </row>
    <row r="47" spans="1:9" x14ac:dyDescent="0.2">
      <c r="A47" s="6"/>
      <c r="B47" s="12"/>
      <c r="C47" s="134"/>
      <c r="D47" s="134"/>
      <c r="E47" s="134"/>
      <c r="F47" s="134"/>
      <c r="G47" s="2"/>
      <c r="H47" s="2028"/>
    </row>
    <row r="48" spans="1:9" ht="13.2" x14ac:dyDescent="0.25">
      <c r="A48" s="2029" t="s">
        <v>148</v>
      </c>
      <c r="B48" s="516" t="s">
        <v>320</v>
      </c>
      <c r="C48" s="379">
        <f t="shared" ref="C48:H48" si="4">C6+C17+C18+C23</f>
        <v>7602528.4953791499</v>
      </c>
      <c r="D48" s="379">
        <f t="shared" si="4"/>
        <v>7602528.4953791499</v>
      </c>
      <c r="E48" s="379">
        <f t="shared" si="4"/>
        <v>7602528.4953791499</v>
      </c>
      <c r="F48" s="379">
        <f t="shared" si="4"/>
        <v>7602528.4953791499</v>
      </c>
      <c r="G48" s="379">
        <f t="shared" si="4"/>
        <v>7602528.4953791499</v>
      </c>
      <c r="H48" s="2030">
        <f t="shared" si="4"/>
        <v>7602528.4953791499</v>
      </c>
      <c r="I48" s="183"/>
    </row>
    <row r="49" spans="1:9" ht="13.2" x14ac:dyDescent="0.25">
      <c r="A49" s="6" t="s">
        <v>149</v>
      </c>
      <c r="B49" s="517" t="s">
        <v>320</v>
      </c>
      <c r="C49" s="134" t="e">
        <f>+(1000000*(C31*C32))+C35</f>
        <v>#REF!</v>
      </c>
      <c r="D49" s="134" t="e">
        <f t="shared" ref="D49:H49" si="5">+(1000000*(D31*D32))+D35</f>
        <v>#REF!</v>
      </c>
      <c r="E49" s="134" t="e">
        <f t="shared" si="5"/>
        <v>#REF!</v>
      </c>
      <c r="F49" s="134" t="e">
        <f t="shared" si="5"/>
        <v>#REF!</v>
      </c>
      <c r="G49" s="134" t="e">
        <f t="shared" si="5"/>
        <v>#REF!</v>
      </c>
      <c r="H49" s="2007" t="e">
        <f t="shared" si="5"/>
        <v>#REF!</v>
      </c>
    </row>
    <row r="50" spans="1:9" ht="13.2" x14ac:dyDescent="0.25">
      <c r="A50" s="6" t="s">
        <v>387</v>
      </c>
      <c r="B50" s="517" t="s">
        <v>320</v>
      </c>
      <c r="C50" s="134">
        <f>C42*C45+C43*C46</f>
        <v>777870</v>
      </c>
      <c r="D50" s="134">
        <f t="shared" ref="D50:H50" si="6">D42*D45+D43*D46</f>
        <v>777870</v>
      </c>
      <c r="E50" s="134">
        <f t="shared" si="6"/>
        <v>777870</v>
      </c>
      <c r="F50" s="134">
        <f t="shared" si="6"/>
        <v>777870</v>
      </c>
      <c r="G50" s="134">
        <f t="shared" si="6"/>
        <v>777870</v>
      </c>
      <c r="H50" s="2007">
        <f t="shared" si="6"/>
        <v>777870</v>
      </c>
    </row>
    <row r="51" spans="1:9" ht="13.2" x14ac:dyDescent="0.25">
      <c r="A51" s="6" t="s">
        <v>150</v>
      </c>
      <c r="B51" s="517" t="s">
        <v>39</v>
      </c>
      <c r="C51" s="500">
        <v>8</v>
      </c>
      <c r="D51" s="500">
        <v>8</v>
      </c>
      <c r="E51" s="500">
        <v>8</v>
      </c>
      <c r="F51" s="500">
        <v>8</v>
      </c>
      <c r="G51" s="500">
        <v>8</v>
      </c>
      <c r="H51" s="2021">
        <v>8</v>
      </c>
      <c r="I51" s="183">
        <f>18+(3*16)</f>
        <v>66</v>
      </c>
    </row>
    <row r="52" spans="1:9" ht="13.2" x14ac:dyDescent="0.25">
      <c r="A52" s="2018" t="s">
        <v>134</v>
      </c>
      <c r="B52" s="517" t="s">
        <v>388</v>
      </c>
      <c r="C52" s="134" t="e">
        <f>DispatchSchedule!#REF!*1000000</f>
        <v>#REF!</v>
      </c>
      <c r="D52" s="134" t="e">
        <f>DispatchSchedule!#REF!*1000000</f>
        <v>#REF!</v>
      </c>
      <c r="E52" s="134" t="e">
        <f>DispatchSchedule!#REF!*1000000</f>
        <v>#REF!</v>
      </c>
      <c r="F52" s="134" t="e">
        <f>DispatchSchedule!#REF!*1000000</f>
        <v>#REF!</v>
      </c>
      <c r="G52" s="134" t="e">
        <f>DispatchSchedule!#REF!*1000000</f>
        <v>#REF!</v>
      </c>
      <c r="H52" s="2007" t="e">
        <f>DispatchSchedule!#REF!*1000000</f>
        <v>#REF!</v>
      </c>
    </row>
    <row r="53" spans="1:9" ht="13.2" x14ac:dyDescent="0.25">
      <c r="A53" s="465" t="s">
        <v>805</v>
      </c>
      <c r="B53" s="151" t="s">
        <v>214</v>
      </c>
      <c r="C53" s="142" t="e">
        <f>IF(C52=0,0,(C49/C52))</f>
        <v>#REF!</v>
      </c>
      <c r="D53" s="142" t="e">
        <f t="shared" ref="D53:H53" si="7">IF(D52=0,0,(D49/D52))</f>
        <v>#REF!</v>
      </c>
      <c r="E53" s="142" t="e">
        <f t="shared" si="7"/>
        <v>#REF!</v>
      </c>
      <c r="F53" s="142" t="e">
        <f t="shared" si="7"/>
        <v>#REF!</v>
      </c>
      <c r="G53" s="142" t="e">
        <f t="shared" si="7"/>
        <v>#REF!</v>
      </c>
      <c r="H53" s="2031" t="e">
        <f t="shared" si="7"/>
        <v>#REF!</v>
      </c>
    </row>
    <row r="54" spans="1:9" ht="13.2" x14ac:dyDescent="0.25">
      <c r="A54" s="2032" t="s">
        <v>804</v>
      </c>
      <c r="B54" s="508" t="s">
        <v>214</v>
      </c>
      <c r="C54" s="568" t="e">
        <f>IF(C52=0,0,((C49+C50)/C52))</f>
        <v>#REF!</v>
      </c>
      <c r="D54" s="569" t="e">
        <f t="shared" ref="D54:H54" si="8">IF(D52=0,0,((D49+D50)/D52))</f>
        <v>#REF!</v>
      </c>
      <c r="E54" s="569" t="e">
        <f t="shared" si="8"/>
        <v>#REF!</v>
      </c>
      <c r="F54" s="569" t="e">
        <f t="shared" si="8"/>
        <v>#REF!</v>
      </c>
      <c r="G54" s="569" t="e">
        <f t="shared" si="8"/>
        <v>#REF!</v>
      </c>
      <c r="H54" s="2033" t="e">
        <f t="shared" si="8"/>
        <v>#REF!</v>
      </c>
      <c r="I54" s="183"/>
    </row>
    <row r="55" spans="1:9" ht="13.2" x14ac:dyDescent="0.25">
      <c r="A55" s="55" t="s">
        <v>390</v>
      </c>
      <c r="B55" s="151" t="s">
        <v>214</v>
      </c>
      <c r="C55" s="144" t="e">
        <f t="shared" ref="C55:H55" si="9">IF(C52=0,0,(C48/C52))</f>
        <v>#REF!</v>
      </c>
      <c r="D55" s="145" t="e">
        <f t="shared" si="9"/>
        <v>#REF!</v>
      </c>
      <c r="E55" s="145" t="e">
        <f t="shared" si="9"/>
        <v>#REF!</v>
      </c>
      <c r="F55" s="145" t="e">
        <f t="shared" si="9"/>
        <v>#REF!</v>
      </c>
      <c r="G55" s="145" t="e">
        <f t="shared" si="9"/>
        <v>#REF!</v>
      </c>
      <c r="H55" s="2034" t="e">
        <f t="shared" si="9"/>
        <v>#REF!</v>
      </c>
    </row>
    <row r="56" spans="1:9" ht="13.2" x14ac:dyDescent="0.25">
      <c r="A56" s="152" t="s">
        <v>390</v>
      </c>
      <c r="B56" s="151" t="s">
        <v>322</v>
      </c>
      <c r="C56" s="144">
        <f t="shared" ref="C56:H56" si="10">C48/C51/1000</f>
        <v>950.31606192239371</v>
      </c>
      <c r="D56" s="145">
        <f t="shared" si="10"/>
        <v>950.31606192239371</v>
      </c>
      <c r="E56" s="145">
        <f t="shared" si="10"/>
        <v>950.31606192239371</v>
      </c>
      <c r="F56" s="145">
        <f t="shared" si="10"/>
        <v>950.31606192239371</v>
      </c>
      <c r="G56" s="145">
        <f t="shared" si="10"/>
        <v>950.31606192239371</v>
      </c>
      <c r="H56" s="2034">
        <f t="shared" si="10"/>
        <v>950.31606192239371</v>
      </c>
    </row>
    <row r="57" spans="1:9" ht="13.2" x14ac:dyDescent="0.25">
      <c r="A57" s="75"/>
      <c r="B57" s="82"/>
      <c r="H57" s="171"/>
    </row>
    <row r="58" spans="1:9" ht="13.2" x14ac:dyDescent="0.25">
      <c r="A58" s="2035" t="s">
        <v>148</v>
      </c>
      <c r="B58" s="508" t="s">
        <v>460</v>
      </c>
      <c r="C58" s="509" t="e">
        <f>IF(C52=0,(C48+C49)/1000000,C48/1000000)</f>
        <v>#REF!</v>
      </c>
      <c r="D58" s="509" t="e">
        <f t="shared" ref="D58:H58" si="11">IF(D52=0,(D48+D49)/1000000,D48/1000000)</f>
        <v>#REF!</v>
      </c>
      <c r="E58" s="509" t="e">
        <f t="shared" si="11"/>
        <v>#REF!</v>
      </c>
      <c r="F58" s="509" t="e">
        <f t="shared" si="11"/>
        <v>#REF!</v>
      </c>
      <c r="G58" s="509" t="e">
        <f t="shared" si="11"/>
        <v>#REF!</v>
      </c>
      <c r="H58" s="2036" t="e">
        <f t="shared" si="11"/>
        <v>#REF!</v>
      </c>
      <c r="I58" s="322"/>
    </row>
    <row r="59" spans="1:9" ht="13.2" x14ac:dyDescent="0.25">
      <c r="A59" s="2037" t="s">
        <v>149</v>
      </c>
      <c r="B59" s="151" t="s">
        <v>460</v>
      </c>
      <c r="C59" s="182" t="e">
        <f>IF(C52=0,0,(C49+C50)/1000000)</f>
        <v>#REF!</v>
      </c>
      <c r="D59" s="182" t="e">
        <f t="shared" ref="D59:H59" si="12">IF(D52=0,0,(D49+D50)/1000000)</f>
        <v>#REF!</v>
      </c>
      <c r="E59" s="182" t="e">
        <f t="shared" si="12"/>
        <v>#REF!</v>
      </c>
      <c r="F59" s="182" t="e">
        <f t="shared" si="12"/>
        <v>#REF!</v>
      </c>
      <c r="G59" s="182" t="e">
        <f t="shared" si="12"/>
        <v>#REF!</v>
      </c>
      <c r="H59" s="2038" t="e">
        <f t="shared" si="12"/>
        <v>#REF!</v>
      </c>
      <c r="I59" s="1049"/>
    </row>
    <row r="60" spans="1:9" ht="13.8" thickBot="1" x14ac:dyDescent="0.3">
      <c r="A60" s="2039" t="s">
        <v>134</v>
      </c>
      <c r="B60" s="2040" t="s">
        <v>56</v>
      </c>
      <c r="C60" s="2041" t="e">
        <f t="shared" ref="C60:H60" si="13">+C52/1000000</f>
        <v>#REF!</v>
      </c>
      <c r="D60" s="2041" t="e">
        <f t="shared" si="13"/>
        <v>#REF!</v>
      </c>
      <c r="E60" s="2041" t="e">
        <f t="shared" si="13"/>
        <v>#REF!</v>
      </c>
      <c r="F60" s="2041" t="e">
        <f t="shared" si="13"/>
        <v>#REF!</v>
      </c>
      <c r="G60" s="2041" t="e">
        <f t="shared" si="13"/>
        <v>#REF!</v>
      </c>
      <c r="H60" s="2042" t="e">
        <f t="shared" si="13"/>
        <v>#REF!</v>
      </c>
      <c r="I60" s="322"/>
    </row>
    <row r="62" spans="1:9" x14ac:dyDescent="0.2">
      <c r="C62" s="322"/>
      <c r="D62" s="322"/>
      <c r="E62" s="322"/>
      <c r="F62" s="322"/>
      <c r="G62" s="322"/>
      <c r="H62" s="322"/>
    </row>
    <row r="63" spans="1:9" ht="13.8" x14ac:dyDescent="0.25">
      <c r="A63" s="1083"/>
      <c r="B63" s="456"/>
      <c r="C63" s="1104"/>
      <c r="D63" s="1104"/>
      <c r="E63" s="1104"/>
      <c r="F63" s="1104"/>
      <c r="G63" s="1104"/>
      <c r="H63" s="1104"/>
    </row>
    <row r="64" spans="1:9" ht="22.5" customHeight="1" x14ac:dyDescent="0.2">
      <c r="A64" s="183"/>
      <c r="B64" s="1156"/>
      <c r="C64" s="1156"/>
      <c r="D64" s="1156"/>
      <c r="E64" s="1156"/>
      <c r="F64" s="1156"/>
      <c r="G64" s="1156"/>
      <c r="H64" s="1156"/>
    </row>
    <row r="65" spans="1:8" x14ac:dyDescent="0.2">
      <c r="C65" s="165"/>
      <c r="D65" s="165"/>
      <c r="E65" s="165"/>
      <c r="F65" s="165"/>
      <c r="G65" s="165"/>
      <c r="H65" s="165"/>
    </row>
    <row r="66" spans="1:8" x14ac:dyDescent="0.2">
      <c r="C66" s="241"/>
    </row>
    <row r="67" spans="1:8" x14ac:dyDescent="0.2">
      <c r="C67" s="403"/>
      <c r="D67" s="241"/>
    </row>
    <row r="68" spans="1:8" x14ac:dyDescent="0.2">
      <c r="B68" s="456"/>
      <c r="C68" s="403"/>
      <c r="D68" s="241"/>
    </row>
    <row r="69" spans="1:8" x14ac:dyDescent="0.2">
      <c r="A69" s="638"/>
      <c r="C69" s="403"/>
      <c r="D69" s="403"/>
      <c r="E69" s="403"/>
      <c r="F69" s="403"/>
      <c r="G69" s="403"/>
      <c r="H69" s="403"/>
    </row>
    <row r="70" spans="1:8" x14ac:dyDescent="0.2">
      <c r="A70" s="638"/>
      <c r="C70" s="403"/>
      <c r="D70" s="403"/>
      <c r="E70" s="403"/>
      <c r="F70" s="403"/>
      <c r="G70" s="403"/>
      <c r="H70" s="403"/>
    </row>
    <row r="71" spans="1:8" x14ac:dyDescent="0.2">
      <c r="A71" s="638"/>
      <c r="C71" s="403"/>
      <c r="D71" s="403"/>
      <c r="E71" s="403"/>
      <c r="F71" s="403"/>
      <c r="G71" s="403"/>
      <c r="H71" s="403"/>
    </row>
    <row r="72" spans="1:8" x14ac:dyDescent="0.2">
      <c r="C72" s="403"/>
      <c r="D72" s="403"/>
      <c r="E72" s="403"/>
      <c r="F72" s="403"/>
      <c r="G72" s="403"/>
      <c r="H72" s="403"/>
    </row>
    <row r="73" spans="1:8" x14ac:dyDescent="0.2">
      <c r="C73" s="403"/>
      <c r="D73" s="403"/>
      <c r="E73" s="403"/>
      <c r="F73" s="403"/>
      <c r="G73" s="403"/>
      <c r="H73" s="403"/>
    </row>
    <row r="74" spans="1:8" x14ac:dyDescent="0.2">
      <c r="C74" s="403"/>
      <c r="D74" s="403"/>
      <c r="E74" s="403"/>
      <c r="F74" s="403"/>
      <c r="G74" s="403"/>
      <c r="H74" s="403"/>
    </row>
    <row r="75" spans="1:8" x14ac:dyDescent="0.2">
      <c r="C75" s="403"/>
      <c r="D75" s="403"/>
      <c r="E75" s="403"/>
      <c r="F75" s="403"/>
      <c r="G75" s="403"/>
      <c r="H75" s="403"/>
    </row>
    <row r="76" spans="1:8" x14ac:dyDescent="0.2">
      <c r="C76" s="403"/>
      <c r="D76" s="403"/>
      <c r="E76" s="403"/>
      <c r="F76" s="403"/>
      <c r="G76" s="403"/>
      <c r="H76" s="403"/>
    </row>
    <row r="77" spans="1:8" x14ac:dyDescent="0.2">
      <c r="C77" s="403"/>
      <c r="D77" s="403"/>
      <c r="E77" s="403"/>
      <c r="F77" s="403"/>
      <c r="G77" s="403"/>
      <c r="H77" s="403"/>
    </row>
    <row r="78" spans="1:8" x14ac:dyDescent="0.2">
      <c r="C78" s="403"/>
      <c r="D78" s="403"/>
      <c r="E78" s="403"/>
      <c r="F78" s="403"/>
      <c r="G78" s="403"/>
      <c r="H78" s="403"/>
    </row>
    <row r="79" spans="1:8" x14ac:dyDescent="0.2">
      <c r="C79" s="403"/>
      <c r="D79" s="403"/>
      <c r="E79" s="403"/>
      <c r="F79" s="403"/>
      <c r="G79" s="403"/>
      <c r="H79" s="403"/>
    </row>
    <row r="80" spans="1:8" x14ac:dyDescent="0.2">
      <c r="C80" s="403"/>
      <c r="D80" s="403"/>
      <c r="E80" s="403"/>
      <c r="F80" s="403"/>
      <c r="G80" s="403"/>
      <c r="H80" s="403"/>
    </row>
    <row r="81" spans="3:8" x14ac:dyDescent="0.2">
      <c r="C81" s="403"/>
      <c r="D81" s="403"/>
      <c r="E81" s="403"/>
      <c r="F81" s="403"/>
      <c r="G81" s="403"/>
      <c r="H81" s="403"/>
    </row>
    <row r="82" spans="3:8" x14ac:dyDescent="0.2">
      <c r="C82" s="403"/>
      <c r="D82" s="403"/>
      <c r="E82" s="1322"/>
      <c r="F82" s="403"/>
      <c r="G82" s="403"/>
      <c r="H82" s="403"/>
    </row>
    <row r="83" spans="3:8" x14ac:dyDescent="0.2">
      <c r="C83" s="403"/>
      <c r="D83" s="403"/>
      <c r="E83" s="403"/>
      <c r="F83" s="403"/>
      <c r="G83" s="403"/>
      <c r="H83" s="403"/>
    </row>
    <row r="84" spans="3:8" x14ac:dyDescent="0.2">
      <c r="C84" s="403"/>
      <c r="D84" s="403"/>
      <c r="E84" s="403"/>
      <c r="F84" s="403"/>
      <c r="G84" s="403"/>
      <c r="H84" s="403"/>
    </row>
    <row r="85" spans="3:8" x14ac:dyDescent="0.2">
      <c r="C85" s="403"/>
      <c r="D85" s="403"/>
      <c r="E85" s="403"/>
      <c r="F85" s="403"/>
      <c r="G85" s="403"/>
      <c r="H85" s="403"/>
    </row>
    <row r="86" spans="3:8" x14ac:dyDescent="0.2">
      <c r="C86" s="403"/>
      <c r="D86" s="403"/>
      <c r="E86" s="821"/>
      <c r="F86" s="403"/>
      <c r="G86" s="403"/>
      <c r="H86" s="403"/>
    </row>
    <row r="87" spans="3:8" x14ac:dyDescent="0.2">
      <c r="C87" s="403"/>
      <c r="D87" s="403"/>
      <c r="E87" s="403"/>
      <c r="F87" s="1321"/>
      <c r="G87" s="1321"/>
      <c r="H87" s="403"/>
    </row>
    <row r="88" spans="3:8" x14ac:dyDescent="0.2">
      <c r="C88" s="403"/>
      <c r="D88" s="403"/>
      <c r="E88" s="821"/>
      <c r="F88" s="1321"/>
      <c r="G88" s="403"/>
      <c r="H88" s="403"/>
    </row>
    <row r="89" spans="3:8" x14ac:dyDescent="0.2">
      <c r="D89" s="241"/>
      <c r="E89" s="241"/>
      <c r="F89" s="1321"/>
    </row>
    <row r="90" spans="3:8" x14ac:dyDescent="0.2">
      <c r="F90" s="1322"/>
    </row>
    <row r="91" spans="3:8" x14ac:dyDescent="0.2">
      <c r="F91" s="1323"/>
    </row>
    <row r="92" spans="3:8" x14ac:dyDescent="0.2">
      <c r="F92" s="1323"/>
    </row>
  </sheetData>
  <dataValidations count="3">
    <dataValidation type="list" allowBlank="1" showInputMessage="1" showErrorMessage="1" sqref="C27" xr:uid="{00000000-0002-0000-1800-000000000000}">
      <formula1>Units</formula1>
    </dataValidation>
    <dataValidation type="list" allowBlank="1" showInputMessage="1" showErrorMessage="1" sqref="C26" xr:uid="{00000000-0002-0000-1800-000001000000}">
      <formula1>Combustible</formula1>
    </dataValidation>
    <dataValidation type="list" allowBlank="1" showInputMessage="1" showErrorMessage="1" sqref="B44 C28" xr:uid="{00000000-0002-0000-1800-000002000000}">
      <formula1>Currency</formula1>
    </dataValidation>
  </dataValidations>
  <pageMargins left="0.69" right="0" top="0.22" bottom="0" header="0.19684820647419074" footer="0.11810804899387577"/>
  <pageSetup paperSize="9" scale="6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3">
    <tabColor rgb="FFFFC000"/>
    <pageSetUpPr fitToPage="1"/>
  </sheetPr>
  <dimension ref="A1:V88"/>
  <sheetViews>
    <sheetView showGridLines="0" view="pageBreakPreview" zoomScale="90" zoomScaleNormal="85" zoomScaleSheetLayoutView="90" workbookViewId="0">
      <pane xSplit="2" ySplit="4" topLeftCell="C40" activePane="bottomRight" state="frozen"/>
      <selection pane="topRight" activeCell="C1" sqref="C1"/>
      <selection pane="bottomLeft" activeCell="A5" sqref="A5"/>
      <selection pane="bottomRight" activeCell="C1" sqref="C1:E1048576"/>
    </sheetView>
  </sheetViews>
  <sheetFormatPr defaultColWidth="11" defaultRowHeight="12.6" x14ac:dyDescent="0.2"/>
  <cols>
    <col min="1" max="1" width="41.08984375" customWidth="1"/>
    <col min="2" max="2" width="10.08984375" style="2" customWidth="1"/>
    <col min="3" max="3" width="23.7265625" hidden="1" customWidth="1"/>
    <col min="4" max="4" width="21.453125" hidden="1" customWidth="1"/>
    <col min="5" max="5" width="19.90625" hidden="1" customWidth="1"/>
    <col min="6" max="7" width="18" customWidth="1"/>
    <col min="8" max="8" width="23.08984375" customWidth="1"/>
    <col min="9" max="9" width="15.26953125" bestFit="1" customWidth="1"/>
    <col min="10" max="10" width="21.36328125" customWidth="1"/>
    <col min="11" max="11" width="16.90625" bestFit="1" customWidth="1"/>
    <col min="12" max="12" width="15.90625" bestFit="1" customWidth="1"/>
  </cols>
  <sheetData>
    <row r="1" spans="1:22" ht="17.399999999999999" x14ac:dyDescent="0.3">
      <c r="A1" s="53" t="s">
        <v>1188</v>
      </c>
      <c r="B1" s="131"/>
      <c r="C1" s="1320"/>
      <c r="E1" s="436"/>
      <c r="F1" s="257"/>
      <c r="I1" s="561"/>
    </row>
    <row r="2" spans="1:22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22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</row>
    <row r="4" spans="1:22" ht="13.2" x14ac:dyDescent="0.25">
      <c r="A4" s="147" t="s">
        <v>122</v>
      </c>
      <c r="B4" s="151"/>
      <c r="C4" s="134"/>
      <c r="D4" s="134"/>
      <c r="E4" s="134"/>
      <c r="F4" s="134"/>
      <c r="G4" s="134"/>
      <c r="H4" s="2007"/>
    </row>
    <row r="5" spans="1:22" ht="13.2" x14ac:dyDescent="0.25">
      <c r="A5" s="136" t="s">
        <v>310</v>
      </c>
      <c r="B5" s="513"/>
      <c r="C5" s="134"/>
      <c r="D5" s="134"/>
      <c r="E5" s="134"/>
      <c r="F5" s="134"/>
      <c r="G5" s="134"/>
      <c r="H5" s="2007"/>
      <c r="I5" s="2"/>
      <c r="Q5" s="150"/>
      <c r="R5" s="150"/>
      <c r="S5" s="150"/>
      <c r="T5" s="150"/>
      <c r="U5" s="150"/>
      <c r="V5" s="150"/>
    </row>
    <row r="6" spans="1:22" x14ac:dyDescent="0.2">
      <c r="A6" s="6" t="s">
        <v>311</v>
      </c>
      <c r="B6" s="12" t="s">
        <v>312</v>
      </c>
      <c r="C6" s="1072">
        <f>+C7+C8+C9+C10+C11+C12+C13+C14</f>
        <v>16358524.687999999</v>
      </c>
      <c r="D6" s="1072">
        <f t="shared" ref="D6:H6" si="0">+D7+D8+D9+D10+D11+D12+D13+D14</f>
        <v>19198320.688000001</v>
      </c>
      <c r="E6" s="1072">
        <f t="shared" si="0"/>
        <v>16358524.687999999</v>
      </c>
      <c r="F6" s="1072">
        <f t="shared" si="0"/>
        <v>16358524.687999999</v>
      </c>
      <c r="G6" s="1072">
        <f t="shared" si="0"/>
        <v>16358524.687999999</v>
      </c>
      <c r="H6" s="2008">
        <f t="shared" si="0"/>
        <v>16358524.687999999</v>
      </c>
      <c r="I6" s="159">
        <f>SUM(C6:H6)</f>
        <v>100990944.12799999</v>
      </c>
      <c r="Q6" s="150"/>
      <c r="R6" s="150"/>
      <c r="S6" s="150"/>
      <c r="T6" s="150"/>
      <c r="U6" s="150"/>
      <c r="V6" s="150"/>
    </row>
    <row r="7" spans="1:22" x14ac:dyDescent="0.2">
      <c r="A7" s="1051" t="s">
        <v>753</v>
      </c>
      <c r="B7" s="12"/>
      <c r="C7" s="1727">
        <v>9967261.1799999997</v>
      </c>
      <c r="D7" s="1727">
        <v>9967261.1799999997</v>
      </c>
      <c r="E7" s="1727">
        <v>9967261.1799999997</v>
      </c>
      <c r="F7" s="1727">
        <v>9967261.1799999997</v>
      </c>
      <c r="G7" s="1727">
        <v>9967261.1799999997</v>
      </c>
      <c r="H7" s="1727">
        <v>9967261.1799999997</v>
      </c>
      <c r="I7" s="159">
        <f>SUM(C7:H7)</f>
        <v>59803567.079999998</v>
      </c>
      <c r="Q7" s="150"/>
      <c r="R7" s="150"/>
      <c r="S7" s="150"/>
      <c r="T7" s="150"/>
      <c r="U7" s="150"/>
      <c r="V7" s="150"/>
    </row>
    <row r="8" spans="1:22" x14ac:dyDescent="0.2">
      <c r="A8" s="1051" t="s">
        <v>758</v>
      </c>
      <c r="B8" s="12"/>
      <c r="C8" s="1727">
        <v>640000</v>
      </c>
      <c r="D8" s="1727">
        <v>640000</v>
      </c>
      <c r="E8" s="1727">
        <v>640000</v>
      </c>
      <c r="F8" s="1727">
        <v>640000</v>
      </c>
      <c r="G8" s="1727">
        <v>640000</v>
      </c>
      <c r="H8" s="1727">
        <v>640000</v>
      </c>
      <c r="I8" s="159">
        <f t="shared" ref="I8:I60" si="1">SUM(C8:H8)</f>
        <v>3840000</v>
      </c>
      <c r="Q8" s="150"/>
      <c r="R8" s="150"/>
      <c r="S8" s="150"/>
      <c r="T8" s="150"/>
      <c r="U8" s="150"/>
      <c r="V8" s="150"/>
    </row>
    <row r="9" spans="1:22" x14ac:dyDescent="0.2">
      <c r="A9" s="1051" t="s">
        <v>754</v>
      </c>
      <c r="B9" s="12"/>
      <c r="C9" s="1727">
        <v>455094.27</v>
      </c>
      <c r="D9" s="1727">
        <v>455094.27</v>
      </c>
      <c r="E9" s="1727">
        <v>455094.27</v>
      </c>
      <c r="F9" s="1727">
        <v>455094.27</v>
      </c>
      <c r="G9" s="1727">
        <v>455094.27</v>
      </c>
      <c r="H9" s="1727">
        <v>455094.27</v>
      </c>
      <c r="I9" s="159">
        <f t="shared" si="1"/>
        <v>2730565.62</v>
      </c>
      <c r="L9" s="1253"/>
      <c r="Q9" s="150"/>
      <c r="R9" s="150"/>
      <c r="S9" s="150"/>
      <c r="T9" s="150"/>
      <c r="U9" s="150"/>
      <c r="V9" s="150"/>
    </row>
    <row r="10" spans="1:22" x14ac:dyDescent="0.2">
      <c r="A10" s="1051" t="s">
        <v>755</v>
      </c>
      <c r="B10" s="12"/>
      <c r="C10" s="1727">
        <v>354070.16</v>
      </c>
      <c r="D10" s="1727">
        <v>354070.16</v>
      </c>
      <c r="E10" s="1727">
        <v>354070.16</v>
      </c>
      <c r="F10" s="1727">
        <v>354070.16</v>
      </c>
      <c r="G10" s="1727">
        <v>354070.16</v>
      </c>
      <c r="H10" s="1727">
        <v>354070.16</v>
      </c>
      <c r="I10" s="159">
        <f t="shared" si="1"/>
        <v>2124420.96</v>
      </c>
      <c r="L10" s="1253"/>
      <c r="Q10" s="150"/>
      <c r="R10" s="150"/>
      <c r="S10" s="150"/>
      <c r="T10" s="150"/>
      <c r="U10" s="150"/>
      <c r="V10" s="150"/>
    </row>
    <row r="11" spans="1:22" x14ac:dyDescent="0.2">
      <c r="A11" s="1051" t="s">
        <v>752</v>
      </c>
      <c r="B11" s="12"/>
      <c r="C11" s="1730">
        <f>9469810.39*0.2</f>
        <v>1893962.0780000002</v>
      </c>
      <c r="D11" s="1730">
        <f t="shared" ref="D11:H11" si="2">9469810.39*0.2</f>
        <v>1893962.0780000002</v>
      </c>
      <c r="E11" s="1730">
        <f t="shared" si="2"/>
        <v>1893962.0780000002</v>
      </c>
      <c r="F11" s="1730">
        <f t="shared" si="2"/>
        <v>1893962.0780000002</v>
      </c>
      <c r="G11" s="1730">
        <f t="shared" si="2"/>
        <v>1893962.0780000002</v>
      </c>
      <c r="H11" s="1730">
        <f t="shared" si="2"/>
        <v>1893962.0780000002</v>
      </c>
      <c r="I11" s="159">
        <f t="shared" si="1"/>
        <v>11363772.468</v>
      </c>
      <c r="L11" s="1253"/>
      <c r="Q11" s="150"/>
      <c r="R11" s="150"/>
      <c r="S11" s="150"/>
      <c r="T11" s="150"/>
      <c r="U11" s="150"/>
      <c r="V11" s="150"/>
    </row>
    <row r="12" spans="1:22" x14ac:dyDescent="0.2">
      <c r="A12" s="1051" t="s">
        <v>757</v>
      </c>
      <c r="B12" s="12"/>
      <c r="C12" s="1727">
        <v>828267.92</v>
      </c>
      <c r="D12" s="1727">
        <f>828267.92+2839796</f>
        <v>3668063.92</v>
      </c>
      <c r="E12" s="1727">
        <v>828267.92</v>
      </c>
      <c r="F12" s="1727">
        <v>828267.92</v>
      </c>
      <c r="G12" s="1727">
        <v>828267.92</v>
      </c>
      <c r="H12" s="1727">
        <v>828267.92</v>
      </c>
      <c r="I12" s="159">
        <f t="shared" si="1"/>
        <v>7809403.5199999996</v>
      </c>
      <c r="L12" s="1253"/>
      <c r="Q12" s="150"/>
      <c r="R12" s="150"/>
      <c r="S12" s="150"/>
      <c r="T12" s="150"/>
      <c r="U12" s="150"/>
      <c r="V12" s="150"/>
    </row>
    <row r="13" spans="1:22" x14ac:dyDescent="0.2">
      <c r="A13" s="1051" t="s">
        <v>756</v>
      </c>
      <c r="B13" s="12"/>
      <c r="C13" s="1727">
        <v>0</v>
      </c>
      <c r="D13" s="1727">
        <v>0</v>
      </c>
      <c r="E13" s="1727">
        <v>0</v>
      </c>
      <c r="F13" s="1727">
        <v>0</v>
      </c>
      <c r="G13" s="1727">
        <v>0</v>
      </c>
      <c r="H13" s="1727">
        <v>0</v>
      </c>
      <c r="I13" s="159">
        <f t="shared" si="1"/>
        <v>0</v>
      </c>
      <c r="K13" s="1253">
        <f>1517770/50*30</f>
        <v>910662</v>
      </c>
      <c r="L13" s="1253"/>
      <c r="Q13" s="150"/>
      <c r="R13" s="150"/>
      <c r="S13" s="150"/>
      <c r="T13" s="150"/>
      <c r="U13" s="150"/>
      <c r="V13" s="150"/>
    </row>
    <row r="14" spans="1:22" x14ac:dyDescent="0.2">
      <c r="A14" s="1051" t="s">
        <v>1056</v>
      </c>
      <c r="B14" s="12"/>
      <c r="C14" s="1727">
        <v>2219869.08</v>
      </c>
      <c r="D14" s="1727">
        <v>2219869.08</v>
      </c>
      <c r="E14" s="1727">
        <v>2219869.08</v>
      </c>
      <c r="F14" s="1727">
        <v>2219869.08</v>
      </c>
      <c r="G14" s="1727">
        <v>2219869.08</v>
      </c>
      <c r="H14" s="1727">
        <v>2219869.08</v>
      </c>
      <c r="I14" s="159">
        <f t="shared" si="1"/>
        <v>13319214.48</v>
      </c>
      <c r="L14" s="1253"/>
      <c r="Q14" s="150"/>
      <c r="R14" s="150"/>
      <c r="S14" s="150"/>
      <c r="T14" s="150"/>
      <c r="U14" s="150"/>
      <c r="V14" s="150"/>
    </row>
    <row r="15" spans="1:22" x14ac:dyDescent="0.2">
      <c r="A15" s="1060" t="s">
        <v>782</v>
      </c>
      <c r="B15" s="12"/>
      <c r="C15" s="1727"/>
      <c r="D15" s="1727"/>
      <c r="E15" s="1727"/>
      <c r="F15" s="1727"/>
      <c r="G15" s="1727"/>
      <c r="H15" s="1727"/>
      <c r="I15" s="159">
        <f t="shared" si="1"/>
        <v>0</v>
      </c>
      <c r="K15" s="1253">
        <f>1517770/50*20</f>
        <v>607108</v>
      </c>
      <c r="Q15" s="150"/>
      <c r="R15" s="150"/>
      <c r="S15" s="150"/>
      <c r="T15" s="150"/>
      <c r="U15" s="150"/>
      <c r="V15" s="150"/>
    </row>
    <row r="16" spans="1:22" x14ac:dyDescent="0.2">
      <c r="A16" s="1060" t="s">
        <v>783</v>
      </c>
      <c r="B16" s="12"/>
      <c r="C16" s="1727"/>
      <c r="D16" s="1727"/>
      <c r="E16" s="1727"/>
      <c r="F16" s="1727"/>
      <c r="G16" s="1727"/>
      <c r="H16" s="1727"/>
      <c r="I16" s="159">
        <f t="shared" si="1"/>
        <v>0</v>
      </c>
      <c r="J16" s="402">
        <v>2839796.3017662307</v>
      </c>
      <c r="K16" s="150">
        <f>SUM(K13:K15)</f>
        <v>1517770</v>
      </c>
      <c r="Q16" s="150"/>
      <c r="R16" s="150"/>
      <c r="S16" s="150"/>
      <c r="T16" s="150"/>
      <c r="U16" s="150"/>
      <c r="V16" s="150"/>
    </row>
    <row r="17" spans="1:22" x14ac:dyDescent="0.2">
      <c r="A17" s="6" t="s">
        <v>313</v>
      </c>
      <c r="B17" s="12" t="s">
        <v>312</v>
      </c>
      <c r="C17" s="1730">
        <v>488973</v>
      </c>
      <c r="D17" s="1730">
        <v>488973</v>
      </c>
      <c r="E17" s="1730">
        <v>488973</v>
      </c>
      <c r="F17" s="1730">
        <f>1128549.5885828+138263.807342215</f>
        <v>1266813.395925015</v>
      </c>
      <c r="G17" s="1730">
        <f t="shared" ref="G17:H17" si="3">1128549.5885828+138263.807342215</f>
        <v>1266813.395925015</v>
      </c>
      <c r="H17" s="1730">
        <f t="shared" si="3"/>
        <v>1266813.395925015</v>
      </c>
      <c r="I17" s="159">
        <f t="shared" si="1"/>
        <v>5267359.1877750456</v>
      </c>
      <c r="Q17" s="150"/>
      <c r="R17" s="150"/>
      <c r="S17" s="150"/>
      <c r="T17" s="150"/>
      <c r="U17" s="150"/>
      <c r="V17" s="150"/>
    </row>
    <row r="18" spans="1:22" x14ac:dyDescent="0.2">
      <c r="A18" s="468" t="s">
        <v>852</v>
      </c>
      <c r="B18" s="12" t="s">
        <v>312</v>
      </c>
      <c r="C18" s="1731">
        <v>843324.07</v>
      </c>
      <c r="D18" s="1731">
        <v>843324.07</v>
      </c>
      <c r="E18" s="1731">
        <v>843324.07</v>
      </c>
      <c r="F18" s="1731">
        <f>843324.07+149605.854163053</f>
        <v>992929.92416305293</v>
      </c>
      <c r="G18" s="1731">
        <f t="shared" ref="G18:H18" si="4">843324.07+149605.854163053</f>
        <v>992929.92416305293</v>
      </c>
      <c r="H18" s="1731">
        <f t="shared" si="4"/>
        <v>992929.92416305293</v>
      </c>
      <c r="I18" s="159">
        <f t="shared" si="1"/>
        <v>5508761.9824891584</v>
      </c>
      <c r="K18" s="1035"/>
      <c r="Q18" s="150"/>
      <c r="R18" s="150"/>
      <c r="S18" s="150"/>
      <c r="T18" s="150"/>
      <c r="U18" s="150"/>
      <c r="V18" s="150"/>
    </row>
    <row r="19" spans="1:22" x14ac:dyDescent="0.2">
      <c r="A19" s="6" t="s">
        <v>315</v>
      </c>
      <c r="B19" s="12"/>
      <c r="C19" s="501"/>
      <c r="D19" s="501"/>
      <c r="E19" s="501"/>
      <c r="F19" s="501"/>
      <c r="G19" s="501"/>
      <c r="H19" s="2011"/>
      <c r="I19" s="159">
        <f t="shared" si="1"/>
        <v>0</v>
      </c>
      <c r="K19" s="241"/>
      <c r="Q19" s="150"/>
      <c r="R19" s="150"/>
      <c r="S19" s="150"/>
      <c r="T19" s="150"/>
      <c r="U19" s="150"/>
      <c r="V19" s="150"/>
    </row>
    <row r="20" spans="1:22" x14ac:dyDescent="0.2">
      <c r="A20" s="6" t="s">
        <v>316</v>
      </c>
      <c r="B20" s="12"/>
      <c r="C20" s="297"/>
      <c r="D20" s="297"/>
      <c r="E20" s="297"/>
      <c r="F20" s="297"/>
      <c r="G20" s="297"/>
      <c r="H20" s="2012"/>
      <c r="I20" s="159">
        <f t="shared" si="1"/>
        <v>0</v>
      </c>
      <c r="Q20" s="150"/>
      <c r="R20" s="150"/>
      <c r="S20" s="150"/>
      <c r="T20" s="150"/>
      <c r="U20" s="150"/>
      <c r="V20" s="150"/>
    </row>
    <row r="21" spans="1:22" x14ac:dyDescent="0.2">
      <c r="A21" s="6"/>
      <c r="B21" s="12"/>
      <c r="C21" s="134"/>
      <c r="D21" s="134"/>
      <c r="E21" s="134"/>
      <c r="F21" s="134"/>
      <c r="G21" s="2"/>
      <c r="H21" s="198"/>
      <c r="I21" s="159">
        <f t="shared" si="1"/>
        <v>0</v>
      </c>
      <c r="Q21" s="150"/>
      <c r="R21" s="150"/>
      <c r="S21" s="150"/>
      <c r="T21" s="150"/>
      <c r="U21" s="150"/>
      <c r="V21" s="150"/>
    </row>
    <row r="22" spans="1:22" ht="13.2" x14ac:dyDescent="0.25">
      <c r="A22" s="136" t="s">
        <v>317</v>
      </c>
      <c r="B22" s="513"/>
      <c r="C22" s="134"/>
      <c r="D22" s="134"/>
      <c r="E22" s="134"/>
      <c r="F22" s="134"/>
      <c r="G22" s="2"/>
      <c r="H22" s="171"/>
      <c r="I22" s="159">
        <f t="shared" si="1"/>
        <v>0</v>
      </c>
      <c r="Q22" s="150"/>
      <c r="R22" s="150"/>
      <c r="S22" s="150"/>
      <c r="T22" s="150"/>
      <c r="U22" s="150"/>
      <c r="V22" s="150"/>
    </row>
    <row r="23" spans="1:22" x14ac:dyDescent="0.2">
      <c r="A23" s="6" t="s">
        <v>318</v>
      </c>
      <c r="B23" s="12" t="s">
        <v>312</v>
      </c>
      <c r="C23" s="500">
        <v>0</v>
      </c>
      <c r="D23" s="500">
        <v>0</v>
      </c>
      <c r="E23" s="500">
        <v>0</v>
      </c>
      <c r="F23" s="500">
        <v>0</v>
      </c>
      <c r="G23" s="500">
        <v>0</v>
      </c>
      <c r="H23" s="500">
        <v>0</v>
      </c>
      <c r="I23" s="159">
        <f t="shared" si="1"/>
        <v>0</v>
      </c>
      <c r="Q23" s="150"/>
      <c r="R23" s="150"/>
      <c r="S23" s="150"/>
      <c r="T23" s="150"/>
      <c r="U23" s="150"/>
      <c r="V23" s="150"/>
    </row>
    <row r="24" spans="1:22" x14ac:dyDescent="0.2">
      <c r="A24" s="6"/>
      <c r="B24" s="12"/>
      <c r="D24" s="134"/>
      <c r="E24" s="134"/>
      <c r="F24" s="134"/>
      <c r="G24" s="2"/>
      <c r="H24" s="171"/>
      <c r="I24" s="159">
        <f t="shared" si="1"/>
        <v>0</v>
      </c>
      <c r="J24" s="402">
        <f>103256.17/50*30</f>
        <v>61953.701999999997</v>
      </c>
      <c r="Q24" s="150"/>
      <c r="R24" s="150"/>
      <c r="S24" s="150"/>
      <c r="T24" s="150"/>
      <c r="U24" s="150"/>
      <c r="V24" s="150"/>
    </row>
    <row r="25" spans="1:22" ht="13.2" x14ac:dyDescent="0.25">
      <c r="A25" s="464" t="s">
        <v>24</v>
      </c>
      <c r="B25" s="151"/>
      <c r="C25" s="466"/>
      <c r="D25" s="466"/>
      <c r="E25" s="466"/>
      <c r="F25" s="466"/>
      <c r="G25" s="467"/>
      <c r="H25" s="2006"/>
      <c r="I25" s="159">
        <f t="shared" si="1"/>
        <v>0</v>
      </c>
      <c r="Q25" s="150"/>
      <c r="R25" s="150"/>
      <c r="S25" s="150"/>
      <c r="T25" s="150"/>
      <c r="U25" s="150"/>
      <c r="V25" s="150"/>
    </row>
    <row r="26" spans="1:22" x14ac:dyDescent="0.2">
      <c r="A26" s="465" t="s">
        <v>89</v>
      </c>
      <c r="B26" s="514" t="s">
        <v>370</v>
      </c>
      <c r="C26" s="466"/>
      <c r="D26" s="466"/>
      <c r="E26" s="466"/>
      <c r="F26" s="466"/>
      <c r="G26" s="467"/>
      <c r="H26" s="2013"/>
      <c r="I26" s="159">
        <f t="shared" si="1"/>
        <v>0</v>
      </c>
      <c r="Q26" s="150"/>
      <c r="R26" s="150"/>
      <c r="S26" s="150"/>
      <c r="T26" s="150"/>
      <c r="U26" s="150"/>
      <c r="V26" s="150"/>
    </row>
    <row r="27" spans="1:22" x14ac:dyDescent="0.2">
      <c r="A27" s="7" t="s">
        <v>100</v>
      </c>
      <c r="B27" s="12" t="s">
        <v>371</v>
      </c>
      <c r="C27" s="134"/>
      <c r="D27" s="134"/>
      <c r="E27" s="134"/>
      <c r="F27" s="134"/>
      <c r="G27" s="2"/>
      <c r="H27" s="198"/>
      <c r="I27" s="159">
        <f t="shared" si="1"/>
        <v>0</v>
      </c>
      <c r="Q27" s="150"/>
      <c r="R27" s="150"/>
      <c r="S27" s="150"/>
      <c r="T27" s="150"/>
      <c r="U27" s="150"/>
      <c r="V27" s="150"/>
    </row>
    <row r="28" spans="1:22" x14ac:dyDescent="0.2">
      <c r="A28" s="7" t="s">
        <v>99</v>
      </c>
      <c r="B28" s="12" t="s">
        <v>372</v>
      </c>
      <c r="C28" s="134"/>
      <c r="D28" s="134"/>
      <c r="E28" s="134"/>
      <c r="F28" s="134"/>
      <c r="G28" s="2"/>
      <c r="H28" s="198"/>
      <c r="I28" s="159">
        <f t="shared" si="1"/>
        <v>0</v>
      </c>
      <c r="Q28" s="150"/>
      <c r="R28" s="150"/>
      <c r="S28" s="150"/>
      <c r="T28" s="150"/>
      <c r="U28" s="150"/>
      <c r="V28" s="150"/>
    </row>
    <row r="29" spans="1:22" x14ac:dyDescent="0.2">
      <c r="A29" s="6" t="s">
        <v>144</v>
      </c>
      <c r="B29" s="12" t="s">
        <v>373</v>
      </c>
      <c r="C29" s="1877">
        <v>0.2838</v>
      </c>
      <c r="D29" s="1877">
        <v>0.2838</v>
      </c>
      <c r="E29" s="1877">
        <v>0.2838</v>
      </c>
      <c r="F29" s="1877">
        <v>0.2838</v>
      </c>
      <c r="G29" s="1877">
        <v>0.2838</v>
      </c>
      <c r="H29" s="1877">
        <v>0.2838</v>
      </c>
      <c r="I29" s="159">
        <f t="shared" si="1"/>
        <v>1.7028000000000001</v>
      </c>
      <c r="Q29" s="150"/>
      <c r="R29" s="150"/>
      <c r="S29" s="150"/>
      <c r="T29" s="150"/>
      <c r="U29" s="150"/>
      <c r="V29" s="150"/>
    </row>
    <row r="30" spans="1:22" x14ac:dyDescent="0.2">
      <c r="A30" s="6" t="s">
        <v>87</v>
      </c>
      <c r="B30" s="12" t="s">
        <v>374</v>
      </c>
      <c r="C30" s="2015">
        <f>Inputs!C71</f>
        <v>279</v>
      </c>
      <c r="D30" s="2015">
        <f>Inputs!D71</f>
        <v>277</v>
      </c>
      <c r="E30" s="2015">
        <f>Inputs!E71</f>
        <v>277</v>
      </c>
      <c r="F30" s="2015">
        <f>Inputs!F71</f>
        <v>382</v>
      </c>
      <c r="G30" s="2015">
        <f>Inputs!G71</f>
        <v>382</v>
      </c>
      <c r="H30" s="2016">
        <f>Inputs!H71</f>
        <v>382</v>
      </c>
      <c r="I30" s="159">
        <f t="shared" si="1"/>
        <v>1979</v>
      </c>
      <c r="Q30" s="150"/>
      <c r="R30" s="150"/>
      <c r="S30" s="150"/>
      <c r="T30" s="150"/>
      <c r="U30" s="150"/>
      <c r="V30" s="150"/>
    </row>
    <row r="31" spans="1:22" x14ac:dyDescent="0.2">
      <c r="A31" s="468" t="s">
        <v>375</v>
      </c>
      <c r="B31" s="12" t="s">
        <v>214</v>
      </c>
      <c r="C31" s="155">
        <f>C29*C30</f>
        <v>79.180199999999999</v>
      </c>
      <c r="D31" s="155">
        <f t="shared" ref="D31:H31" si="5">D29*D30</f>
        <v>78.6126</v>
      </c>
      <c r="E31" s="155">
        <f t="shared" si="5"/>
        <v>78.6126</v>
      </c>
      <c r="F31" s="155">
        <f t="shared" si="5"/>
        <v>108.41159999999999</v>
      </c>
      <c r="G31" s="155">
        <f t="shared" si="5"/>
        <v>108.41159999999999</v>
      </c>
      <c r="H31" s="2017">
        <f t="shared" si="5"/>
        <v>108.41159999999999</v>
      </c>
      <c r="I31" s="159">
        <f t="shared" si="1"/>
        <v>561.64020000000005</v>
      </c>
      <c r="Q31" s="150"/>
      <c r="R31" s="150"/>
      <c r="S31" s="150"/>
      <c r="T31" s="150"/>
      <c r="U31" s="150"/>
      <c r="V31" s="150"/>
    </row>
    <row r="32" spans="1:22" x14ac:dyDescent="0.2">
      <c r="A32" s="2325" t="s">
        <v>642</v>
      </c>
      <c r="B32" s="40" t="s">
        <v>56</v>
      </c>
      <c r="C32" s="2019">
        <f>+DispatchSchedule!F17</f>
        <v>0</v>
      </c>
      <c r="D32" s="2019">
        <f>+DispatchSchedule!G17</f>
        <v>0</v>
      </c>
      <c r="E32" s="2019">
        <f>+DispatchSchedule!H17</f>
        <v>0</v>
      </c>
      <c r="F32" s="2019">
        <f>+DispatchSchedule!I17</f>
        <v>0</v>
      </c>
      <c r="G32" s="2019">
        <f>+DispatchSchedule!J17</f>
        <v>0</v>
      </c>
      <c r="H32" s="2020">
        <f>+DispatchSchedule!K17</f>
        <v>0</v>
      </c>
      <c r="I32" s="159">
        <f t="shared" si="1"/>
        <v>0</v>
      </c>
      <c r="Q32" s="150"/>
      <c r="R32" s="150"/>
      <c r="S32" s="150"/>
      <c r="T32" s="150"/>
      <c r="U32" s="150"/>
      <c r="V32" s="150"/>
    </row>
    <row r="33" spans="1:22" x14ac:dyDescent="0.2">
      <c r="A33" s="6"/>
      <c r="B33" s="12"/>
      <c r="C33" s="155"/>
      <c r="D33" s="155"/>
      <c r="E33" s="155"/>
      <c r="F33" s="155"/>
      <c r="G33" s="155"/>
      <c r="H33" s="2017"/>
      <c r="I33" s="159">
        <f t="shared" si="1"/>
        <v>0</v>
      </c>
      <c r="Q33" s="150"/>
      <c r="R33" s="150"/>
      <c r="S33" s="150"/>
      <c r="T33" s="150"/>
      <c r="U33" s="150"/>
      <c r="V33" s="150"/>
    </row>
    <row r="34" spans="1:22" ht="13.2" x14ac:dyDescent="0.25">
      <c r="A34" s="147" t="s">
        <v>132</v>
      </c>
      <c r="B34" s="151"/>
      <c r="C34" s="466"/>
      <c r="D34" s="466"/>
      <c r="E34" s="466"/>
      <c r="F34" s="466"/>
      <c r="G34" s="467"/>
      <c r="H34" s="2006"/>
      <c r="I34" s="159">
        <f t="shared" si="1"/>
        <v>0</v>
      </c>
      <c r="Q34" s="150"/>
      <c r="R34" s="150"/>
      <c r="S34" s="150"/>
      <c r="T34" s="150"/>
      <c r="U34" s="150"/>
      <c r="V34" s="150"/>
    </row>
    <row r="35" spans="1:22" x14ac:dyDescent="0.2">
      <c r="A35" s="6" t="s">
        <v>376</v>
      </c>
      <c r="B35" s="12" t="s">
        <v>312</v>
      </c>
      <c r="C35" s="2004">
        <v>11395000</v>
      </c>
      <c r="D35" s="2004">
        <v>11395000</v>
      </c>
      <c r="E35" s="2004">
        <v>11395000</v>
      </c>
      <c r="F35" s="2004">
        <v>11395000</v>
      </c>
      <c r="G35" s="2004">
        <v>11395000</v>
      </c>
      <c r="H35" s="2004">
        <v>11395000</v>
      </c>
      <c r="I35" s="159">
        <f t="shared" si="1"/>
        <v>68370000</v>
      </c>
      <c r="J35" s="150"/>
      <c r="Q35" s="150"/>
      <c r="R35" s="150"/>
      <c r="S35" s="150"/>
      <c r="T35" s="150"/>
      <c r="U35" s="150"/>
      <c r="V35" s="150"/>
    </row>
    <row r="36" spans="1:22" x14ac:dyDescent="0.2">
      <c r="A36" s="6" t="s">
        <v>376</v>
      </c>
      <c r="B36" s="12" t="s">
        <v>377</v>
      </c>
      <c r="C36" s="134"/>
      <c r="D36" s="134"/>
      <c r="E36" s="134"/>
      <c r="F36" s="134"/>
      <c r="G36" s="2"/>
      <c r="H36" s="171"/>
      <c r="I36" s="159">
        <f t="shared" si="1"/>
        <v>0</v>
      </c>
      <c r="Q36" s="150"/>
      <c r="R36" s="150"/>
      <c r="S36" s="150"/>
      <c r="T36" s="150"/>
      <c r="U36" s="150"/>
      <c r="V36" s="150"/>
    </row>
    <row r="37" spans="1:22" x14ac:dyDescent="0.2">
      <c r="A37" s="6" t="s">
        <v>315</v>
      </c>
      <c r="B37" s="12"/>
      <c r="C37" s="138">
        <f t="shared" ref="C37:H38" si="6">C19</f>
        <v>0</v>
      </c>
      <c r="D37" s="138">
        <f t="shared" si="6"/>
        <v>0</v>
      </c>
      <c r="E37" s="138">
        <f t="shared" si="6"/>
        <v>0</v>
      </c>
      <c r="F37" s="138">
        <f t="shared" si="6"/>
        <v>0</v>
      </c>
      <c r="G37" s="138">
        <f t="shared" si="6"/>
        <v>0</v>
      </c>
      <c r="H37" s="2022">
        <f t="shared" si="6"/>
        <v>0</v>
      </c>
      <c r="I37" s="159">
        <f t="shared" si="1"/>
        <v>0</v>
      </c>
      <c r="Q37" s="150"/>
      <c r="R37" s="150"/>
      <c r="S37" s="150"/>
      <c r="T37" s="150"/>
      <c r="U37" s="150"/>
      <c r="V37" s="150"/>
    </row>
    <row r="38" spans="1:22" x14ac:dyDescent="0.2">
      <c r="A38" s="6" t="s">
        <v>316</v>
      </c>
      <c r="B38" s="12"/>
      <c r="C38" s="138">
        <f t="shared" si="6"/>
        <v>0</v>
      </c>
      <c r="D38" s="138">
        <f t="shared" si="6"/>
        <v>0</v>
      </c>
      <c r="E38" s="138">
        <f t="shared" si="6"/>
        <v>0</v>
      </c>
      <c r="F38" s="138">
        <f t="shared" si="6"/>
        <v>0</v>
      </c>
      <c r="G38" s="138">
        <f t="shared" si="6"/>
        <v>0</v>
      </c>
      <c r="H38" s="2022">
        <f t="shared" si="6"/>
        <v>0</v>
      </c>
      <c r="I38" s="159">
        <f t="shared" si="1"/>
        <v>0</v>
      </c>
      <c r="Q38" s="150"/>
      <c r="R38" s="150"/>
      <c r="S38" s="150"/>
      <c r="T38" s="150"/>
      <c r="U38" s="150"/>
      <c r="V38" s="150"/>
    </row>
    <row r="39" spans="1:22" x14ac:dyDescent="0.2">
      <c r="A39" s="6" t="s">
        <v>378</v>
      </c>
      <c r="B39" s="12"/>
      <c r="C39" s="138"/>
      <c r="D39" s="134"/>
      <c r="E39" s="134"/>
      <c r="F39" s="134"/>
      <c r="G39" s="2"/>
      <c r="H39" s="2023"/>
      <c r="I39" s="159">
        <f t="shared" si="1"/>
        <v>0</v>
      </c>
      <c r="Q39" s="150"/>
      <c r="R39" s="150"/>
      <c r="S39" s="150"/>
      <c r="T39" s="150"/>
      <c r="U39" s="150"/>
      <c r="V39" s="150"/>
    </row>
    <row r="40" spans="1:22" x14ac:dyDescent="0.2">
      <c r="A40" s="6" t="s">
        <v>379</v>
      </c>
      <c r="B40" s="12"/>
      <c r="C40" s="138"/>
      <c r="D40" s="134"/>
      <c r="E40" s="134"/>
      <c r="F40" s="134"/>
      <c r="G40" s="2"/>
      <c r="H40" s="2023"/>
      <c r="I40" s="159">
        <f t="shared" si="1"/>
        <v>0</v>
      </c>
      <c r="Q40" s="150"/>
      <c r="R40" s="150"/>
      <c r="S40" s="150"/>
      <c r="T40" s="150"/>
      <c r="U40" s="150"/>
      <c r="V40" s="150"/>
    </row>
    <row r="41" spans="1:22" ht="13.2" x14ac:dyDescent="0.25">
      <c r="A41" s="147" t="s">
        <v>380</v>
      </c>
      <c r="B41" s="90"/>
      <c r="C41" s="466"/>
      <c r="D41" s="466"/>
      <c r="E41" s="466"/>
      <c r="F41" s="466"/>
      <c r="G41" s="467"/>
      <c r="H41" s="2024"/>
      <c r="I41" s="159">
        <f t="shared" si="1"/>
        <v>0</v>
      </c>
      <c r="Q41" s="150"/>
      <c r="R41" s="150"/>
      <c r="S41" s="150"/>
      <c r="T41" s="150"/>
      <c r="U41" s="150"/>
      <c r="V41" s="150"/>
    </row>
    <row r="42" spans="1:22" s="183" customFormat="1" x14ac:dyDescent="0.2">
      <c r="A42" s="468" t="s">
        <v>381</v>
      </c>
      <c r="B42" s="418" t="s">
        <v>382</v>
      </c>
      <c r="C42" s="2004"/>
      <c r="D42" s="2004"/>
      <c r="E42" s="2004"/>
      <c r="F42" s="2004"/>
      <c r="G42" s="2004"/>
      <c r="H42" s="2025"/>
      <c r="I42" s="159">
        <f t="shared" si="1"/>
        <v>0</v>
      </c>
      <c r="Q42" s="150"/>
      <c r="R42" s="150"/>
      <c r="S42" s="150"/>
      <c r="T42" s="150"/>
      <c r="U42" s="150"/>
      <c r="V42" s="150"/>
    </row>
    <row r="43" spans="1:22" s="183" customFormat="1" x14ac:dyDescent="0.2">
      <c r="A43" s="468" t="s">
        <v>383</v>
      </c>
      <c r="B43" s="418" t="s">
        <v>382</v>
      </c>
      <c r="C43" s="2673">
        <v>4000</v>
      </c>
      <c r="D43" s="2673">
        <v>4000</v>
      </c>
      <c r="E43" s="2673">
        <v>4000</v>
      </c>
      <c r="F43" s="2673">
        <v>4000</v>
      </c>
      <c r="G43" s="2673">
        <v>4000</v>
      </c>
      <c r="H43" s="2673">
        <v>4000</v>
      </c>
      <c r="I43" s="159">
        <f t="shared" si="1"/>
        <v>24000</v>
      </c>
      <c r="Q43" s="150"/>
      <c r="R43" s="150"/>
      <c r="S43" s="150"/>
      <c r="T43" s="150"/>
      <c r="U43" s="150"/>
      <c r="V43" s="150"/>
    </row>
    <row r="44" spans="1:22" ht="12.75" customHeight="1" x14ac:dyDescent="0.2">
      <c r="A44" s="6"/>
      <c r="B44" s="12"/>
      <c r="C44" s="134"/>
      <c r="D44" s="134"/>
      <c r="E44" s="134"/>
      <c r="F44" s="134"/>
      <c r="G44" s="134"/>
      <c r="H44" s="2007"/>
      <c r="I44" s="159">
        <f t="shared" si="1"/>
        <v>0</v>
      </c>
      <c r="Q44" s="150"/>
      <c r="R44" s="150"/>
      <c r="S44" s="150"/>
      <c r="T44" s="150"/>
      <c r="U44" s="150"/>
      <c r="V44" s="150"/>
    </row>
    <row r="45" spans="1:22" x14ac:dyDescent="0.2">
      <c r="A45" s="6" t="s">
        <v>384</v>
      </c>
      <c r="B45" s="12" t="s">
        <v>385</v>
      </c>
      <c r="C45" s="1100"/>
      <c r="D45" s="1100"/>
      <c r="E45" s="1100"/>
      <c r="F45" s="1100"/>
      <c r="G45" s="1100"/>
      <c r="H45" s="2026"/>
      <c r="I45" s="159">
        <f t="shared" si="1"/>
        <v>0</v>
      </c>
      <c r="Q45" s="150"/>
      <c r="R45" s="150"/>
      <c r="S45" s="150"/>
      <c r="T45" s="150"/>
      <c r="U45" s="150"/>
      <c r="V45" s="150"/>
    </row>
    <row r="46" spans="1:22" x14ac:dyDescent="0.2">
      <c r="A46" s="6" t="s">
        <v>386</v>
      </c>
      <c r="B46" s="12" t="s">
        <v>385</v>
      </c>
      <c r="C46" s="2638">
        <v>24</v>
      </c>
      <c r="D46" s="2638"/>
      <c r="E46" s="2638"/>
      <c r="F46" s="2638"/>
      <c r="G46" s="2638"/>
      <c r="H46" s="2638"/>
      <c r="I46" s="159">
        <f t="shared" si="1"/>
        <v>24</v>
      </c>
      <c r="Q46" s="150"/>
      <c r="R46" s="150"/>
      <c r="S46" s="150"/>
      <c r="T46" s="150"/>
      <c r="U46" s="150"/>
      <c r="V46" s="150"/>
    </row>
    <row r="47" spans="1:22" x14ac:dyDescent="0.2">
      <c r="A47" s="6"/>
      <c r="B47" s="12"/>
      <c r="C47" s="134"/>
      <c r="D47" s="134"/>
      <c r="E47" s="134"/>
      <c r="F47" s="134"/>
      <c r="G47" s="2"/>
      <c r="H47" s="2028"/>
      <c r="I47" s="159">
        <f t="shared" si="1"/>
        <v>0</v>
      </c>
      <c r="Q47" s="150"/>
      <c r="R47" s="150"/>
      <c r="S47" s="150"/>
      <c r="T47" s="150"/>
      <c r="U47" s="150"/>
      <c r="V47" s="150"/>
    </row>
    <row r="48" spans="1:22" ht="13.2" x14ac:dyDescent="0.25">
      <c r="A48" s="2029" t="s">
        <v>148</v>
      </c>
      <c r="B48" s="516" t="s">
        <v>320</v>
      </c>
      <c r="C48" s="2833">
        <f t="shared" ref="C48:H48" si="7">C6+C17+C18+C23</f>
        <v>17690821.758000001</v>
      </c>
      <c r="D48" s="2833">
        <f t="shared" si="7"/>
        <v>20530617.758000001</v>
      </c>
      <c r="E48" s="2833">
        <f t="shared" si="7"/>
        <v>17690821.758000001</v>
      </c>
      <c r="F48" s="2833">
        <f t="shared" si="7"/>
        <v>18618268.008088067</v>
      </c>
      <c r="G48" s="2833">
        <f t="shared" si="7"/>
        <v>18618268.008088067</v>
      </c>
      <c r="H48" s="2827">
        <f t="shared" si="7"/>
        <v>18618268.008088067</v>
      </c>
      <c r="I48" s="159">
        <f t="shared" si="1"/>
        <v>111767065.29826421</v>
      </c>
      <c r="Q48" s="150"/>
      <c r="R48" s="150"/>
      <c r="S48" s="150"/>
      <c r="T48" s="150"/>
      <c r="U48" s="150"/>
      <c r="V48" s="150"/>
    </row>
    <row r="49" spans="1:22" ht="13.2" x14ac:dyDescent="0.25">
      <c r="A49" s="6" t="s">
        <v>149</v>
      </c>
      <c r="B49" s="517" t="s">
        <v>320</v>
      </c>
      <c r="C49" s="134">
        <f>+(1000000*(C31*C32))+C35</f>
        <v>11395000</v>
      </c>
      <c r="D49" s="134">
        <f t="shared" ref="D49:H49" si="8">+(1000000*(D31*D32))+D35</f>
        <v>11395000</v>
      </c>
      <c r="E49" s="134">
        <f t="shared" si="8"/>
        <v>11395000</v>
      </c>
      <c r="F49" s="134">
        <f t="shared" si="8"/>
        <v>11395000</v>
      </c>
      <c r="G49" s="134">
        <f t="shared" si="8"/>
        <v>11395000</v>
      </c>
      <c r="H49" s="2007">
        <f t="shared" si="8"/>
        <v>11395000</v>
      </c>
      <c r="I49" s="159">
        <f t="shared" si="1"/>
        <v>68370000</v>
      </c>
      <c r="Q49" s="150"/>
      <c r="R49" s="150"/>
      <c r="S49" s="150"/>
      <c r="T49" s="150"/>
      <c r="U49" s="150"/>
      <c r="V49" s="150"/>
    </row>
    <row r="50" spans="1:22" ht="13.2" x14ac:dyDescent="0.25">
      <c r="A50" s="6" t="s">
        <v>387</v>
      </c>
      <c r="B50" s="517" t="s">
        <v>320</v>
      </c>
      <c r="C50" s="134">
        <f>C42*C45+C43*C46</f>
        <v>96000</v>
      </c>
      <c r="D50" s="134">
        <f t="shared" ref="D50:H50" si="9">D42*D45+D43*D46</f>
        <v>0</v>
      </c>
      <c r="E50" s="134">
        <f t="shared" si="9"/>
        <v>0</v>
      </c>
      <c r="F50" s="134">
        <f t="shared" si="9"/>
        <v>0</v>
      </c>
      <c r="G50" s="134">
        <f t="shared" si="9"/>
        <v>0</v>
      </c>
      <c r="H50" s="2007">
        <f t="shared" si="9"/>
        <v>0</v>
      </c>
      <c r="I50" s="159">
        <f t="shared" si="1"/>
        <v>96000</v>
      </c>
      <c r="Q50" s="150"/>
      <c r="R50" s="150"/>
      <c r="S50" s="150"/>
      <c r="T50" s="150"/>
      <c r="U50" s="150"/>
      <c r="V50" s="150"/>
    </row>
    <row r="51" spans="1:22" ht="13.2" x14ac:dyDescent="0.25">
      <c r="A51" s="6" t="s">
        <v>150</v>
      </c>
      <c r="B51" s="517" t="s">
        <v>39</v>
      </c>
      <c r="C51" s="500">
        <v>30</v>
      </c>
      <c r="D51" s="500">
        <v>30</v>
      </c>
      <c r="E51" s="500">
        <v>30</v>
      </c>
      <c r="F51" s="500">
        <v>30</v>
      </c>
      <c r="G51" s="500">
        <v>30</v>
      </c>
      <c r="H51" s="500">
        <v>30</v>
      </c>
      <c r="I51" s="159">
        <f t="shared" si="1"/>
        <v>180</v>
      </c>
      <c r="Q51" s="150"/>
      <c r="R51" s="150"/>
      <c r="S51" s="150"/>
      <c r="T51" s="150"/>
      <c r="U51" s="150"/>
      <c r="V51" s="150"/>
    </row>
    <row r="52" spans="1:22" ht="13.2" x14ac:dyDescent="0.25">
      <c r="A52" s="2018" t="s">
        <v>134</v>
      </c>
      <c r="B52" s="517" t="s">
        <v>388</v>
      </c>
      <c r="C52" s="134">
        <f>+DispatchSchedule!F86*10^6</f>
        <v>0</v>
      </c>
      <c r="D52" s="134">
        <f>+DispatchSchedule!G86*10^6</f>
        <v>0</v>
      </c>
      <c r="E52" s="134">
        <f>+DispatchSchedule!H86*10^6</f>
        <v>0</v>
      </c>
      <c r="F52" s="134">
        <f>+DispatchSchedule!I86*10^6</f>
        <v>0</v>
      </c>
      <c r="G52" s="134">
        <f>+DispatchSchedule!J86*10^6</f>
        <v>0</v>
      </c>
      <c r="H52" s="2007">
        <f>+DispatchSchedule!K86*10^6</f>
        <v>0</v>
      </c>
      <c r="I52" s="159">
        <f t="shared" si="1"/>
        <v>0</v>
      </c>
      <c r="Q52" s="150"/>
      <c r="R52" s="150"/>
      <c r="S52" s="150"/>
      <c r="T52" s="150"/>
      <c r="U52" s="150"/>
      <c r="V52" s="150"/>
    </row>
    <row r="53" spans="1:22" ht="13.2" x14ac:dyDescent="0.25">
      <c r="A53" s="465" t="s">
        <v>805</v>
      </c>
      <c r="B53" s="151" t="s">
        <v>214</v>
      </c>
      <c r="C53" s="142">
        <f>IF(C52=0,0,(C49/C52))</f>
        <v>0</v>
      </c>
      <c r="D53" s="142">
        <f t="shared" ref="D53:H53" si="10">IF(D52=0,0,(D49/D52))</f>
        <v>0</v>
      </c>
      <c r="E53" s="142">
        <f t="shared" si="10"/>
        <v>0</v>
      </c>
      <c r="F53" s="142">
        <f t="shared" si="10"/>
        <v>0</v>
      </c>
      <c r="G53" s="142">
        <f t="shared" si="10"/>
        <v>0</v>
      </c>
      <c r="H53" s="2031">
        <f t="shared" si="10"/>
        <v>0</v>
      </c>
      <c r="I53" s="159">
        <f t="shared" si="1"/>
        <v>0</v>
      </c>
      <c r="Q53" s="150"/>
      <c r="R53" s="150"/>
      <c r="S53" s="150"/>
      <c r="T53" s="150"/>
      <c r="U53" s="150"/>
      <c r="V53" s="150"/>
    </row>
    <row r="54" spans="1:22" ht="13.2" x14ac:dyDescent="0.25">
      <c r="A54" s="2032" t="s">
        <v>804</v>
      </c>
      <c r="B54" s="508" t="s">
        <v>214</v>
      </c>
      <c r="C54" s="568">
        <f>IF(C52=0,0,((C49+C50)/C52))</f>
        <v>0</v>
      </c>
      <c r="D54" s="569">
        <f t="shared" ref="D54:H54" si="11">IF(D52=0,0,((D49+D50)/D52))</f>
        <v>0</v>
      </c>
      <c r="E54" s="569">
        <f t="shared" si="11"/>
        <v>0</v>
      </c>
      <c r="F54" s="569">
        <f t="shared" si="11"/>
        <v>0</v>
      </c>
      <c r="G54" s="569">
        <f t="shared" si="11"/>
        <v>0</v>
      </c>
      <c r="H54" s="2033">
        <f t="shared" si="11"/>
        <v>0</v>
      </c>
      <c r="I54" s="159">
        <f t="shared" si="1"/>
        <v>0</v>
      </c>
      <c r="Q54" s="150"/>
      <c r="R54" s="150"/>
      <c r="S54" s="150"/>
      <c r="T54" s="150"/>
      <c r="U54" s="150"/>
      <c r="V54" s="150"/>
    </row>
    <row r="55" spans="1:22" ht="13.2" x14ac:dyDescent="0.25">
      <c r="A55" s="55" t="s">
        <v>390</v>
      </c>
      <c r="B55" s="151" t="s">
        <v>214</v>
      </c>
      <c r="C55" s="144">
        <f t="shared" ref="C55:H55" si="12">IF(C52=0,0,(C48/C52))</f>
        <v>0</v>
      </c>
      <c r="D55" s="145">
        <f t="shared" si="12"/>
        <v>0</v>
      </c>
      <c r="E55" s="145">
        <f t="shared" si="12"/>
        <v>0</v>
      </c>
      <c r="F55" s="145">
        <f t="shared" si="12"/>
        <v>0</v>
      </c>
      <c r="G55" s="145">
        <f t="shared" si="12"/>
        <v>0</v>
      </c>
      <c r="H55" s="2034">
        <f t="shared" si="12"/>
        <v>0</v>
      </c>
      <c r="I55" s="159">
        <f t="shared" si="1"/>
        <v>0</v>
      </c>
      <c r="Q55" s="150"/>
      <c r="R55" s="150"/>
      <c r="S55" s="150"/>
      <c r="T55" s="150"/>
      <c r="U55" s="150"/>
      <c r="V55" s="150"/>
    </row>
    <row r="56" spans="1:22" ht="13.2" x14ac:dyDescent="0.25">
      <c r="A56" s="152" t="s">
        <v>390</v>
      </c>
      <c r="B56" s="151" t="s">
        <v>322</v>
      </c>
      <c r="C56" s="144">
        <f t="shared" ref="C56:H56" si="13">C48/C51/1000</f>
        <v>589.69405859999995</v>
      </c>
      <c r="D56" s="145">
        <f t="shared" si="13"/>
        <v>684.35392526666669</v>
      </c>
      <c r="E56" s="145">
        <f t="shared" si="13"/>
        <v>589.69405859999995</v>
      </c>
      <c r="F56" s="145">
        <f t="shared" si="13"/>
        <v>620.60893360293551</v>
      </c>
      <c r="G56" s="145">
        <f t="shared" si="13"/>
        <v>620.60893360293551</v>
      </c>
      <c r="H56" s="2034">
        <f t="shared" si="13"/>
        <v>620.60893360293551</v>
      </c>
      <c r="I56" s="159">
        <f t="shared" si="1"/>
        <v>3725.5688432754728</v>
      </c>
      <c r="K56" s="402">
        <f>+C58*1000000</f>
        <v>29085821.758000001</v>
      </c>
      <c r="Q56" s="150"/>
      <c r="R56" s="150"/>
      <c r="S56" s="150"/>
      <c r="T56" s="150"/>
      <c r="U56" s="150"/>
      <c r="V56" s="150"/>
    </row>
    <row r="57" spans="1:22" ht="13.2" x14ac:dyDescent="0.25">
      <c r="A57" s="75"/>
      <c r="B57" s="82"/>
      <c r="H57" s="171"/>
      <c r="I57" s="159">
        <f t="shared" si="1"/>
        <v>0</v>
      </c>
      <c r="Q57" s="150"/>
      <c r="R57" s="150"/>
      <c r="S57" s="150"/>
      <c r="T57" s="150"/>
      <c r="U57" s="150"/>
      <c r="V57" s="150"/>
    </row>
    <row r="58" spans="1:22" ht="13.2" x14ac:dyDescent="0.25">
      <c r="A58" s="2035" t="s">
        <v>148</v>
      </c>
      <c r="B58" s="508" t="s">
        <v>460</v>
      </c>
      <c r="C58" s="509">
        <f>IF(C52=0,(C48+C49)/1000000,C48/1000000)</f>
        <v>29.085821758000002</v>
      </c>
      <c r="D58" s="509">
        <f t="shared" ref="D58:H58" si="14">IF(D52=0,(D48+D49)/1000000,D48/1000000)</f>
        <v>31.925617758000001</v>
      </c>
      <c r="E58" s="509">
        <f t="shared" si="14"/>
        <v>29.085821758000002</v>
      </c>
      <c r="F58" s="509">
        <f t="shared" si="14"/>
        <v>30.013268008088069</v>
      </c>
      <c r="G58" s="509">
        <f t="shared" si="14"/>
        <v>30.013268008088069</v>
      </c>
      <c r="H58" s="2036">
        <f t="shared" si="14"/>
        <v>30.013268008088069</v>
      </c>
      <c r="I58" s="159">
        <f t="shared" si="1"/>
        <v>180.13706529826419</v>
      </c>
      <c r="K58" s="414">
        <f>+K56+C17</f>
        <v>29574794.758000001</v>
      </c>
      <c r="Q58" s="150"/>
      <c r="R58" s="150"/>
      <c r="S58" s="150"/>
      <c r="T58" s="150"/>
      <c r="U58" s="150"/>
      <c r="V58" s="150"/>
    </row>
    <row r="59" spans="1:22" ht="13.2" x14ac:dyDescent="0.25">
      <c r="A59" s="2037" t="s">
        <v>149</v>
      </c>
      <c r="B59" s="151" t="s">
        <v>460</v>
      </c>
      <c r="C59" s="182">
        <f>IF(C52=0,0,(C49+C50)/1000000)</f>
        <v>0</v>
      </c>
      <c r="D59" s="182">
        <f t="shared" ref="D59:H59" si="15">IF(D52=0,0,(D49+D50)/1000000)</f>
        <v>0</v>
      </c>
      <c r="E59" s="182">
        <f t="shared" si="15"/>
        <v>0</v>
      </c>
      <c r="F59" s="182">
        <f t="shared" si="15"/>
        <v>0</v>
      </c>
      <c r="G59" s="182">
        <f t="shared" si="15"/>
        <v>0</v>
      </c>
      <c r="H59" s="2038">
        <f t="shared" si="15"/>
        <v>0</v>
      </c>
      <c r="I59" s="159">
        <f t="shared" si="1"/>
        <v>0</v>
      </c>
      <c r="Q59" s="150"/>
      <c r="R59" s="150"/>
      <c r="S59" s="150"/>
      <c r="T59" s="150"/>
      <c r="U59" s="150"/>
      <c r="V59" s="150"/>
    </row>
    <row r="60" spans="1:22" ht="13.8" thickBot="1" x14ac:dyDescent="0.3">
      <c r="A60" s="2039" t="s">
        <v>134</v>
      </c>
      <c r="B60" s="2040" t="s">
        <v>56</v>
      </c>
      <c r="C60" s="2537">
        <f t="shared" ref="C60:H60" si="16">+C52/1000000</f>
        <v>0</v>
      </c>
      <c r="D60" s="2537">
        <f t="shared" si="16"/>
        <v>0</v>
      </c>
      <c r="E60" s="2537">
        <f t="shared" si="16"/>
        <v>0</v>
      </c>
      <c r="F60" s="2537">
        <f t="shared" si="16"/>
        <v>0</v>
      </c>
      <c r="G60" s="2537">
        <f t="shared" si="16"/>
        <v>0</v>
      </c>
      <c r="H60" s="2538">
        <f t="shared" si="16"/>
        <v>0</v>
      </c>
      <c r="I60" s="159">
        <f t="shared" si="1"/>
        <v>0</v>
      </c>
      <c r="Q60" s="150"/>
      <c r="R60" s="150"/>
      <c r="S60" s="150"/>
      <c r="T60" s="150"/>
      <c r="U60" s="150"/>
      <c r="V60" s="150"/>
    </row>
    <row r="61" spans="1:22" x14ac:dyDescent="0.2">
      <c r="J61" s="322">
        <f>+D58+'20MW-Mathugama'!D58</f>
        <v>53.209363922000001</v>
      </c>
    </row>
    <row r="62" spans="1:22" x14ac:dyDescent="0.2">
      <c r="C62" s="322"/>
      <c r="D62" s="322"/>
      <c r="E62" s="322"/>
      <c r="F62" s="322"/>
      <c r="G62" s="322"/>
      <c r="H62" s="322"/>
      <c r="J62" s="2685">
        <f>+J61*1000000</f>
        <v>53209363.921999998</v>
      </c>
    </row>
    <row r="63" spans="1:22" ht="13.8" x14ac:dyDescent="0.25">
      <c r="A63" s="1083"/>
      <c r="B63" s="456"/>
      <c r="C63" s="1104"/>
      <c r="D63" s="1104"/>
      <c r="E63" s="1104"/>
      <c r="F63" s="1104"/>
      <c r="G63" s="1104"/>
      <c r="H63" s="1104"/>
    </row>
    <row r="64" spans="1:22" ht="31.5" customHeight="1" x14ac:dyDescent="0.2">
      <c r="A64" s="183"/>
      <c r="B64" s="1156"/>
      <c r="C64" s="1156"/>
      <c r="D64" s="1156"/>
      <c r="E64" s="1156"/>
      <c r="F64" s="1156"/>
      <c r="G64" s="2686">
        <f>+D58+'20MW-Mathugama'!D58</f>
        <v>53.209363922000001</v>
      </c>
      <c r="H64" s="1156"/>
    </row>
    <row r="65" spans="1:9" x14ac:dyDescent="0.2">
      <c r="C65" s="165"/>
      <c r="D65" s="165"/>
      <c r="E65" s="165"/>
      <c r="F65" s="165"/>
      <c r="G65" s="165"/>
      <c r="H65" s="165"/>
    </row>
    <row r="67" spans="1:9" x14ac:dyDescent="0.2">
      <c r="C67" s="403"/>
      <c r="D67" s="241"/>
    </row>
    <row r="68" spans="1:9" x14ac:dyDescent="0.2">
      <c r="B68" s="456"/>
      <c r="C68" s="403"/>
      <c r="D68" s="241"/>
      <c r="E68">
        <v>204338.19705952186</v>
      </c>
    </row>
    <row r="69" spans="1:9" x14ac:dyDescent="0.2">
      <c r="A69" s="638"/>
      <c r="C69" s="403"/>
      <c r="D69" s="241"/>
      <c r="E69">
        <v>136225.46470634791</v>
      </c>
    </row>
    <row r="70" spans="1:9" x14ac:dyDescent="0.2">
      <c r="A70" s="638"/>
      <c r="C70" s="403"/>
      <c r="D70" s="403"/>
      <c r="E70" s="403"/>
      <c r="F70" s="403"/>
      <c r="G70" s="403"/>
      <c r="H70" s="403"/>
    </row>
    <row r="71" spans="1:9" x14ac:dyDescent="0.2">
      <c r="A71" s="638"/>
      <c r="C71" s="241"/>
      <c r="D71" s="241"/>
      <c r="E71" s="241"/>
      <c r="F71" s="241"/>
      <c r="G71" s="241"/>
      <c r="H71" s="241"/>
    </row>
    <row r="72" spans="1:9" x14ac:dyDescent="0.2">
      <c r="C72" s="241"/>
      <c r="D72" s="241"/>
      <c r="E72" s="241"/>
      <c r="F72" s="241"/>
      <c r="G72" s="241"/>
      <c r="H72" s="241"/>
    </row>
    <row r="73" spans="1:9" x14ac:dyDescent="0.2">
      <c r="C73" s="241"/>
      <c r="D73" s="241"/>
      <c r="E73" s="241"/>
      <c r="F73" s="241"/>
      <c r="G73" s="241"/>
      <c r="H73" s="241"/>
      <c r="I73" s="403"/>
    </row>
    <row r="74" spans="1:9" x14ac:dyDescent="0.2">
      <c r="C74" s="241"/>
      <c r="D74" s="241"/>
      <c r="E74" s="241"/>
      <c r="F74" s="241"/>
      <c r="G74" s="241"/>
      <c r="H74" s="241"/>
      <c r="I74" s="403"/>
    </row>
    <row r="75" spans="1:9" x14ac:dyDescent="0.2">
      <c r="C75" s="241"/>
      <c r="D75" s="241"/>
      <c r="E75" s="241"/>
      <c r="F75" s="241"/>
      <c r="G75" s="241"/>
      <c r="H75" s="241"/>
      <c r="I75" s="403"/>
    </row>
    <row r="76" spans="1:9" x14ac:dyDescent="0.2">
      <c r="C76" s="241"/>
      <c r="D76" s="241"/>
      <c r="E76" s="241"/>
      <c r="F76" s="241"/>
      <c r="G76" s="241"/>
      <c r="H76" s="241"/>
      <c r="I76" s="403"/>
    </row>
    <row r="77" spans="1:9" x14ac:dyDescent="0.2">
      <c r="C77" s="241"/>
      <c r="D77" s="241"/>
      <c r="E77" s="241"/>
      <c r="F77" s="241"/>
      <c r="G77" s="241"/>
      <c r="H77" s="241"/>
      <c r="I77" s="403"/>
    </row>
    <row r="78" spans="1:9" x14ac:dyDescent="0.2">
      <c r="C78" s="403"/>
      <c r="D78" s="403"/>
      <c r="E78" s="403"/>
      <c r="F78" s="403"/>
      <c r="G78" s="403"/>
      <c r="H78" s="403"/>
      <c r="I78" s="403"/>
    </row>
    <row r="79" spans="1:9" x14ac:dyDescent="0.2">
      <c r="C79" s="403"/>
      <c r="D79" s="403"/>
      <c r="E79" s="403"/>
      <c r="F79" s="403"/>
      <c r="G79" s="403"/>
      <c r="H79" s="403"/>
      <c r="I79" s="403"/>
    </row>
    <row r="80" spans="1:9" x14ac:dyDescent="0.2">
      <c r="C80" s="403"/>
      <c r="D80" s="403"/>
      <c r="E80" s="403"/>
      <c r="F80" s="403"/>
      <c r="G80" s="403"/>
      <c r="H80" s="403"/>
      <c r="I80" s="403"/>
    </row>
    <row r="81" spans="3:9" x14ac:dyDescent="0.2">
      <c r="C81" s="403"/>
      <c r="D81" s="403"/>
      <c r="E81" s="403"/>
      <c r="F81" s="403"/>
      <c r="G81" s="403"/>
      <c r="H81" s="403"/>
      <c r="I81" s="403"/>
    </row>
    <row r="82" spans="3:9" x14ac:dyDescent="0.2">
      <c r="C82" s="403"/>
      <c r="D82" s="403"/>
      <c r="E82" s="403"/>
      <c r="F82" s="403"/>
      <c r="G82" s="403"/>
      <c r="H82" s="403"/>
      <c r="I82" s="403"/>
    </row>
    <row r="83" spans="3:9" x14ac:dyDescent="0.2">
      <c r="C83" s="403"/>
      <c r="D83" s="403"/>
      <c r="E83" s="403"/>
      <c r="F83" s="403"/>
      <c r="G83" s="403"/>
      <c r="H83" s="403"/>
      <c r="I83" s="403"/>
    </row>
    <row r="84" spans="3:9" x14ac:dyDescent="0.2">
      <c r="C84" s="403"/>
      <c r="D84" s="403"/>
      <c r="E84" s="403"/>
      <c r="F84" s="403"/>
      <c r="G84" s="403"/>
      <c r="H84" s="403"/>
    </row>
    <row r="85" spans="3:9" x14ac:dyDescent="0.2">
      <c r="C85" s="403"/>
      <c r="D85" s="403"/>
      <c r="E85" s="403"/>
      <c r="F85" s="403"/>
      <c r="G85" s="403"/>
      <c r="H85" s="403"/>
    </row>
    <row r="86" spans="3:9" x14ac:dyDescent="0.2">
      <c r="C86" s="403"/>
      <c r="D86" s="403"/>
      <c r="E86" s="403"/>
      <c r="F86" s="403"/>
      <c r="G86" s="403"/>
      <c r="H86" s="403"/>
    </row>
    <row r="87" spans="3:9" x14ac:dyDescent="0.2">
      <c r="C87" s="403"/>
      <c r="D87" s="403"/>
      <c r="E87" s="403"/>
      <c r="F87" s="403"/>
      <c r="G87" s="403"/>
      <c r="H87" s="403"/>
    </row>
    <row r="88" spans="3:9" x14ac:dyDescent="0.2">
      <c r="C88" s="403"/>
      <c r="D88" s="403"/>
      <c r="E88" s="403"/>
      <c r="F88" s="403"/>
      <c r="G88" s="403"/>
      <c r="H88" s="403"/>
    </row>
  </sheetData>
  <dataValidations count="3">
    <dataValidation type="list" allowBlank="1" showInputMessage="1" showErrorMessage="1" sqref="B44 C28" xr:uid="{00000000-0002-0000-1900-000000000000}">
      <formula1>Currency</formula1>
    </dataValidation>
    <dataValidation type="list" allowBlank="1" showInputMessage="1" showErrorMessage="1" sqref="C26" xr:uid="{00000000-0002-0000-1900-000001000000}">
      <formula1>Combustible</formula1>
    </dataValidation>
    <dataValidation type="list" allowBlank="1" showInputMessage="1" showErrorMessage="1" sqref="C27" xr:uid="{00000000-0002-0000-1900-000002000000}">
      <formula1>Units</formula1>
    </dataValidation>
  </dataValidations>
  <pageMargins left="0.69" right="0" top="0.22" bottom="0" header="0.19684820647419074" footer="0.11810804899387577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4">
    <tabColor rgb="FFFFC000"/>
    <pageSetUpPr fitToPage="1"/>
  </sheetPr>
  <dimension ref="A1:M88"/>
  <sheetViews>
    <sheetView showGridLines="0" view="pageBreakPreview" zoomScale="85" zoomScaleNormal="85" zoomScaleSheetLayoutView="85" workbookViewId="0">
      <pane xSplit="2" ySplit="4" topLeftCell="C37" activePane="bottomRight" state="frozen"/>
      <selection pane="topRight" activeCell="C1" sqref="C1"/>
      <selection pane="bottomLeft" activeCell="A5" sqref="A5"/>
      <selection pane="bottomRight" activeCell="C1" sqref="C1:E1048576"/>
    </sheetView>
  </sheetViews>
  <sheetFormatPr defaultColWidth="11" defaultRowHeight="12.6" x14ac:dyDescent="0.2"/>
  <cols>
    <col min="1" max="1" width="41.08984375" customWidth="1"/>
    <col min="2" max="2" width="10.08984375" style="2" customWidth="1"/>
    <col min="3" max="3" width="23.7265625" hidden="1" customWidth="1"/>
    <col min="4" max="4" width="21.453125" hidden="1" customWidth="1"/>
    <col min="5" max="5" width="19.90625" hidden="1" customWidth="1"/>
    <col min="6" max="7" width="18" customWidth="1"/>
    <col min="8" max="8" width="23.08984375" customWidth="1"/>
    <col min="9" max="9" width="13.6328125" bestFit="1" customWidth="1"/>
    <col min="10" max="11" width="15.26953125" bestFit="1" customWidth="1"/>
    <col min="13" max="13" width="16.26953125" bestFit="1" customWidth="1"/>
  </cols>
  <sheetData>
    <row r="1" spans="1:11" ht="17.399999999999999" x14ac:dyDescent="0.3">
      <c r="A1" s="53" t="s">
        <v>836</v>
      </c>
      <c r="B1" s="131"/>
      <c r="C1" s="154"/>
      <c r="E1" s="436"/>
      <c r="F1" s="257"/>
      <c r="I1" s="561"/>
    </row>
    <row r="2" spans="1:11" ht="18" thickBot="1" x14ac:dyDescent="0.35">
      <c r="A2" s="53"/>
      <c r="B2" s="131"/>
      <c r="C2" s="298"/>
      <c r="D2" s="298"/>
      <c r="E2" s="298"/>
      <c r="F2" s="298"/>
      <c r="G2" s="298"/>
      <c r="H2" s="298"/>
    </row>
    <row r="3" spans="1:11" x14ac:dyDescent="0.2">
      <c r="A3" s="46" t="s">
        <v>27</v>
      </c>
      <c r="B3" s="66" t="s">
        <v>36</v>
      </c>
      <c r="C3" s="841">
        <f>DispatchSchedule!F3</f>
        <v>46023</v>
      </c>
      <c r="D3" s="841">
        <f>DispatchSchedule!G3</f>
        <v>46054</v>
      </c>
      <c r="E3" s="841">
        <f>DispatchSchedule!H3</f>
        <v>46082</v>
      </c>
      <c r="F3" s="841">
        <f>DispatchSchedule!I3</f>
        <v>46113</v>
      </c>
      <c r="G3" s="841">
        <f>DispatchSchedule!J3</f>
        <v>46143</v>
      </c>
      <c r="H3" s="2005">
        <f>DispatchSchedule!K3</f>
        <v>46174</v>
      </c>
    </row>
    <row r="4" spans="1:11" ht="13.2" x14ac:dyDescent="0.25">
      <c r="A4" s="147" t="s">
        <v>122</v>
      </c>
      <c r="B4" s="151"/>
      <c r="C4" s="466"/>
      <c r="D4" s="466"/>
      <c r="E4" s="466"/>
      <c r="F4" s="466"/>
      <c r="G4" s="467"/>
      <c r="H4" s="2006"/>
    </row>
    <row r="5" spans="1:11" ht="13.2" x14ac:dyDescent="0.25">
      <c r="A5" s="136" t="s">
        <v>310</v>
      </c>
      <c r="B5" s="513"/>
      <c r="C5" s="134">
        <f>C6+C17+C18</f>
        <v>11793881.164000001</v>
      </c>
      <c r="D5" s="134">
        <f t="shared" ref="D5:H5" si="0">D6+D17+D18</f>
        <v>13687079.164000001</v>
      </c>
      <c r="E5" s="134">
        <f t="shared" si="0"/>
        <v>11793881.164000001</v>
      </c>
      <c r="F5" s="134">
        <f t="shared" si="0"/>
        <v>12412178.66405871</v>
      </c>
      <c r="G5" s="134">
        <f t="shared" si="0"/>
        <v>12412178.66405871</v>
      </c>
      <c r="H5" s="2007">
        <f t="shared" si="0"/>
        <v>12412178.66405871</v>
      </c>
      <c r="I5" s="2"/>
    </row>
    <row r="6" spans="1:11" x14ac:dyDescent="0.2">
      <c r="A6" s="6" t="s">
        <v>311</v>
      </c>
      <c r="B6" s="12" t="s">
        <v>312</v>
      </c>
      <c r="C6" s="1072">
        <f>+C7+C8+C9+C10+C11+C12+C13+C14</f>
        <v>10905683.114</v>
      </c>
      <c r="D6" s="1072">
        <f t="shared" ref="D6:H6" si="1">+D7+D8+D9+D10+D11+D12+D13+D14</f>
        <v>12798881.114</v>
      </c>
      <c r="E6" s="1072">
        <f t="shared" si="1"/>
        <v>10905683.114</v>
      </c>
      <c r="F6" s="1072">
        <f t="shared" si="1"/>
        <v>10905683.114</v>
      </c>
      <c r="G6" s="1072">
        <f t="shared" si="1"/>
        <v>10905683.114</v>
      </c>
      <c r="H6" s="2008">
        <f t="shared" si="1"/>
        <v>10905683.114</v>
      </c>
      <c r="I6" s="159">
        <f>SUM(C6:H6)</f>
        <v>67327296.684</v>
      </c>
    </row>
    <row r="7" spans="1:11" x14ac:dyDescent="0.2">
      <c r="A7" s="1051" t="s">
        <v>753</v>
      </c>
      <c r="B7" s="12"/>
      <c r="C7" s="1727">
        <v>6644840.7800000003</v>
      </c>
      <c r="D7" s="1727">
        <v>6644840.7800000003</v>
      </c>
      <c r="E7" s="1727">
        <v>6644840.7800000003</v>
      </c>
      <c r="F7" s="1727">
        <v>6644840.7800000003</v>
      </c>
      <c r="G7" s="1727">
        <v>6644840.7800000003</v>
      </c>
      <c r="H7" s="1727">
        <v>6644840.7800000003</v>
      </c>
      <c r="I7" s="159">
        <f>SUM(C7:H7)</f>
        <v>39869044.68</v>
      </c>
      <c r="K7" s="1253"/>
    </row>
    <row r="8" spans="1:11" x14ac:dyDescent="0.2">
      <c r="A8" s="1051" t="s">
        <v>758</v>
      </c>
      <c r="B8" s="12"/>
      <c r="C8" s="1727">
        <v>426666.67</v>
      </c>
      <c r="D8" s="1727">
        <v>426666.67</v>
      </c>
      <c r="E8" s="1727">
        <v>426666.67</v>
      </c>
      <c r="F8" s="1727">
        <v>426666.67</v>
      </c>
      <c r="G8" s="1727">
        <v>426666.67</v>
      </c>
      <c r="H8" s="1727">
        <v>426666.67</v>
      </c>
      <c r="I8" s="159">
        <f t="shared" ref="I8:I60" si="2">SUM(C8:H8)</f>
        <v>2560000.02</v>
      </c>
      <c r="K8" s="1253"/>
    </row>
    <row r="9" spans="1:11" x14ac:dyDescent="0.2">
      <c r="A9" s="1051" t="s">
        <v>754</v>
      </c>
      <c r="B9" s="12"/>
      <c r="C9" s="1727">
        <v>303396.18</v>
      </c>
      <c r="D9" s="1727">
        <v>303396.18</v>
      </c>
      <c r="E9" s="1727">
        <v>303396.18</v>
      </c>
      <c r="F9" s="1727">
        <v>303396.18</v>
      </c>
      <c r="G9" s="1727">
        <v>303396.18</v>
      </c>
      <c r="H9" s="1727">
        <v>303396.18</v>
      </c>
      <c r="I9" s="159">
        <f t="shared" si="2"/>
        <v>1820377.0799999998</v>
      </c>
      <c r="K9" s="1253"/>
    </row>
    <row r="10" spans="1:11" x14ac:dyDescent="0.2">
      <c r="A10" s="1051" t="s">
        <v>755</v>
      </c>
      <c r="B10" s="12"/>
      <c r="C10" s="1727">
        <v>236046.77</v>
      </c>
      <c r="D10" s="1727">
        <v>236046.77</v>
      </c>
      <c r="E10" s="1727">
        <v>236046.77</v>
      </c>
      <c r="F10" s="1727">
        <v>236046.77</v>
      </c>
      <c r="G10" s="1727">
        <v>236046.77</v>
      </c>
      <c r="H10" s="1727">
        <v>236046.77</v>
      </c>
      <c r="I10" s="159">
        <f t="shared" si="2"/>
        <v>1416280.6199999999</v>
      </c>
      <c r="K10" s="1253"/>
    </row>
    <row r="11" spans="1:11" x14ac:dyDescent="0.2">
      <c r="A11" s="1051" t="s">
        <v>752</v>
      </c>
      <c r="B11" s="12"/>
      <c r="C11" s="1730">
        <f>6313206.92*0.2</f>
        <v>1262641.3840000001</v>
      </c>
      <c r="D11" s="1730">
        <f t="shared" ref="D11:H11" si="3">6313206.92*0.2</f>
        <v>1262641.3840000001</v>
      </c>
      <c r="E11" s="1730">
        <f t="shared" si="3"/>
        <v>1262641.3840000001</v>
      </c>
      <c r="F11" s="1730">
        <f t="shared" si="3"/>
        <v>1262641.3840000001</v>
      </c>
      <c r="G11" s="1730">
        <f t="shared" si="3"/>
        <v>1262641.3840000001</v>
      </c>
      <c r="H11" s="1730">
        <f t="shared" si="3"/>
        <v>1262641.3840000001</v>
      </c>
      <c r="I11" s="159">
        <f t="shared" si="2"/>
        <v>7575848.3039999995</v>
      </c>
      <c r="K11" s="1253"/>
    </row>
    <row r="12" spans="1:11" x14ac:dyDescent="0.2">
      <c r="A12" s="1051" t="s">
        <v>757</v>
      </c>
      <c r="B12" s="12"/>
      <c r="C12" s="1727">
        <v>552178.61</v>
      </c>
      <c r="D12" s="1727">
        <f>552178.61+1893198</f>
        <v>2445376.61</v>
      </c>
      <c r="E12" s="1727">
        <v>552178.61</v>
      </c>
      <c r="F12" s="1727">
        <v>552178.61</v>
      </c>
      <c r="G12" s="1727">
        <v>552178.61</v>
      </c>
      <c r="H12" s="1727">
        <v>552178.61</v>
      </c>
      <c r="I12" s="159">
        <f t="shared" si="2"/>
        <v>5206269.66</v>
      </c>
      <c r="K12" s="1253"/>
    </row>
    <row r="13" spans="1:11" x14ac:dyDescent="0.2">
      <c r="A13" s="1051" t="s">
        <v>756</v>
      </c>
      <c r="B13" s="12"/>
      <c r="C13" s="1727">
        <v>0</v>
      </c>
      <c r="D13" s="1727">
        <v>0</v>
      </c>
      <c r="E13" s="1727">
        <v>0</v>
      </c>
      <c r="F13" s="1727">
        <v>0</v>
      </c>
      <c r="G13" s="1727">
        <v>0</v>
      </c>
      <c r="H13" s="1727">
        <v>0</v>
      </c>
      <c r="I13" s="159">
        <f t="shared" si="2"/>
        <v>0</v>
      </c>
    </row>
    <row r="14" spans="1:11" x14ac:dyDescent="0.2">
      <c r="A14" s="1051" t="s">
        <v>1056</v>
      </c>
      <c r="B14" s="12"/>
      <c r="C14" s="1727">
        <v>1479912.72</v>
      </c>
      <c r="D14" s="1727">
        <v>1479912.72</v>
      </c>
      <c r="E14" s="1727">
        <v>1479912.72</v>
      </c>
      <c r="F14" s="1727">
        <v>1479912.72</v>
      </c>
      <c r="G14" s="1727">
        <v>1479912.72</v>
      </c>
      <c r="H14" s="1727">
        <v>1479912.72</v>
      </c>
      <c r="I14" s="159">
        <f t="shared" si="2"/>
        <v>8879476.3200000003</v>
      </c>
    </row>
    <row r="15" spans="1:11" x14ac:dyDescent="0.2">
      <c r="A15" s="1060" t="s">
        <v>782</v>
      </c>
      <c r="B15" s="12"/>
      <c r="C15" s="1727"/>
      <c r="D15" s="1727"/>
      <c r="E15" s="1727"/>
      <c r="F15" s="1727"/>
      <c r="G15" s="1727"/>
      <c r="H15" s="1727"/>
      <c r="I15" s="159">
        <f t="shared" si="2"/>
        <v>0</v>
      </c>
      <c r="J15" s="402">
        <v>1893197.5345108204</v>
      </c>
      <c r="K15" s="402"/>
    </row>
    <row r="16" spans="1:11" x14ac:dyDescent="0.2">
      <c r="A16" s="1060" t="s">
        <v>783</v>
      </c>
      <c r="B16" s="12"/>
      <c r="C16" s="1727"/>
      <c r="D16" s="1727"/>
      <c r="E16" s="1727"/>
      <c r="F16" s="1727"/>
      <c r="G16" s="1727"/>
      <c r="H16" s="1727"/>
      <c r="I16" s="159">
        <f t="shared" si="2"/>
        <v>0</v>
      </c>
      <c r="K16" s="402"/>
    </row>
    <row r="17" spans="1:11" x14ac:dyDescent="0.2">
      <c r="A17" s="6" t="s">
        <v>313</v>
      </c>
      <c r="B17" s="12" t="s">
        <v>312</v>
      </c>
      <c r="C17" s="1730">
        <v>325982</v>
      </c>
      <c r="D17" s="1730">
        <v>325982</v>
      </c>
      <c r="E17" s="1730">
        <v>325982</v>
      </c>
      <c r="F17" s="1730">
        <f>752366.392388531+92175.8715614765</f>
        <v>844542.2639500075</v>
      </c>
      <c r="G17" s="1730">
        <f t="shared" ref="G17:H17" si="4">752366.392388531+92175.8715614765</f>
        <v>844542.2639500075</v>
      </c>
      <c r="H17" s="1730">
        <f t="shared" si="4"/>
        <v>844542.2639500075</v>
      </c>
      <c r="I17" s="159">
        <f t="shared" si="2"/>
        <v>3511572.7918500225</v>
      </c>
      <c r="K17" s="414"/>
    </row>
    <row r="18" spans="1:11" x14ac:dyDescent="0.2">
      <c r="A18" s="468" t="s">
        <v>852</v>
      </c>
      <c r="B18" s="12" t="s">
        <v>312</v>
      </c>
      <c r="C18" s="1731">
        <v>562216.05000000005</v>
      </c>
      <c r="D18" s="1731">
        <v>562216.05000000005</v>
      </c>
      <c r="E18" s="1731">
        <v>562216.05000000005</v>
      </c>
      <c r="F18" s="1731">
        <f>562216.05+99737.2361087019</f>
        <v>661953.28610870196</v>
      </c>
      <c r="G18" s="1731">
        <f t="shared" ref="G18:H18" si="5">562216.05+99737.2361087019</f>
        <v>661953.28610870196</v>
      </c>
      <c r="H18" s="1731">
        <f t="shared" si="5"/>
        <v>661953.28610870196</v>
      </c>
      <c r="I18" s="159">
        <f t="shared" si="2"/>
        <v>3672508.0083261058</v>
      </c>
      <c r="K18" s="1035"/>
    </row>
    <row r="19" spans="1:11" x14ac:dyDescent="0.2">
      <c r="A19" s="6" t="s">
        <v>315</v>
      </c>
      <c r="B19" s="12"/>
      <c r="C19" s="501"/>
      <c r="D19" s="501"/>
      <c r="E19" s="501"/>
      <c r="F19" s="501"/>
      <c r="G19" s="501"/>
      <c r="H19" s="2011"/>
      <c r="I19" s="159">
        <f t="shared" si="2"/>
        <v>0</v>
      </c>
      <c r="K19" s="241"/>
    </row>
    <row r="20" spans="1:11" x14ac:dyDescent="0.2">
      <c r="A20" s="6" t="s">
        <v>316</v>
      </c>
      <c r="B20" s="12"/>
      <c r="C20" s="297"/>
      <c r="D20" s="297"/>
      <c r="E20" s="297"/>
      <c r="F20" s="297"/>
      <c r="G20" s="297"/>
      <c r="H20" s="2012"/>
      <c r="I20" s="159">
        <f t="shared" si="2"/>
        <v>0</v>
      </c>
    </row>
    <row r="21" spans="1:11" x14ac:dyDescent="0.2">
      <c r="A21" s="6"/>
      <c r="B21" s="12"/>
      <c r="C21" s="134"/>
      <c r="D21" s="134"/>
      <c r="E21" s="134"/>
      <c r="F21" s="134"/>
      <c r="G21" s="2"/>
      <c r="H21" s="198"/>
      <c r="I21" s="159">
        <f t="shared" si="2"/>
        <v>0</v>
      </c>
      <c r="J21" s="402">
        <f>103256.17/50*20</f>
        <v>41302.468000000001</v>
      </c>
    </row>
    <row r="22" spans="1:11" ht="13.2" x14ac:dyDescent="0.25">
      <c r="A22" s="136" t="s">
        <v>317</v>
      </c>
      <c r="B22" s="513"/>
      <c r="C22" s="134"/>
      <c r="D22" s="134"/>
      <c r="E22" s="134"/>
      <c r="F22" s="134"/>
      <c r="G22" s="2"/>
      <c r="H22" s="171"/>
      <c r="I22" s="159">
        <f t="shared" si="2"/>
        <v>0</v>
      </c>
    </row>
    <row r="23" spans="1:11" x14ac:dyDescent="0.2">
      <c r="A23" s="6" t="s">
        <v>318</v>
      </c>
      <c r="B23" s="12" t="s">
        <v>312</v>
      </c>
      <c r="C23" s="1731">
        <v>0</v>
      </c>
      <c r="D23" s="1731">
        <v>0</v>
      </c>
      <c r="E23" s="1731">
        <v>0</v>
      </c>
      <c r="F23" s="1731">
        <v>0</v>
      </c>
      <c r="G23" s="1731">
        <v>0</v>
      </c>
      <c r="H23" s="1731">
        <v>0</v>
      </c>
      <c r="I23" s="159">
        <f t="shared" si="2"/>
        <v>0</v>
      </c>
    </row>
    <row r="24" spans="1:11" x14ac:dyDescent="0.2">
      <c r="A24" s="6"/>
      <c r="B24" s="12"/>
      <c r="D24" s="134"/>
      <c r="E24" s="134"/>
      <c r="F24" s="134"/>
      <c r="G24" s="2"/>
      <c r="H24" s="171"/>
      <c r="I24" s="159">
        <f t="shared" si="2"/>
        <v>0</v>
      </c>
      <c r="J24" s="414">
        <f>+J21+'30MW-Hambantota'!J24</f>
        <v>103256.17</v>
      </c>
    </row>
    <row r="25" spans="1:11" ht="13.2" x14ac:dyDescent="0.25">
      <c r="A25" s="464" t="s">
        <v>24</v>
      </c>
      <c r="B25" s="151"/>
      <c r="C25" s="466"/>
      <c r="D25" s="466"/>
      <c r="E25" s="466"/>
      <c r="F25" s="466"/>
      <c r="G25" s="467"/>
      <c r="H25" s="2006"/>
      <c r="I25" s="159">
        <f t="shared" si="2"/>
        <v>0</v>
      </c>
    </row>
    <row r="26" spans="1:11" x14ac:dyDescent="0.2">
      <c r="A26" s="465" t="s">
        <v>89</v>
      </c>
      <c r="B26" s="514" t="s">
        <v>370</v>
      </c>
      <c r="C26" s="466"/>
      <c r="D26" s="466"/>
      <c r="E26" s="466"/>
      <c r="F26" s="466"/>
      <c r="G26" s="467"/>
      <c r="H26" s="2013"/>
      <c r="I26" s="159">
        <f t="shared" si="2"/>
        <v>0</v>
      </c>
    </row>
    <row r="27" spans="1:11" x14ac:dyDescent="0.2">
      <c r="A27" s="7" t="s">
        <v>100</v>
      </c>
      <c r="B27" s="12" t="s">
        <v>371</v>
      </c>
      <c r="C27" s="134"/>
      <c r="D27" s="134"/>
      <c r="E27" s="134"/>
      <c r="F27" s="134"/>
      <c r="G27" s="2"/>
      <c r="H27" s="198"/>
      <c r="I27" s="159">
        <f t="shared" si="2"/>
        <v>0</v>
      </c>
    </row>
    <row r="28" spans="1:11" x14ac:dyDescent="0.2">
      <c r="A28" s="7" t="s">
        <v>99</v>
      </c>
      <c r="B28" s="12" t="s">
        <v>372</v>
      </c>
      <c r="C28" s="134"/>
      <c r="D28" s="134"/>
      <c r="E28" s="134"/>
      <c r="F28" s="134"/>
      <c r="G28" s="2"/>
      <c r="H28" s="198"/>
      <c r="I28" s="159">
        <f t="shared" si="2"/>
        <v>0</v>
      </c>
    </row>
    <row r="29" spans="1:11" x14ac:dyDescent="0.2">
      <c r="A29" s="6" t="s">
        <v>144</v>
      </c>
      <c r="B29" s="12" t="s">
        <v>373</v>
      </c>
      <c r="C29" s="1877">
        <v>0.27429999999999999</v>
      </c>
      <c r="D29" s="1877">
        <v>0.27429999999999999</v>
      </c>
      <c r="E29" s="1877">
        <v>0.27429999999999999</v>
      </c>
      <c r="F29" s="1877">
        <v>0.27429999999999999</v>
      </c>
      <c r="G29" s="1877">
        <v>0.27429999999999999</v>
      </c>
      <c r="H29" s="1877">
        <v>0.27429999999999999</v>
      </c>
      <c r="I29" s="159">
        <f t="shared" si="2"/>
        <v>1.6457999999999999</v>
      </c>
    </row>
    <row r="30" spans="1:11" x14ac:dyDescent="0.2">
      <c r="A30" s="6" t="s">
        <v>87</v>
      </c>
      <c r="B30" s="12" t="s">
        <v>374</v>
      </c>
      <c r="C30" s="2015">
        <f>Inputs!C72</f>
        <v>279</v>
      </c>
      <c r="D30" s="2015">
        <f>Inputs!D72</f>
        <v>277</v>
      </c>
      <c r="E30" s="2015">
        <f>Inputs!E72</f>
        <v>277</v>
      </c>
      <c r="F30" s="2015">
        <f>Inputs!F72</f>
        <v>382</v>
      </c>
      <c r="G30" s="2015">
        <f>Inputs!G72</f>
        <v>382</v>
      </c>
      <c r="H30" s="2016">
        <f>Inputs!H72</f>
        <v>382</v>
      </c>
      <c r="I30" s="159">
        <f t="shared" si="2"/>
        <v>1979</v>
      </c>
    </row>
    <row r="31" spans="1:11" x14ac:dyDescent="0.2">
      <c r="A31" s="6" t="s">
        <v>375</v>
      </c>
      <c r="B31" s="12" t="s">
        <v>214</v>
      </c>
      <c r="C31" s="155">
        <f>C29*C30</f>
        <v>76.529699999999991</v>
      </c>
      <c r="D31" s="155">
        <f t="shared" ref="D31:H31" si="6">D29*D30</f>
        <v>75.981099999999998</v>
      </c>
      <c r="E31" s="155">
        <f t="shared" si="6"/>
        <v>75.981099999999998</v>
      </c>
      <c r="F31" s="155">
        <f t="shared" si="6"/>
        <v>104.7826</v>
      </c>
      <c r="G31" s="155">
        <f t="shared" si="6"/>
        <v>104.7826</v>
      </c>
      <c r="H31" s="2017">
        <f t="shared" si="6"/>
        <v>104.7826</v>
      </c>
      <c r="I31" s="159">
        <f t="shared" si="2"/>
        <v>542.83969999999999</v>
      </c>
    </row>
    <row r="32" spans="1:11" x14ac:dyDescent="0.2">
      <c r="A32" s="2325" t="s">
        <v>642</v>
      </c>
      <c r="B32" s="40" t="s">
        <v>56</v>
      </c>
      <c r="C32" s="2019">
        <f>+DispatchSchedule!F18</f>
        <v>0</v>
      </c>
      <c r="D32" s="2019">
        <f>+DispatchSchedule!G18</f>
        <v>0</v>
      </c>
      <c r="E32" s="2019">
        <f>+DispatchSchedule!H18</f>
        <v>0</v>
      </c>
      <c r="F32" s="2019">
        <f>+DispatchSchedule!I18</f>
        <v>0</v>
      </c>
      <c r="G32" s="2019">
        <f>+DispatchSchedule!J18</f>
        <v>0</v>
      </c>
      <c r="H32" s="2020">
        <f>+DispatchSchedule!K18</f>
        <v>0</v>
      </c>
      <c r="I32" s="159">
        <f t="shared" si="2"/>
        <v>0</v>
      </c>
    </row>
    <row r="33" spans="1:9" x14ac:dyDescent="0.2">
      <c r="A33" s="6"/>
      <c r="B33" s="12"/>
      <c r="C33" s="155"/>
      <c r="D33" s="155"/>
      <c r="E33" s="155"/>
      <c r="F33" s="155"/>
      <c r="G33" s="155"/>
      <c r="H33" s="2017"/>
      <c r="I33" s="159">
        <f t="shared" si="2"/>
        <v>0</v>
      </c>
    </row>
    <row r="34" spans="1:9" ht="13.2" x14ac:dyDescent="0.25">
      <c r="A34" s="147" t="s">
        <v>132</v>
      </c>
      <c r="B34" s="151"/>
      <c r="C34" s="466"/>
      <c r="D34" s="466"/>
      <c r="E34" s="466"/>
      <c r="F34" s="466"/>
      <c r="G34" s="467"/>
      <c r="H34" s="2006"/>
      <c r="I34" s="159">
        <f t="shared" si="2"/>
        <v>0</v>
      </c>
    </row>
    <row r="35" spans="1:9" x14ac:dyDescent="0.2">
      <c r="A35" s="6" t="s">
        <v>376</v>
      </c>
      <c r="B35" s="12" t="s">
        <v>312</v>
      </c>
      <c r="C35" s="2004">
        <v>7596667</v>
      </c>
      <c r="D35" s="2004">
        <v>7596667</v>
      </c>
      <c r="E35" s="2004">
        <v>7596667</v>
      </c>
      <c r="F35" s="2004">
        <v>7596667</v>
      </c>
      <c r="G35" s="2004">
        <v>7596667</v>
      </c>
      <c r="H35" s="2004">
        <v>7596667</v>
      </c>
      <c r="I35" s="159">
        <f t="shared" si="2"/>
        <v>45580002</v>
      </c>
    </row>
    <row r="36" spans="1:9" x14ac:dyDescent="0.2">
      <c r="A36" s="6" t="s">
        <v>376</v>
      </c>
      <c r="B36" s="12" t="s">
        <v>377</v>
      </c>
      <c r="C36" s="134"/>
      <c r="D36" s="134"/>
      <c r="E36" s="134"/>
      <c r="F36" s="134"/>
      <c r="G36" s="2"/>
      <c r="H36" s="171"/>
      <c r="I36" s="159">
        <f t="shared" si="2"/>
        <v>0</v>
      </c>
    </row>
    <row r="37" spans="1:9" x14ac:dyDescent="0.2">
      <c r="A37" s="6" t="s">
        <v>315</v>
      </c>
      <c r="B37" s="12"/>
      <c r="C37" s="138">
        <f t="shared" ref="C37:H38" si="7">C19</f>
        <v>0</v>
      </c>
      <c r="D37" s="138">
        <f t="shared" si="7"/>
        <v>0</v>
      </c>
      <c r="E37" s="138">
        <f t="shared" si="7"/>
        <v>0</v>
      </c>
      <c r="F37" s="138">
        <f t="shared" si="7"/>
        <v>0</v>
      </c>
      <c r="G37" s="138">
        <f t="shared" si="7"/>
        <v>0</v>
      </c>
      <c r="H37" s="2022">
        <f t="shared" si="7"/>
        <v>0</v>
      </c>
      <c r="I37" s="159">
        <f t="shared" si="2"/>
        <v>0</v>
      </c>
    </row>
    <row r="38" spans="1:9" x14ac:dyDescent="0.2">
      <c r="A38" s="6" t="s">
        <v>316</v>
      </c>
      <c r="B38" s="12"/>
      <c r="C38" s="138">
        <f t="shared" si="7"/>
        <v>0</v>
      </c>
      <c r="D38" s="138">
        <f t="shared" si="7"/>
        <v>0</v>
      </c>
      <c r="E38" s="138">
        <f t="shared" si="7"/>
        <v>0</v>
      </c>
      <c r="F38" s="138">
        <f t="shared" si="7"/>
        <v>0</v>
      </c>
      <c r="G38" s="138">
        <f t="shared" si="7"/>
        <v>0</v>
      </c>
      <c r="H38" s="2022">
        <f t="shared" si="7"/>
        <v>0</v>
      </c>
      <c r="I38" s="159">
        <f t="shared" si="2"/>
        <v>0</v>
      </c>
    </row>
    <row r="39" spans="1:9" x14ac:dyDescent="0.2">
      <c r="A39" s="6" t="s">
        <v>378</v>
      </c>
      <c r="B39" s="12"/>
      <c r="C39" s="138"/>
      <c r="D39" s="134"/>
      <c r="E39" s="134"/>
      <c r="F39" s="134"/>
      <c r="G39" s="2"/>
      <c r="H39" s="2023"/>
      <c r="I39" s="159">
        <f t="shared" si="2"/>
        <v>0</v>
      </c>
    </row>
    <row r="40" spans="1:9" x14ac:dyDescent="0.2">
      <c r="A40" s="6" t="s">
        <v>379</v>
      </c>
      <c r="B40" s="12"/>
      <c r="C40" s="138"/>
      <c r="D40" s="134"/>
      <c r="E40" s="134"/>
      <c r="F40" s="134"/>
      <c r="G40" s="2"/>
      <c r="H40" s="2023"/>
      <c r="I40" s="159">
        <f t="shared" si="2"/>
        <v>0</v>
      </c>
    </row>
    <row r="41" spans="1:9" ht="13.2" x14ac:dyDescent="0.25">
      <c r="A41" s="147" t="s">
        <v>380</v>
      </c>
      <c r="B41" s="90"/>
      <c r="C41" s="466"/>
      <c r="D41" s="466"/>
      <c r="E41" s="466"/>
      <c r="F41" s="466"/>
      <c r="G41" s="467"/>
      <c r="H41" s="2024"/>
      <c r="I41" s="159">
        <f t="shared" si="2"/>
        <v>0</v>
      </c>
    </row>
    <row r="42" spans="1:9" s="183" customFormat="1" x14ac:dyDescent="0.2">
      <c r="A42" s="468" t="s">
        <v>381</v>
      </c>
      <c r="B42" s="418" t="s">
        <v>382</v>
      </c>
      <c r="C42" s="2004"/>
      <c r="D42" s="2004"/>
      <c r="E42" s="2004"/>
      <c r="F42" s="2004"/>
      <c r="G42" s="2004"/>
      <c r="H42" s="2025"/>
      <c r="I42" s="159">
        <f t="shared" si="2"/>
        <v>0</v>
      </c>
    </row>
    <row r="43" spans="1:9" s="183" customFormat="1" x14ac:dyDescent="0.2">
      <c r="A43" s="468" t="s">
        <v>383</v>
      </c>
      <c r="B43" s="418" t="s">
        <v>382</v>
      </c>
      <c r="C43" s="2673">
        <v>4000</v>
      </c>
      <c r="D43" s="2673">
        <v>4000</v>
      </c>
      <c r="E43" s="2673">
        <v>4000</v>
      </c>
      <c r="F43" s="2673">
        <v>4000</v>
      </c>
      <c r="G43" s="2673">
        <v>4000</v>
      </c>
      <c r="H43" s="2673">
        <v>4000</v>
      </c>
      <c r="I43" s="159">
        <f t="shared" si="2"/>
        <v>24000</v>
      </c>
    </row>
    <row r="44" spans="1:9" ht="12.75" customHeight="1" x14ac:dyDescent="0.2">
      <c r="A44" s="6"/>
      <c r="B44" s="12"/>
      <c r="C44" s="134"/>
      <c r="D44" s="134"/>
      <c r="E44" s="134"/>
      <c r="F44" s="134"/>
      <c r="G44" s="134"/>
      <c r="H44" s="2007"/>
      <c r="I44" s="159">
        <f t="shared" si="2"/>
        <v>0</v>
      </c>
    </row>
    <row r="45" spans="1:9" x14ac:dyDescent="0.2">
      <c r="A45" s="6" t="s">
        <v>384</v>
      </c>
      <c r="B45" s="12" t="s">
        <v>385</v>
      </c>
      <c r="C45" s="1100"/>
      <c r="D45" s="1100"/>
      <c r="E45" s="1100"/>
      <c r="F45" s="1100"/>
      <c r="G45" s="1100"/>
      <c r="H45" s="2026"/>
      <c r="I45" s="159">
        <f t="shared" si="2"/>
        <v>0</v>
      </c>
    </row>
    <row r="46" spans="1:9" x14ac:dyDescent="0.2">
      <c r="A46" s="6" t="s">
        <v>386</v>
      </c>
      <c r="B46" s="12" t="s">
        <v>385</v>
      </c>
      <c r="C46" s="2638">
        <v>20</v>
      </c>
      <c r="D46" s="2638"/>
      <c r="E46" s="2638"/>
      <c r="F46" s="2638">
        <v>0</v>
      </c>
      <c r="G46" s="2638"/>
      <c r="H46" s="2638">
        <v>0</v>
      </c>
      <c r="I46" s="159">
        <f t="shared" si="2"/>
        <v>20</v>
      </c>
    </row>
    <row r="47" spans="1:9" x14ac:dyDescent="0.2">
      <c r="A47" s="6"/>
      <c r="B47" s="12"/>
      <c r="C47" s="134"/>
      <c r="D47" s="134"/>
      <c r="E47" s="134"/>
      <c r="F47" s="134"/>
      <c r="G47" s="2"/>
      <c r="H47" s="2028"/>
      <c r="I47" s="159">
        <f t="shared" si="2"/>
        <v>0</v>
      </c>
    </row>
    <row r="48" spans="1:9" ht="13.2" x14ac:dyDescent="0.25">
      <c r="A48" s="2029" t="s">
        <v>148</v>
      </c>
      <c r="B48" s="516" t="s">
        <v>320</v>
      </c>
      <c r="C48" s="2833">
        <f t="shared" ref="C48:H48" si="8">C6+C17+C18+C23</f>
        <v>11793881.164000001</v>
      </c>
      <c r="D48" s="2833">
        <f t="shared" si="8"/>
        <v>13687079.164000001</v>
      </c>
      <c r="E48" s="2833">
        <f t="shared" si="8"/>
        <v>11793881.164000001</v>
      </c>
      <c r="F48" s="2833">
        <f t="shared" si="8"/>
        <v>12412178.66405871</v>
      </c>
      <c r="G48" s="2833">
        <f t="shared" si="8"/>
        <v>12412178.66405871</v>
      </c>
      <c r="H48" s="2827">
        <f t="shared" si="8"/>
        <v>12412178.66405871</v>
      </c>
      <c r="I48" s="159">
        <f t="shared" si="2"/>
        <v>74511377.484176129</v>
      </c>
    </row>
    <row r="49" spans="1:13" ht="13.2" x14ac:dyDescent="0.25">
      <c r="A49" s="6" t="s">
        <v>149</v>
      </c>
      <c r="B49" s="517" t="s">
        <v>320</v>
      </c>
      <c r="C49" s="134">
        <f>+(1000000*(C31*C32))+C35</f>
        <v>7596667</v>
      </c>
      <c r="D49" s="134">
        <f t="shared" ref="D49:H49" si="9">+(1000000*(D31*D32))+D35</f>
        <v>7596667</v>
      </c>
      <c r="E49" s="134">
        <f t="shared" si="9"/>
        <v>7596667</v>
      </c>
      <c r="F49" s="134">
        <f t="shared" si="9"/>
        <v>7596667</v>
      </c>
      <c r="G49" s="134">
        <f t="shared" si="9"/>
        <v>7596667</v>
      </c>
      <c r="H49" s="2007">
        <f t="shared" si="9"/>
        <v>7596667</v>
      </c>
      <c r="I49" s="159">
        <f t="shared" si="2"/>
        <v>45580002</v>
      </c>
    </row>
    <row r="50" spans="1:13" ht="13.2" x14ac:dyDescent="0.25">
      <c r="A50" s="6" t="s">
        <v>387</v>
      </c>
      <c r="B50" s="517" t="s">
        <v>320</v>
      </c>
      <c r="C50" s="134">
        <f>C42*C45+C43*C46</f>
        <v>80000</v>
      </c>
      <c r="D50" s="134">
        <f t="shared" ref="D50:H50" si="10">D42*D45+D43*D46</f>
        <v>0</v>
      </c>
      <c r="E50" s="134">
        <f t="shared" si="10"/>
        <v>0</v>
      </c>
      <c r="F50" s="134">
        <f t="shared" si="10"/>
        <v>0</v>
      </c>
      <c r="G50" s="134">
        <f t="shared" si="10"/>
        <v>0</v>
      </c>
      <c r="H50" s="2007">
        <f t="shared" si="10"/>
        <v>0</v>
      </c>
      <c r="I50" s="159">
        <f t="shared" si="2"/>
        <v>80000</v>
      </c>
    </row>
    <row r="51" spans="1:13" ht="13.2" x14ac:dyDescent="0.25">
      <c r="A51" s="6" t="s">
        <v>150</v>
      </c>
      <c r="B51" s="517" t="s">
        <v>39</v>
      </c>
      <c r="C51" s="500">
        <v>20</v>
      </c>
      <c r="D51" s="500">
        <v>20</v>
      </c>
      <c r="E51" s="500">
        <v>20</v>
      </c>
      <c r="F51" s="500">
        <v>20</v>
      </c>
      <c r="G51" s="500">
        <v>20</v>
      </c>
      <c r="H51" s="500">
        <v>20</v>
      </c>
      <c r="I51" s="159">
        <f t="shared" si="2"/>
        <v>120</v>
      </c>
    </row>
    <row r="52" spans="1:13" ht="13.2" x14ac:dyDescent="0.25">
      <c r="A52" s="2018" t="s">
        <v>134</v>
      </c>
      <c r="B52" s="517" t="s">
        <v>388</v>
      </c>
      <c r="C52" s="134">
        <f>DispatchSchedule!F87*1000000</f>
        <v>0</v>
      </c>
      <c r="D52" s="134">
        <f>DispatchSchedule!G87*1000000</f>
        <v>0</v>
      </c>
      <c r="E52" s="134">
        <f>DispatchSchedule!H87*1000000</f>
        <v>0</v>
      </c>
      <c r="F52" s="134">
        <f>DispatchSchedule!I87*1000000</f>
        <v>0</v>
      </c>
      <c r="G52" s="134">
        <f>DispatchSchedule!J87*1000000</f>
        <v>0</v>
      </c>
      <c r="H52" s="2007">
        <f>DispatchSchedule!K87*1000000</f>
        <v>0</v>
      </c>
      <c r="I52" s="159">
        <f t="shared" si="2"/>
        <v>0</v>
      </c>
    </row>
    <row r="53" spans="1:13" ht="13.2" x14ac:dyDescent="0.25">
      <c r="A53" s="465" t="s">
        <v>805</v>
      </c>
      <c r="B53" s="151" t="s">
        <v>214</v>
      </c>
      <c r="C53" s="142">
        <f>IF(C52=0,0,(C49/C52))</f>
        <v>0</v>
      </c>
      <c r="D53" s="142">
        <f t="shared" ref="D53:H53" si="11">IF(D52=0,0,(D49/D52))</f>
        <v>0</v>
      </c>
      <c r="E53" s="142">
        <f t="shared" si="11"/>
        <v>0</v>
      </c>
      <c r="F53" s="142">
        <f t="shared" si="11"/>
        <v>0</v>
      </c>
      <c r="G53" s="142">
        <f t="shared" si="11"/>
        <v>0</v>
      </c>
      <c r="H53" s="2031">
        <f t="shared" si="11"/>
        <v>0</v>
      </c>
      <c r="I53" s="159">
        <f t="shared" si="2"/>
        <v>0</v>
      </c>
    </row>
    <row r="54" spans="1:13" ht="13.2" x14ac:dyDescent="0.25">
      <c r="A54" s="2032" t="s">
        <v>804</v>
      </c>
      <c r="B54" s="508" t="s">
        <v>214</v>
      </c>
      <c r="C54" s="568">
        <f>IF(C52=0,0,((C49+C50)/C52))</f>
        <v>0</v>
      </c>
      <c r="D54" s="569">
        <f t="shared" ref="D54:H54" si="12">IF(D52=0,0,((D49+D50)/D52))</f>
        <v>0</v>
      </c>
      <c r="E54" s="569">
        <f t="shared" si="12"/>
        <v>0</v>
      </c>
      <c r="F54" s="569">
        <f t="shared" si="12"/>
        <v>0</v>
      </c>
      <c r="G54" s="569">
        <f t="shared" si="12"/>
        <v>0</v>
      </c>
      <c r="H54" s="2033">
        <f t="shared" si="12"/>
        <v>0</v>
      </c>
      <c r="I54" s="159">
        <f t="shared" si="2"/>
        <v>0</v>
      </c>
    </row>
    <row r="55" spans="1:13" ht="13.2" x14ac:dyDescent="0.25">
      <c r="A55" s="55" t="s">
        <v>390</v>
      </c>
      <c r="B55" s="151" t="s">
        <v>214</v>
      </c>
      <c r="C55" s="144">
        <f t="shared" ref="C55:H55" si="13">IF(C52=0,0,(C48/C52))</f>
        <v>0</v>
      </c>
      <c r="D55" s="145">
        <f t="shared" si="13"/>
        <v>0</v>
      </c>
      <c r="E55" s="145">
        <f t="shared" si="13"/>
        <v>0</v>
      </c>
      <c r="F55" s="145">
        <f t="shared" si="13"/>
        <v>0</v>
      </c>
      <c r="G55" s="145">
        <f t="shared" si="13"/>
        <v>0</v>
      </c>
      <c r="H55" s="2034">
        <f t="shared" si="13"/>
        <v>0</v>
      </c>
      <c r="I55" s="159">
        <f t="shared" si="2"/>
        <v>0</v>
      </c>
      <c r="M55" s="414">
        <f>+K59+'30MW-Hambantota'!K58</f>
        <v>49291324.922000006</v>
      </c>
    </row>
    <row r="56" spans="1:13" ht="13.2" x14ac:dyDescent="0.25">
      <c r="A56" s="152" t="s">
        <v>390</v>
      </c>
      <c r="B56" s="151" t="s">
        <v>322</v>
      </c>
      <c r="C56" s="144">
        <f t="shared" ref="C56:H56" si="14">C48/C51/1000</f>
        <v>589.69405820000009</v>
      </c>
      <c r="D56" s="145">
        <f t="shared" si="14"/>
        <v>684.35395819999997</v>
      </c>
      <c r="E56" s="145">
        <f t="shared" si="14"/>
        <v>589.69405820000009</v>
      </c>
      <c r="F56" s="145">
        <f t="shared" si="14"/>
        <v>620.60893320293553</v>
      </c>
      <c r="G56" s="145">
        <f t="shared" si="14"/>
        <v>620.60893320293553</v>
      </c>
      <c r="H56" s="2034">
        <f t="shared" si="14"/>
        <v>620.60893320293553</v>
      </c>
      <c r="I56" s="159">
        <f t="shared" si="2"/>
        <v>3725.5688742088068</v>
      </c>
    </row>
    <row r="57" spans="1:13" ht="13.2" x14ac:dyDescent="0.25">
      <c r="A57" s="75"/>
      <c r="B57" s="82"/>
      <c r="H57" s="171"/>
      <c r="I57" s="159">
        <f t="shared" si="2"/>
        <v>0</v>
      </c>
    </row>
    <row r="58" spans="1:13" ht="13.2" x14ac:dyDescent="0.25">
      <c r="A58" s="2035" t="s">
        <v>148</v>
      </c>
      <c r="B58" s="508" t="s">
        <v>460</v>
      </c>
      <c r="C58" s="509">
        <f>IF(C52=0,(C48+C49)/1000000,C48/1000000)</f>
        <v>19.390548164000002</v>
      </c>
      <c r="D58" s="509">
        <f t="shared" ref="D58:H58" si="15">IF(D52=0,(D48+D49)/1000000,D48/1000000)</f>
        <v>21.283746164</v>
      </c>
      <c r="E58" s="509">
        <f t="shared" si="15"/>
        <v>19.390548164000002</v>
      </c>
      <c r="F58" s="509">
        <f t="shared" si="15"/>
        <v>20.008845664058708</v>
      </c>
      <c r="G58" s="509">
        <f t="shared" si="15"/>
        <v>20.008845664058708</v>
      </c>
      <c r="H58" s="2036">
        <f t="shared" si="15"/>
        <v>20.008845664058708</v>
      </c>
      <c r="I58" s="159">
        <f t="shared" si="2"/>
        <v>120.09137948417613</v>
      </c>
      <c r="K58" s="402">
        <f>+C58*1000000</f>
        <v>19390548.164000001</v>
      </c>
    </row>
    <row r="59" spans="1:13" ht="13.2" x14ac:dyDescent="0.25">
      <c r="A59" s="2037" t="s">
        <v>149</v>
      </c>
      <c r="B59" s="151" t="s">
        <v>460</v>
      </c>
      <c r="C59" s="182">
        <f>IF(C52=0,0,(C49+C50)/1000000)</f>
        <v>0</v>
      </c>
      <c r="D59" s="182">
        <f t="shared" ref="D59:H59" si="16">IF(D52=0,0,(D49+D50)/1000000)</f>
        <v>0</v>
      </c>
      <c r="E59" s="182">
        <f t="shared" si="16"/>
        <v>0</v>
      </c>
      <c r="F59" s="182">
        <f t="shared" si="16"/>
        <v>0</v>
      </c>
      <c r="G59" s="182">
        <f t="shared" si="16"/>
        <v>0</v>
      </c>
      <c r="H59" s="2038">
        <f t="shared" si="16"/>
        <v>0</v>
      </c>
      <c r="I59" s="159">
        <f t="shared" si="2"/>
        <v>0</v>
      </c>
      <c r="K59" s="414">
        <f>+K58+C17</f>
        <v>19716530.164000001</v>
      </c>
    </row>
    <row r="60" spans="1:13" ht="13.8" thickBot="1" x14ac:dyDescent="0.3">
      <c r="A60" s="2039" t="s">
        <v>134</v>
      </c>
      <c r="B60" s="2040" t="s">
        <v>56</v>
      </c>
      <c r="C60" s="2041">
        <f>+C52/1000000</f>
        <v>0</v>
      </c>
      <c r="D60" s="2041">
        <f t="shared" ref="D60:H60" si="17">+D52/1000000</f>
        <v>0</v>
      </c>
      <c r="E60" s="2041">
        <f t="shared" si="17"/>
        <v>0</v>
      </c>
      <c r="F60" s="2041">
        <f t="shared" si="17"/>
        <v>0</v>
      </c>
      <c r="G60" s="2041">
        <f t="shared" si="17"/>
        <v>0</v>
      </c>
      <c r="H60" s="2042">
        <f t="shared" si="17"/>
        <v>0</v>
      </c>
      <c r="I60" s="159">
        <f t="shared" si="2"/>
        <v>0</v>
      </c>
    </row>
    <row r="62" spans="1:13" x14ac:dyDescent="0.2">
      <c r="C62" s="403"/>
      <c r="D62" s="322"/>
      <c r="E62" s="322"/>
      <c r="F62" s="322"/>
      <c r="G62" s="322"/>
      <c r="H62" s="322"/>
    </row>
    <row r="63" spans="1:13" ht="13.8" x14ac:dyDescent="0.25">
      <c r="A63" s="1083"/>
      <c r="B63" s="456"/>
      <c r="C63" s="1104"/>
      <c r="D63" s="1104"/>
      <c r="E63" s="1104"/>
      <c r="F63" s="1104"/>
      <c r="G63" s="1104"/>
      <c r="H63" s="1104"/>
    </row>
    <row r="64" spans="1:13" ht="31.5" customHeight="1" x14ac:dyDescent="0.2">
      <c r="A64" s="183"/>
      <c r="B64" s="1156"/>
      <c r="C64" s="1210"/>
      <c r="D64" s="1156"/>
      <c r="E64" s="1156"/>
      <c r="F64" s="1156"/>
      <c r="G64" s="1156"/>
      <c r="H64" s="1156"/>
    </row>
    <row r="65" spans="1:9" x14ac:dyDescent="0.2">
      <c r="C65" s="165"/>
      <c r="D65" s="165"/>
      <c r="E65" s="165"/>
      <c r="F65" s="165"/>
      <c r="G65" s="165"/>
      <c r="H65" s="165"/>
    </row>
    <row r="67" spans="1:9" x14ac:dyDescent="0.2">
      <c r="C67" s="403"/>
      <c r="D67" s="241"/>
    </row>
    <row r="68" spans="1:9" x14ac:dyDescent="0.2">
      <c r="B68" s="456"/>
      <c r="C68" s="403"/>
      <c r="D68" s="241"/>
    </row>
    <row r="69" spans="1:9" x14ac:dyDescent="0.2">
      <c r="A69" s="638"/>
      <c r="C69" s="403"/>
      <c r="D69" s="403"/>
      <c r="E69" s="403"/>
      <c r="F69" s="403"/>
      <c r="G69" s="403"/>
      <c r="H69" s="403"/>
    </row>
    <row r="70" spans="1:9" x14ac:dyDescent="0.2">
      <c r="A70" s="638"/>
      <c r="C70" s="403"/>
      <c r="D70" s="403"/>
      <c r="E70" s="403"/>
      <c r="F70" s="403"/>
      <c r="G70" s="403"/>
      <c r="H70" s="403"/>
    </row>
    <row r="71" spans="1:9" x14ac:dyDescent="0.2">
      <c r="A71" s="638"/>
      <c r="C71" s="403"/>
      <c r="D71" s="403"/>
      <c r="E71" s="403"/>
      <c r="F71" s="403"/>
      <c r="G71" s="403"/>
      <c r="H71" s="403"/>
    </row>
    <row r="72" spans="1:9" x14ac:dyDescent="0.2">
      <c r="C72" s="403"/>
      <c r="D72" s="403"/>
      <c r="E72" s="403"/>
      <c r="F72" s="403"/>
      <c r="G72" s="403"/>
      <c r="H72" s="403"/>
    </row>
    <row r="73" spans="1:9" x14ac:dyDescent="0.2">
      <c r="C73" s="241"/>
      <c r="D73" s="241"/>
      <c r="E73" s="241"/>
      <c r="F73" s="241"/>
      <c r="G73" s="241"/>
      <c r="H73" s="241"/>
      <c r="I73" s="403"/>
    </row>
    <row r="74" spans="1:9" x14ac:dyDescent="0.2">
      <c r="C74" s="403"/>
      <c r="D74" s="403"/>
      <c r="E74" s="403"/>
      <c r="F74" s="403"/>
      <c r="G74" s="403"/>
      <c r="H74" s="403"/>
    </row>
    <row r="75" spans="1:9" x14ac:dyDescent="0.2">
      <c r="C75" s="403"/>
      <c r="D75" s="403"/>
      <c r="E75" s="403"/>
      <c r="F75" s="403"/>
      <c r="G75" s="403"/>
      <c r="H75" s="403"/>
    </row>
    <row r="76" spans="1:9" x14ac:dyDescent="0.2">
      <c r="C76" s="403"/>
      <c r="D76" s="403"/>
      <c r="E76" s="403"/>
      <c r="F76" s="403"/>
      <c r="G76" s="403"/>
      <c r="H76" s="403"/>
    </row>
    <row r="77" spans="1:9" x14ac:dyDescent="0.2">
      <c r="C77" s="403"/>
      <c r="D77" s="403"/>
      <c r="E77" s="403"/>
      <c r="F77" s="403"/>
      <c r="G77" s="403"/>
      <c r="H77" s="403"/>
    </row>
    <row r="78" spans="1:9" x14ac:dyDescent="0.2">
      <c r="C78" s="403"/>
      <c r="D78" s="403"/>
      <c r="E78" s="403"/>
      <c r="F78" s="403"/>
      <c r="G78" s="403"/>
      <c r="H78" s="403"/>
    </row>
    <row r="79" spans="1:9" x14ac:dyDescent="0.2">
      <c r="C79" s="403"/>
      <c r="D79" s="403"/>
      <c r="E79" s="403"/>
      <c r="F79" s="403"/>
      <c r="G79" s="403"/>
      <c r="H79" s="403"/>
    </row>
    <row r="80" spans="1:9" x14ac:dyDescent="0.2">
      <c r="C80" s="403"/>
      <c r="D80" s="403"/>
      <c r="E80" s="403"/>
      <c r="F80" s="403"/>
      <c r="G80" s="403"/>
      <c r="H80" s="403"/>
    </row>
    <row r="81" spans="3:8" x14ac:dyDescent="0.2">
      <c r="C81" s="403"/>
      <c r="D81" s="403"/>
      <c r="E81" s="403"/>
      <c r="F81" s="403"/>
      <c r="G81" s="403"/>
      <c r="H81" s="403"/>
    </row>
    <row r="82" spans="3:8" x14ac:dyDescent="0.2">
      <c r="C82" s="403"/>
      <c r="D82" s="403"/>
      <c r="E82" s="403"/>
      <c r="F82" s="403"/>
      <c r="G82" s="403"/>
      <c r="H82" s="403"/>
    </row>
    <row r="83" spans="3:8" x14ac:dyDescent="0.2">
      <c r="C83" s="403"/>
      <c r="D83" s="403"/>
      <c r="E83" s="403"/>
      <c r="F83" s="403"/>
      <c r="G83" s="403"/>
      <c r="H83" s="403"/>
    </row>
    <row r="84" spans="3:8" x14ac:dyDescent="0.2">
      <c r="C84" s="403"/>
      <c r="D84" s="403"/>
      <c r="E84" s="403"/>
      <c r="F84" s="403"/>
      <c r="G84" s="403"/>
      <c r="H84" s="403"/>
    </row>
    <row r="85" spans="3:8" x14ac:dyDescent="0.2">
      <c r="C85" s="403"/>
      <c r="D85" s="403"/>
      <c r="E85" s="403"/>
      <c r="F85" s="403"/>
      <c r="G85" s="403"/>
      <c r="H85" s="403"/>
    </row>
    <row r="86" spans="3:8" x14ac:dyDescent="0.2">
      <c r="C86" s="403"/>
      <c r="D86" s="403"/>
      <c r="E86" s="403"/>
      <c r="F86" s="403"/>
      <c r="G86" s="403"/>
      <c r="H86" s="403"/>
    </row>
    <row r="87" spans="3:8" x14ac:dyDescent="0.2">
      <c r="C87" s="403"/>
      <c r="D87" s="403"/>
      <c r="E87" s="403"/>
      <c r="F87" s="403"/>
      <c r="G87" s="403"/>
      <c r="H87" s="403"/>
    </row>
    <row r="88" spans="3:8" x14ac:dyDescent="0.2">
      <c r="C88" s="403"/>
      <c r="D88" s="403"/>
      <c r="E88" s="403"/>
      <c r="F88" s="403"/>
      <c r="G88" s="403"/>
      <c r="H88" s="403"/>
    </row>
  </sheetData>
  <dataValidations disablePrompts="1" count="3">
    <dataValidation type="list" allowBlank="1" showInputMessage="1" showErrorMessage="1" sqref="C27" xr:uid="{00000000-0002-0000-1A00-000000000000}">
      <formula1>Units</formula1>
    </dataValidation>
    <dataValidation type="list" allowBlank="1" showInputMessage="1" showErrorMessage="1" sqref="C26" xr:uid="{00000000-0002-0000-1A00-000001000000}">
      <formula1>Combustible</formula1>
    </dataValidation>
    <dataValidation type="list" allowBlank="1" showInputMessage="1" showErrorMessage="1" sqref="B44 C28" xr:uid="{00000000-0002-0000-1A00-000002000000}">
      <formula1>Currency</formula1>
    </dataValidation>
  </dataValidations>
  <pageMargins left="0.69" right="0" top="0.22" bottom="0" header="0.19684820647419074" footer="0.11810804899387577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I128"/>
  <sheetViews>
    <sheetView view="pageBreakPreview" topLeftCell="A13" zoomScaleNormal="100" zoomScaleSheetLayoutView="100" workbookViewId="0">
      <selection activeCell="B62" sqref="B62"/>
    </sheetView>
  </sheetViews>
  <sheetFormatPr defaultRowHeight="12.6" x14ac:dyDescent="0.2"/>
  <cols>
    <col min="1" max="1" width="24.26953125" customWidth="1"/>
    <col min="2" max="2" width="14.26953125" customWidth="1"/>
    <col min="3" max="3" width="15" customWidth="1"/>
    <col min="4" max="4" width="17.08984375" customWidth="1"/>
    <col min="5" max="5" width="24" customWidth="1"/>
    <col min="6" max="6" width="15.90625" customWidth="1"/>
    <col min="8" max="8" width="13.453125" customWidth="1"/>
    <col min="9" max="9" width="16.08984375" customWidth="1"/>
  </cols>
  <sheetData>
    <row r="2" spans="1:8" x14ac:dyDescent="0.2">
      <c r="A2" s="1" t="s">
        <v>1160</v>
      </c>
    </row>
    <row r="4" spans="1:8" x14ac:dyDescent="0.2">
      <c r="A4" s="1053" t="s">
        <v>759</v>
      </c>
      <c r="B4" s="484" t="s">
        <v>760</v>
      </c>
      <c r="C4" s="484" t="s">
        <v>761</v>
      </c>
      <c r="D4" s="484" t="s">
        <v>340</v>
      </c>
      <c r="E4" s="484" t="s">
        <v>307</v>
      </c>
      <c r="F4" s="484" t="s">
        <v>762</v>
      </c>
    </row>
    <row r="5" spans="1:8" ht="14.4" x14ac:dyDescent="0.3">
      <c r="A5" s="1054" t="s">
        <v>753</v>
      </c>
      <c r="B5" s="1980">
        <v>634778020</v>
      </c>
      <c r="C5" s="1981">
        <v>60942360</v>
      </c>
      <c r="D5" s="1981">
        <v>111273480</v>
      </c>
      <c r="E5" s="1981">
        <v>90593660</v>
      </c>
      <c r="F5" s="1981">
        <v>75123480</v>
      </c>
    </row>
    <row r="6" spans="1:8" ht="14.4" x14ac:dyDescent="0.3">
      <c r="A6" s="1054" t="s">
        <v>758</v>
      </c>
      <c r="B6" s="1980">
        <v>133099750</v>
      </c>
      <c r="C6" s="1981">
        <v>0</v>
      </c>
      <c r="D6" s="1981">
        <v>1891080</v>
      </c>
      <c r="E6" s="1981">
        <v>108060</v>
      </c>
      <c r="F6" s="1981">
        <v>108060</v>
      </c>
    </row>
    <row r="7" spans="1:8" ht="14.4" x14ac:dyDescent="0.3">
      <c r="A7" s="1054" t="s">
        <v>754</v>
      </c>
      <c r="B7" s="1980">
        <v>36038710</v>
      </c>
      <c r="C7" s="1981">
        <v>885200</v>
      </c>
      <c r="D7" s="1981">
        <v>144100</v>
      </c>
      <c r="E7" s="1981">
        <v>17992180</v>
      </c>
      <c r="F7" s="1981">
        <v>3252590</v>
      </c>
    </row>
    <row r="8" spans="1:8" x14ac:dyDescent="0.2">
      <c r="A8" s="1054" t="s">
        <v>755</v>
      </c>
      <c r="B8" s="1981">
        <v>86095510</v>
      </c>
      <c r="C8" s="1981">
        <v>2456960</v>
      </c>
      <c r="D8" s="1981">
        <v>19285770</v>
      </c>
      <c r="E8" s="1981">
        <v>11928640</v>
      </c>
      <c r="F8" s="1981">
        <v>3363560</v>
      </c>
    </row>
    <row r="9" spans="1:8" x14ac:dyDescent="0.2">
      <c r="A9" s="1054" t="s">
        <v>752</v>
      </c>
      <c r="B9" s="1981">
        <v>68280000</v>
      </c>
      <c r="C9" s="1981">
        <v>6040000</v>
      </c>
      <c r="D9" s="1981">
        <v>9500000</v>
      </c>
      <c r="E9" s="1981">
        <v>22000000</v>
      </c>
      <c r="F9" s="1981">
        <v>4684660</v>
      </c>
    </row>
    <row r="10" spans="1:8" x14ac:dyDescent="0.2">
      <c r="A10" s="1054" t="s">
        <v>757</v>
      </c>
      <c r="B10" s="1981">
        <v>60747660</v>
      </c>
      <c r="C10" s="1981">
        <v>564550</v>
      </c>
      <c r="D10" s="1981">
        <v>2273780</v>
      </c>
      <c r="E10" s="1981">
        <v>4290590</v>
      </c>
      <c r="F10" s="1981">
        <v>1238120</v>
      </c>
    </row>
    <row r="11" spans="1:8" x14ac:dyDescent="0.2">
      <c r="A11" s="1054" t="s">
        <v>756</v>
      </c>
      <c r="B11" s="1981">
        <v>2112637890</v>
      </c>
      <c r="C11" s="1981">
        <v>821240</v>
      </c>
      <c r="D11" s="1981">
        <v>900000</v>
      </c>
      <c r="E11" s="1981">
        <v>0</v>
      </c>
      <c r="F11" s="1981">
        <v>0</v>
      </c>
    </row>
    <row r="12" spans="1:8" ht="14.4" x14ac:dyDescent="0.3">
      <c r="A12" s="1054" t="s">
        <v>812</v>
      </c>
      <c r="B12" s="1868">
        <v>484240000</v>
      </c>
      <c r="C12" s="1868">
        <v>4270000</v>
      </c>
      <c r="D12" s="1868">
        <v>16870000</v>
      </c>
      <c r="E12" s="1868">
        <v>31760000</v>
      </c>
      <c r="F12" s="1868">
        <v>1310000</v>
      </c>
    </row>
    <row r="13" spans="1:8" ht="14.4" x14ac:dyDescent="0.3">
      <c r="A13" s="1982" t="s">
        <v>1165</v>
      </c>
      <c r="B13" s="1868">
        <v>14860000</v>
      </c>
      <c r="C13" s="1981"/>
      <c r="D13" s="1981"/>
      <c r="E13" s="1981"/>
      <c r="F13" s="1981"/>
    </row>
    <row r="14" spans="1:8" ht="14.4" x14ac:dyDescent="0.3">
      <c r="A14" s="1055" t="s">
        <v>763</v>
      </c>
      <c r="B14" s="1983">
        <v>3630777540</v>
      </c>
      <c r="C14" s="1984">
        <v>75980310</v>
      </c>
      <c r="D14" s="1984">
        <v>162138210</v>
      </c>
      <c r="E14" s="1984">
        <v>178673130</v>
      </c>
      <c r="F14" s="1984">
        <v>89080470</v>
      </c>
      <c r="H14" s="1985">
        <v>4136649660</v>
      </c>
    </row>
    <row r="15" spans="1:8" x14ac:dyDescent="0.2">
      <c r="A15" s="1052"/>
    </row>
    <row r="17" spans="1:9" x14ac:dyDescent="0.2">
      <c r="B17" s="1986"/>
      <c r="C17" s="1986"/>
      <c r="D17" s="1986"/>
      <c r="E17" s="1987"/>
      <c r="F17" s="1986"/>
    </row>
    <row r="18" spans="1:9" ht="14.4" x14ac:dyDescent="0.3">
      <c r="A18" s="688" t="s">
        <v>1166</v>
      </c>
      <c r="B18" s="688"/>
    </row>
    <row r="20" spans="1:9" ht="14.4" x14ac:dyDescent="0.3">
      <c r="C20" s="2971"/>
      <c r="D20" s="2972"/>
      <c r="E20" s="2973"/>
      <c r="G20" s="688" t="s">
        <v>786</v>
      </c>
      <c r="I20" s="688">
        <v>3033.7</v>
      </c>
    </row>
    <row r="21" spans="1:9" x14ac:dyDescent="0.2">
      <c r="A21" s="1053" t="s">
        <v>307</v>
      </c>
      <c r="B21" s="1053" t="s">
        <v>150</v>
      </c>
      <c r="C21" s="1053" t="s">
        <v>760</v>
      </c>
      <c r="D21" s="1053" t="s">
        <v>307</v>
      </c>
      <c r="E21" s="1053" t="s">
        <v>445</v>
      </c>
    </row>
    <row r="22" spans="1:9" x14ac:dyDescent="0.2">
      <c r="A22" s="47" t="s">
        <v>764</v>
      </c>
      <c r="B22" s="47">
        <v>210</v>
      </c>
      <c r="C22" s="1729">
        <v>241767854.71034026</v>
      </c>
      <c r="D22" s="1729">
        <v>40797387.517668806</v>
      </c>
      <c r="E22" s="1988">
        <v>282565242.22800905</v>
      </c>
      <c r="F22" s="1989">
        <f>E22/12</f>
        <v>23547103.519000754</v>
      </c>
    </row>
    <row r="23" spans="1:9" x14ac:dyDescent="0.2">
      <c r="A23" s="47" t="s">
        <v>765</v>
      </c>
      <c r="B23" s="47">
        <v>40</v>
      </c>
      <c r="C23" s="1729">
        <v>46051019.944826715</v>
      </c>
      <c r="D23" s="1729">
        <v>7770930.9557464384</v>
      </c>
      <c r="E23" s="1988">
        <v>53821950.900573149</v>
      </c>
      <c r="F23" s="1989">
        <f t="shared" ref="F23:F29" si="0">E23/12</f>
        <v>4485162.5750477621</v>
      </c>
    </row>
    <row r="24" spans="1:9" x14ac:dyDescent="0.2">
      <c r="A24" s="47" t="s">
        <v>766</v>
      </c>
      <c r="B24" s="47">
        <v>201</v>
      </c>
      <c r="C24" s="1729">
        <v>231406375.22275424</v>
      </c>
      <c r="D24" s="1729">
        <v>39048928.052625857</v>
      </c>
      <c r="E24" s="1988">
        <v>270455303.27538007</v>
      </c>
      <c r="F24" s="1989">
        <f t="shared" si="0"/>
        <v>22537941.939615007</v>
      </c>
    </row>
    <row r="25" spans="1:9" x14ac:dyDescent="0.2">
      <c r="A25" s="47" t="s">
        <v>767</v>
      </c>
      <c r="B25" s="1057">
        <v>172</v>
      </c>
      <c r="C25" s="1729">
        <v>198019385.76275486</v>
      </c>
      <c r="D25" s="1729">
        <v>33415003.109709688</v>
      </c>
      <c r="E25" s="1988">
        <v>231434388.87246454</v>
      </c>
      <c r="F25" s="1989">
        <f t="shared" si="0"/>
        <v>19286199.072705377</v>
      </c>
    </row>
    <row r="26" spans="1:9" ht="14.4" x14ac:dyDescent="0.3">
      <c r="A26" s="47" t="s">
        <v>768</v>
      </c>
      <c r="B26" s="1990">
        <v>3.2</v>
      </c>
      <c r="C26" s="1729">
        <v>3684081.5955861369</v>
      </c>
      <c r="D26" s="1729">
        <v>621674.47645971505</v>
      </c>
      <c r="E26" s="1988">
        <v>4305756.0720458515</v>
      </c>
      <c r="F26" s="1989">
        <f t="shared" si="0"/>
        <v>358813.00600382098</v>
      </c>
    </row>
    <row r="27" spans="1:9" x14ac:dyDescent="0.2">
      <c r="A27" s="47" t="s">
        <v>769</v>
      </c>
      <c r="B27" s="47">
        <v>40</v>
      </c>
      <c r="C27" s="1729">
        <v>46051019.944826715</v>
      </c>
      <c r="D27" s="1729">
        <v>7770930.9557464384</v>
      </c>
      <c r="E27" s="1988">
        <v>53821950.900573149</v>
      </c>
      <c r="F27" s="1989">
        <f t="shared" si="0"/>
        <v>4485162.5750477621</v>
      </c>
    </row>
    <row r="28" spans="1:9" x14ac:dyDescent="0.2">
      <c r="A28" s="47" t="s">
        <v>770</v>
      </c>
      <c r="B28" s="47">
        <v>150</v>
      </c>
      <c r="C28" s="1729">
        <v>172691324.79310018</v>
      </c>
      <c r="D28" s="1729">
        <v>29140991.084049147</v>
      </c>
      <c r="E28" s="1988">
        <v>201832315.87714931</v>
      </c>
      <c r="F28" s="1989">
        <f t="shared" si="0"/>
        <v>16819359.656429108</v>
      </c>
    </row>
    <row r="29" spans="1:9" x14ac:dyDescent="0.2">
      <c r="A29" s="47" t="s">
        <v>1069</v>
      </c>
      <c r="B29" s="47">
        <v>103.5</v>
      </c>
      <c r="C29" s="1729">
        <v>119157014.10723913</v>
      </c>
      <c r="D29" s="1729">
        <v>20107283.84799391</v>
      </c>
      <c r="E29" s="1988">
        <v>139264297.95523304</v>
      </c>
      <c r="F29" s="1989">
        <f t="shared" si="0"/>
        <v>11605358.162936086</v>
      </c>
      <c r="H29" s="70"/>
    </row>
    <row r="30" spans="1:9" ht="14.4" x14ac:dyDescent="0.3">
      <c r="A30" s="47"/>
      <c r="B30" s="1058">
        <f>SUM(B22:B29)</f>
        <v>919.7</v>
      </c>
      <c r="C30" s="1869">
        <f>SUM(C22:C29)</f>
        <v>1058828076.0814282</v>
      </c>
      <c r="D30" s="1869">
        <f>SUM(D22:D29)</f>
        <v>178673129.99999997</v>
      </c>
      <c r="E30" s="1991">
        <f>SUM(E22:E29)</f>
        <v>1237501206.0814281</v>
      </c>
      <c r="F30" s="1992">
        <f>SUM(F22:F29)</f>
        <v>103125100.50678569</v>
      </c>
    </row>
    <row r="31" spans="1:9" x14ac:dyDescent="0.2">
      <c r="E31" s="257"/>
      <c r="F31" s="1993"/>
    </row>
    <row r="32" spans="1:9" x14ac:dyDescent="0.2">
      <c r="E32" s="257"/>
      <c r="F32" s="1993"/>
    </row>
    <row r="33" spans="1:8" x14ac:dyDescent="0.2">
      <c r="A33" s="1053" t="s">
        <v>340</v>
      </c>
      <c r="B33" s="1053" t="s">
        <v>150</v>
      </c>
      <c r="C33" s="1053" t="s">
        <v>760</v>
      </c>
      <c r="D33" s="1053" t="s">
        <v>340</v>
      </c>
      <c r="E33" s="1059" t="s">
        <v>445</v>
      </c>
      <c r="F33" s="1993"/>
    </row>
    <row r="34" spans="1:8" x14ac:dyDescent="0.2">
      <c r="A34" s="47" t="s">
        <v>771</v>
      </c>
      <c r="B34" s="47">
        <v>153.80000000000001</v>
      </c>
      <c r="C34" s="1729">
        <v>177066171.68785873</v>
      </c>
      <c r="D34" s="1729">
        <v>66711762.166934185</v>
      </c>
      <c r="E34" s="1988">
        <v>243777933.85479292</v>
      </c>
      <c r="F34" s="1989">
        <v>20314827.821232744</v>
      </c>
    </row>
    <row r="35" spans="1:8" x14ac:dyDescent="0.2">
      <c r="A35" s="47" t="s">
        <v>772</v>
      </c>
      <c r="B35" s="47">
        <v>90</v>
      </c>
      <c r="C35" s="1729">
        <v>86345662.396550089</v>
      </c>
      <c r="D35" s="1729">
        <v>32531743.579454254</v>
      </c>
      <c r="E35" s="1988">
        <v>118877405.97600435</v>
      </c>
      <c r="F35" s="1989">
        <v>9906450.4980003629</v>
      </c>
    </row>
    <row r="36" spans="1:8" x14ac:dyDescent="0.2">
      <c r="A36" s="47" t="s">
        <v>773</v>
      </c>
      <c r="B36" s="47">
        <v>50</v>
      </c>
      <c r="C36" s="1729">
        <v>57563774.931033395</v>
      </c>
      <c r="D36" s="1729">
        <v>21687829.0529695</v>
      </c>
      <c r="E36" s="1988">
        <v>79251603.984002888</v>
      </c>
      <c r="F36" s="1989">
        <v>6604300.3320002407</v>
      </c>
    </row>
    <row r="37" spans="1:8" x14ac:dyDescent="0.2">
      <c r="A37" s="47" t="s">
        <v>774</v>
      </c>
      <c r="B37" s="47">
        <v>60</v>
      </c>
      <c r="C37" s="1729">
        <v>69076529.917240068</v>
      </c>
      <c r="D37" s="1729">
        <v>26025394.863563403</v>
      </c>
      <c r="E37" s="1988">
        <v>95101924.780803472</v>
      </c>
      <c r="F37" s="1989">
        <v>7925160.398400289</v>
      </c>
      <c r="H37" s="70"/>
    </row>
    <row r="38" spans="1:8" ht="14.4" x14ac:dyDescent="0.3">
      <c r="A38" s="1990" t="s">
        <v>1146</v>
      </c>
      <c r="B38" s="1990">
        <v>35</v>
      </c>
      <c r="C38" s="1729">
        <v>40294642.451723374</v>
      </c>
      <c r="D38" s="1729">
        <v>15181480.337078651</v>
      </c>
      <c r="E38" s="1988">
        <v>55476122.788802028</v>
      </c>
      <c r="F38" s="1989">
        <v>4623010.2324001687</v>
      </c>
      <c r="H38" s="70"/>
    </row>
    <row r="39" spans="1:8" ht="14.4" x14ac:dyDescent="0.3">
      <c r="A39" s="47"/>
      <c r="B39" s="1058">
        <f>SUM(B34:B38)</f>
        <v>388.8</v>
      </c>
      <c r="C39" s="1869">
        <f>SUM(C34:C38)</f>
        <v>430346781.38440567</v>
      </c>
      <c r="D39" s="1984">
        <f>SUM(D34:D38)</f>
        <v>162138210</v>
      </c>
      <c r="E39" s="1991">
        <f>SUM(E34:E38)</f>
        <v>592484991.38440561</v>
      </c>
      <c r="F39" s="1994">
        <f>SUM(F34:F38)</f>
        <v>49373749.282033809</v>
      </c>
    </row>
    <row r="40" spans="1:8" x14ac:dyDescent="0.2">
      <c r="E40" s="257"/>
      <c r="F40" s="1989"/>
    </row>
    <row r="41" spans="1:8" x14ac:dyDescent="0.2">
      <c r="E41" s="257"/>
      <c r="F41" s="1989"/>
    </row>
    <row r="42" spans="1:8" x14ac:dyDescent="0.2">
      <c r="A42" s="1053" t="s">
        <v>762</v>
      </c>
      <c r="B42" s="1053" t="s">
        <v>150</v>
      </c>
      <c r="C42" s="1053" t="s">
        <v>760</v>
      </c>
      <c r="D42" s="1053" t="s">
        <v>762</v>
      </c>
      <c r="E42" s="1059" t="s">
        <v>445</v>
      </c>
      <c r="F42" s="1989"/>
    </row>
    <row r="43" spans="1:8" x14ac:dyDescent="0.2">
      <c r="A43" s="47" t="s">
        <v>775</v>
      </c>
      <c r="B43" s="47">
        <v>120</v>
      </c>
      <c r="C43" s="1729">
        <v>138153059.83448014</v>
      </c>
      <c r="D43" s="1729">
        <v>32373278.013325259</v>
      </c>
      <c r="E43" s="1988">
        <v>170526337.84780538</v>
      </c>
      <c r="F43" s="1989">
        <v>14210528.153983781</v>
      </c>
    </row>
    <row r="44" spans="1:8" x14ac:dyDescent="0.2">
      <c r="A44" s="47" t="s">
        <v>776</v>
      </c>
      <c r="B44" s="47">
        <v>75</v>
      </c>
      <c r="C44" s="1729">
        <v>86345662.396550089</v>
      </c>
      <c r="D44" s="1729">
        <v>20233298.758328285</v>
      </c>
      <c r="E44" s="1988">
        <v>106578961.15487838</v>
      </c>
      <c r="F44" s="1989">
        <v>8881580.0962398648</v>
      </c>
    </row>
    <row r="45" spans="1:8" x14ac:dyDescent="0.2">
      <c r="A45" s="47" t="s">
        <v>1167</v>
      </c>
      <c r="B45" s="47">
        <v>120</v>
      </c>
      <c r="C45" s="1729">
        <v>138153059.83448014</v>
      </c>
      <c r="D45" s="1729">
        <v>32373278.013325259</v>
      </c>
      <c r="E45" s="1988">
        <v>170526337.84780538</v>
      </c>
      <c r="F45" s="1989">
        <v>14210528.153983781</v>
      </c>
    </row>
    <row r="46" spans="1:8" ht="14.4" x14ac:dyDescent="0.3">
      <c r="A46" s="47" t="s">
        <v>777</v>
      </c>
      <c r="B46" s="1990">
        <v>11.2</v>
      </c>
      <c r="C46" s="1729">
        <v>12894285.58455148</v>
      </c>
      <c r="D46" s="1729">
        <v>3021505.9479103573</v>
      </c>
      <c r="E46" s="1988">
        <v>15915791.532461837</v>
      </c>
      <c r="F46" s="1989">
        <v>1326315.9610384863</v>
      </c>
    </row>
    <row r="47" spans="1:8" x14ac:dyDescent="0.2">
      <c r="A47" s="47" t="s">
        <v>778</v>
      </c>
      <c r="B47" s="47">
        <v>4</v>
      </c>
      <c r="C47" s="1729">
        <v>4605101.9944826718</v>
      </c>
      <c r="D47" s="1729">
        <v>1079109.267110842</v>
      </c>
      <c r="E47" s="1988">
        <v>5684211.2615935141</v>
      </c>
      <c r="F47" s="1989">
        <v>473684.27179945953</v>
      </c>
      <c r="H47" s="70"/>
    </row>
    <row r="48" spans="1:8" ht="14.4" x14ac:dyDescent="0.3">
      <c r="A48" s="47"/>
      <c r="B48" s="1058">
        <f>SUM(B43:B47)</f>
        <v>330.2</v>
      </c>
      <c r="C48" s="1869">
        <f>SUM(C43:C47)</f>
        <v>380151169.64454454</v>
      </c>
      <c r="D48" s="1995">
        <f>SUM(D43:D47)</f>
        <v>89080470</v>
      </c>
      <c r="E48" s="1996">
        <f>SUM(E43:E47)</f>
        <v>469231639.64454448</v>
      </c>
      <c r="F48" s="1994">
        <f>SUM(F43:F47)</f>
        <v>39102636.637045369</v>
      </c>
    </row>
    <row r="49" spans="1:9" ht="14.4" x14ac:dyDescent="0.3">
      <c r="B49" s="688"/>
      <c r="E49" s="257"/>
      <c r="F49" s="1989"/>
    </row>
    <row r="50" spans="1:9" x14ac:dyDescent="0.2">
      <c r="A50" s="1053" t="s">
        <v>779</v>
      </c>
      <c r="B50" s="1053" t="s">
        <v>150</v>
      </c>
      <c r="C50" s="1053" t="s">
        <v>760</v>
      </c>
      <c r="D50" s="1053" t="s">
        <v>779</v>
      </c>
      <c r="E50" s="1059" t="s">
        <v>445</v>
      </c>
      <c r="F50" s="1989"/>
    </row>
    <row r="51" spans="1:9" x14ac:dyDescent="0.2">
      <c r="A51" s="47" t="s">
        <v>368</v>
      </c>
      <c r="B51" s="47">
        <v>70</v>
      </c>
      <c r="C51" s="1729">
        <v>80589284.903446749</v>
      </c>
      <c r="D51" s="1729">
        <v>8442256.666666666</v>
      </c>
      <c r="E51" s="1988">
        <v>89031541.57011342</v>
      </c>
      <c r="F51" s="1989">
        <v>7419295.1308427854</v>
      </c>
    </row>
    <row r="52" spans="1:9" x14ac:dyDescent="0.2">
      <c r="A52" s="47" t="s">
        <v>423</v>
      </c>
      <c r="B52" s="47">
        <v>72</v>
      </c>
      <c r="C52" s="1729">
        <v>82891835.900688082</v>
      </c>
      <c r="D52" s="1729">
        <v>8683464</v>
      </c>
      <c r="E52" s="1988">
        <v>91575299.900688082</v>
      </c>
      <c r="F52" s="1989">
        <v>7631274.9917240068</v>
      </c>
    </row>
    <row r="53" spans="1:9" x14ac:dyDescent="0.2">
      <c r="A53" s="47" t="s">
        <v>391</v>
      </c>
      <c r="B53" s="47">
        <v>68</v>
      </c>
      <c r="C53" s="1729">
        <v>78286733.906205416</v>
      </c>
      <c r="D53" s="1729">
        <v>8201049.333333333</v>
      </c>
      <c r="E53" s="1988">
        <v>86487783.239538744</v>
      </c>
      <c r="F53" s="1989">
        <v>7207315.269961562</v>
      </c>
    </row>
    <row r="54" spans="1:9" x14ac:dyDescent="0.2">
      <c r="A54" s="47" t="s">
        <v>408</v>
      </c>
      <c r="B54" s="47">
        <v>115</v>
      </c>
      <c r="C54" s="1729">
        <v>132396682.3413768</v>
      </c>
      <c r="D54" s="1729">
        <v>13869421.666666666</v>
      </c>
      <c r="E54" s="1988">
        <v>146266104.00804347</v>
      </c>
      <c r="F54" s="1989">
        <v>12188842.00067029</v>
      </c>
    </row>
    <row r="55" spans="1:9" ht="14.4" x14ac:dyDescent="0.3">
      <c r="A55" s="47" t="s">
        <v>412</v>
      </c>
      <c r="B55" s="1990">
        <v>165</v>
      </c>
      <c r="C55" s="1729">
        <v>189960457.27241018</v>
      </c>
      <c r="D55" s="1729">
        <v>19899605</v>
      </c>
      <c r="E55" s="1988">
        <v>209860062.27241018</v>
      </c>
      <c r="F55" s="1989">
        <v>17488338.52270085</v>
      </c>
    </row>
    <row r="56" spans="1:9" ht="14.4" x14ac:dyDescent="0.3">
      <c r="A56" s="484" t="s">
        <v>1222</v>
      </c>
      <c r="B56" s="1990">
        <v>157</v>
      </c>
      <c r="C56" s="1729"/>
      <c r="D56" s="1729"/>
      <c r="E56" s="1988"/>
      <c r="F56" s="1989"/>
    </row>
    <row r="57" spans="1:9" x14ac:dyDescent="0.2">
      <c r="A57" s="47" t="s">
        <v>641</v>
      </c>
      <c r="B57" s="47">
        <v>60</v>
      </c>
      <c r="C57" s="1729">
        <v>69076529.917240068</v>
      </c>
      <c r="D57" s="1729">
        <v>7236220</v>
      </c>
      <c r="E57" s="1988">
        <v>76312749.917240068</v>
      </c>
      <c r="F57" s="1989">
        <v>6359395.8264366724</v>
      </c>
    </row>
    <row r="58" spans="1:9" x14ac:dyDescent="0.2">
      <c r="A58" s="47" t="s">
        <v>537</v>
      </c>
      <c r="B58" s="47">
        <v>24</v>
      </c>
      <c r="C58" s="1729">
        <v>27630611.966896027</v>
      </c>
      <c r="D58" s="1729">
        <v>2894488</v>
      </c>
      <c r="E58" s="1988">
        <v>30525099.966896027</v>
      </c>
      <c r="F58" s="1989">
        <v>2543758.3305746689</v>
      </c>
    </row>
    <row r="59" spans="1:9" x14ac:dyDescent="0.2">
      <c r="A59" s="47" t="s">
        <v>420</v>
      </c>
      <c r="B59" s="47">
        <v>6</v>
      </c>
      <c r="C59" s="1729">
        <v>6907652.9917240068</v>
      </c>
      <c r="D59" s="1729">
        <v>723622</v>
      </c>
      <c r="E59" s="1988">
        <v>7631274.9917240068</v>
      </c>
      <c r="F59" s="1989">
        <v>635939.58264366724</v>
      </c>
      <c r="H59" s="70"/>
    </row>
    <row r="60" spans="1:9" x14ac:dyDescent="0.2">
      <c r="A60" s="47" t="s">
        <v>1041</v>
      </c>
      <c r="B60" s="47">
        <v>50</v>
      </c>
      <c r="C60" s="1729">
        <v>57563774.931033395</v>
      </c>
      <c r="D60" s="1729">
        <v>6030183.333333333</v>
      </c>
      <c r="E60" s="1988">
        <v>63593958.264366731</v>
      </c>
      <c r="F60" s="1989">
        <v>5299496.5220305612</v>
      </c>
      <c r="H60" s="70"/>
    </row>
    <row r="61" spans="1:9" ht="14.4" x14ac:dyDescent="0.3">
      <c r="A61" s="47"/>
      <c r="B61" s="1058">
        <v>630</v>
      </c>
      <c r="C61" s="1995">
        <f>SUM(C51:C60)</f>
        <v>725303564.13102067</v>
      </c>
      <c r="D61" s="1995">
        <f t="shared" ref="D61:E61" si="1">SUM(D51:D60)</f>
        <v>75980309.999999985</v>
      </c>
      <c r="E61" s="1995">
        <f t="shared" si="1"/>
        <v>801283874.13102078</v>
      </c>
      <c r="F61" s="1994">
        <f>SUM(F51:F60)</f>
        <v>66773656.177585065</v>
      </c>
      <c r="H61" s="70"/>
    </row>
    <row r="62" spans="1:9" ht="14.4" x14ac:dyDescent="0.3">
      <c r="A62" s="47" t="s">
        <v>415</v>
      </c>
      <c r="B62" s="1058">
        <v>900</v>
      </c>
      <c r="C62" s="1869">
        <v>1036147948.7586011</v>
      </c>
      <c r="D62" s="1995"/>
      <c r="E62" s="1991">
        <v>1036147948.7586011</v>
      </c>
      <c r="F62" s="1994">
        <v>86345662.396550089</v>
      </c>
      <c r="H62" s="1997"/>
    </row>
    <row r="63" spans="1:9" ht="14.4" x14ac:dyDescent="0.3">
      <c r="B63" s="688">
        <v>1530</v>
      </c>
      <c r="D63" s="241"/>
      <c r="E63" s="1998"/>
      <c r="I63" s="1999"/>
    </row>
    <row r="64" spans="1:9" x14ac:dyDescent="0.2">
      <c r="E64" s="257"/>
      <c r="H64" s="70"/>
    </row>
    <row r="65" spans="1:9" x14ac:dyDescent="0.2">
      <c r="H65" s="70"/>
    </row>
    <row r="66" spans="1:9" x14ac:dyDescent="0.2">
      <c r="A66" s="1" t="s">
        <v>313</v>
      </c>
    </row>
    <row r="68" spans="1:9" x14ac:dyDescent="0.2">
      <c r="A68" s="1053" t="s">
        <v>759</v>
      </c>
      <c r="B68" s="518" t="s">
        <v>785</v>
      </c>
      <c r="C68" s="47"/>
      <c r="D68" s="47"/>
      <c r="E68" s="47"/>
      <c r="F68" s="47"/>
    </row>
    <row r="69" spans="1:9" x14ac:dyDescent="0.2">
      <c r="A69" s="1054" t="s">
        <v>753</v>
      </c>
      <c r="B69" s="1981"/>
      <c r="C69" s="47"/>
      <c r="D69" s="47"/>
      <c r="E69" s="47"/>
      <c r="F69" s="47"/>
    </row>
    <row r="70" spans="1:9" x14ac:dyDescent="0.2">
      <c r="A70" s="1054" t="s">
        <v>758</v>
      </c>
      <c r="B70" s="1981"/>
      <c r="C70" s="47"/>
      <c r="D70" s="47"/>
      <c r="E70" s="47"/>
      <c r="F70" s="47"/>
    </row>
    <row r="71" spans="1:9" x14ac:dyDescent="0.2">
      <c r="A71" s="1054" t="s">
        <v>754</v>
      </c>
      <c r="B71" s="1981"/>
      <c r="C71" s="47"/>
      <c r="D71" s="47"/>
      <c r="E71" s="47"/>
      <c r="F71" s="47"/>
    </row>
    <row r="72" spans="1:9" x14ac:dyDescent="0.2">
      <c r="A72" s="1054" t="s">
        <v>755</v>
      </c>
      <c r="B72" s="1981"/>
      <c r="C72" s="47"/>
      <c r="D72" s="47"/>
      <c r="E72" s="47"/>
      <c r="F72" s="47"/>
    </row>
    <row r="73" spans="1:9" x14ac:dyDescent="0.2">
      <c r="A73" s="1054" t="s">
        <v>752</v>
      </c>
      <c r="B73" s="1981"/>
      <c r="C73" s="47"/>
      <c r="D73" s="47"/>
      <c r="E73" s="47"/>
      <c r="F73" s="47"/>
    </row>
    <row r="74" spans="1:9" x14ac:dyDescent="0.2">
      <c r="A74" s="1054" t="s">
        <v>757</v>
      </c>
      <c r="B74" s="1981"/>
      <c r="C74" s="47"/>
      <c r="D74" s="47"/>
      <c r="E74" s="47"/>
      <c r="F74" s="47"/>
      <c r="H74" t="s">
        <v>1168</v>
      </c>
      <c r="I74" s="1981"/>
    </row>
    <row r="75" spans="1:9" x14ac:dyDescent="0.2">
      <c r="A75" s="1054" t="s">
        <v>756</v>
      </c>
      <c r="B75" s="1729"/>
      <c r="C75" s="47"/>
      <c r="D75" s="47"/>
      <c r="E75" s="47"/>
      <c r="F75" s="47"/>
      <c r="H75" t="s">
        <v>1169</v>
      </c>
      <c r="I75" s="1981"/>
    </row>
    <row r="76" spans="1:9" x14ac:dyDescent="0.2">
      <c r="A76" s="1055" t="s">
        <v>763</v>
      </c>
      <c r="B76" s="832"/>
      <c r="C76" s="47"/>
      <c r="D76" s="47"/>
      <c r="E76" s="47"/>
      <c r="F76" s="47"/>
      <c r="I76" s="1981">
        <v>0</v>
      </c>
    </row>
    <row r="78" spans="1:9" x14ac:dyDescent="0.2">
      <c r="I78" s="70"/>
    </row>
    <row r="79" spans="1:9" x14ac:dyDescent="0.2">
      <c r="I79">
        <v>1</v>
      </c>
    </row>
    <row r="80" spans="1:9" ht="14.4" x14ac:dyDescent="0.3">
      <c r="A80" s="688" t="s">
        <v>781</v>
      </c>
      <c r="C80" s="2000">
        <v>1883661644</v>
      </c>
    </row>
    <row r="84" spans="1:5" ht="14.4" x14ac:dyDescent="0.3">
      <c r="C84" s="1772"/>
    </row>
    <row r="85" spans="1:5" ht="25.2" x14ac:dyDescent="0.2">
      <c r="A85" s="1053" t="s">
        <v>307</v>
      </c>
      <c r="B85" s="1053" t="s">
        <v>150</v>
      </c>
      <c r="C85" s="1937" t="s">
        <v>313</v>
      </c>
    </row>
    <row r="86" spans="1:5" ht="14.4" x14ac:dyDescent="0.3">
      <c r="A86" s="47" t="s">
        <v>764</v>
      </c>
      <c r="B86" s="1990">
        <v>210</v>
      </c>
      <c r="C86" s="1056">
        <v>125430112.32520533</v>
      </c>
      <c r="D86" s="241">
        <v>10452509.360433778</v>
      </c>
    </row>
    <row r="87" spans="1:5" ht="14.4" x14ac:dyDescent="0.3">
      <c r="A87" s="47" t="s">
        <v>765</v>
      </c>
      <c r="B87" s="1990">
        <v>40</v>
      </c>
      <c r="C87" s="1056">
        <v>23891449.966705777</v>
      </c>
      <c r="D87" s="241">
        <v>1990954.1638921481</v>
      </c>
    </row>
    <row r="88" spans="1:5" ht="14.4" x14ac:dyDescent="0.3">
      <c r="A88" s="47" t="s">
        <v>766</v>
      </c>
      <c r="B88" s="1990">
        <v>201</v>
      </c>
      <c r="C88" s="1056">
        <v>120054536.08269653</v>
      </c>
      <c r="D88" s="241">
        <v>10004544.673558043</v>
      </c>
    </row>
    <row r="89" spans="1:5" ht="14.4" x14ac:dyDescent="0.3">
      <c r="A89" s="47" t="s">
        <v>767</v>
      </c>
      <c r="B89" s="2001">
        <v>172</v>
      </c>
      <c r="C89" s="1056">
        <v>102733234.85683483</v>
      </c>
      <c r="D89" s="241">
        <v>8561102.9047362357</v>
      </c>
    </row>
    <row r="90" spans="1:5" ht="14.4" x14ac:dyDescent="0.3">
      <c r="A90" s="47" t="s">
        <v>768</v>
      </c>
      <c r="B90" s="1990">
        <v>3.2</v>
      </c>
      <c r="C90" s="1056">
        <v>1911315.9973364621</v>
      </c>
      <c r="D90" s="241">
        <v>159276.33311137185</v>
      </c>
    </row>
    <row r="91" spans="1:5" ht="14.4" x14ac:dyDescent="0.3">
      <c r="A91" s="47" t="s">
        <v>769</v>
      </c>
      <c r="B91" s="1990">
        <v>40</v>
      </c>
      <c r="C91" s="1056">
        <v>23891449.966705777</v>
      </c>
      <c r="D91" s="241">
        <v>1990954.1638921481</v>
      </c>
    </row>
    <row r="92" spans="1:5" ht="14.4" x14ac:dyDescent="0.3">
      <c r="A92" s="47" t="s">
        <v>770</v>
      </c>
      <c r="B92" s="1990">
        <v>150</v>
      </c>
      <c r="C92" s="1056">
        <v>89592937.375146657</v>
      </c>
      <c r="D92" s="241">
        <v>7466078.1145955548</v>
      </c>
    </row>
    <row r="93" spans="1:5" ht="14.4" x14ac:dyDescent="0.3">
      <c r="A93" s="47" t="s">
        <v>1069</v>
      </c>
      <c r="B93" s="1990">
        <v>103.5</v>
      </c>
      <c r="C93" s="1056">
        <v>61819126.788851194</v>
      </c>
      <c r="D93" s="241">
        <v>5151593.8990709325</v>
      </c>
    </row>
    <row r="94" spans="1:5" ht="14.4" x14ac:dyDescent="0.3">
      <c r="A94" s="47"/>
      <c r="B94" s="1058">
        <f>SUM(B86:B93)</f>
        <v>919.7</v>
      </c>
      <c r="C94" s="47"/>
      <c r="E94" s="402"/>
    </row>
    <row r="97" spans="1:4" ht="25.2" x14ac:dyDescent="0.2">
      <c r="A97" s="1053" t="s">
        <v>340</v>
      </c>
      <c r="B97" s="1053" t="s">
        <v>150</v>
      </c>
      <c r="C97" s="1937" t="s">
        <v>313</v>
      </c>
    </row>
    <row r="98" spans="1:4" x14ac:dyDescent="0.2">
      <c r="A98" s="47" t="s">
        <v>771</v>
      </c>
      <c r="B98" s="47">
        <v>153.80000000000001</v>
      </c>
      <c r="C98" s="1056">
        <v>91862625.121983707</v>
      </c>
      <c r="D98" s="241">
        <v>7655218.7601653086</v>
      </c>
    </row>
    <row r="99" spans="1:4" x14ac:dyDescent="0.2">
      <c r="A99" s="47" t="s">
        <v>772</v>
      </c>
      <c r="B99" s="47">
        <v>75</v>
      </c>
      <c r="C99" s="1056">
        <v>44796468.687573329</v>
      </c>
      <c r="D99" s="241">
        <v>3733039.0572977774</v>
      </c>
    </row>
    <row r="100" spans="1:4" x14ac:dyDescent="0.2">
      <c r="A100" s="47" t="s">
        <v>773</v>
      </c>
      <c r="B100" s="47">
        <v>50</v>
      </c>
      <c r="C100" s="1056">
        <v>29864312.458382219</v>
      </c>
      <c r="D100" s="241">
        <v>2488692.7048651851</v>
      </c>
    </row>
    <row r="101" spans="1:4" x14ac:dyDescent="0.2">
      <c r="A101" s="47" t="s">
        <v>774</v>
      </c>
      <c r="B101" s="47">
        <v>60</v>
      </c>
      <c r="C101" s="1056">
        <v>35837174.950058661</v>
      </c>
      <c r="D101" s="241">
        <v>2986431.2458382216</v>
      </c>
    </row>
    <row r="102" spans="1:4" ht="14.4" x14ac:dyDescent="0.3">
      <c r="A102" s="1990" t="s">
        <v>1146</v>
      </c>
      <c r="B102" s="1990">
        <v>35</v>
      </c>
      <c r="C102" s="1056">
        <v>20905018.720867552</v>
      </c>
      <c r="D102" s="241">
        <v>1742084.8934056293</v>
      </c>
    </row>
    <row r="103" spans="1:4" ht="14.4" x14ac:dyDescent="0.3">
      <c r="A103" s="47"/>
      <c r="B103" s="1058">
        <f>SUM(B98:B102)</f>
        <v>373.8</v>
      </c>
      <c r="C103" s="1056"/>
      <c r="D103" s="241"/>
    </row>
    <row r="106" spans="1:4" ht="25.2" x14ac:dyDescent="0.2">
      <c r="A106" s="1053" t="s">
        <v>762</v>
      </c>
      <c r="B106" s="1053" t="s">
        <v>150</v>
      </c>
      <c r="C106" s="1937" t="s">
        <v>313</v>
      </c>
    </row>
    <row r="107" spans="1:4" x14ac:dyDescent="0.2">
      <c r="A107" s="47" t="s">
        <v>775</v>
      </c>
      <c r="B107" s="47">
        <v>120</v>
      </c>
      <c r="C107" s="1056">
        <v>71674349.900117323</v>
      </c>
      <c r="D107" s="241">
        <v>5972862.4916764433</v>
      </c>
    </row>
    <row r="108" spans="1:4" x14ac:dyDescent="0.2">
      <c r="A108" s="47" t="s">
        <v>776</v>
      </c>
      <c r="B108" s="47">
        <v>75</v>
      </c>
      <c r="C108" s="1056">
        <v>44796468.687573329</v>
      </c>
      <c r="D108" s="241">
        <v>3733039.0572977774</v>
      </c>
    </row>
    <row r="109" spans="1:4" x14ac:dyDescent="0.2">
      <c r="A109" s="47" t="s">
        <v>1170</v>
      </c>
      <c r="B109" s="47">
        <v>120</v>
      </c>
      <c r="C109" s="1056">
        <v>71674349.900117323</v>
      </c>
      <c r="D109" s="241">
        <v>5972862.4916764433</v>
      </c>
    </row>
    <row r="110" spans="1:4" ht="14.4" x14ac:dyDescent="0.3">
      <c r="A110" s="47" t="s">
        <v>777</v>
      </c>
      <c r="B110" s="1990">
        <v>11.2</v>
      </c>
      <c r="C110" s="1056">
        <v>6689605.9906776166</v>
      </c>
      <c r="D110" s="241">
        <v>557467.16588980134</v>
      </c>
    </row>
    <row r="111" spans="1:4" x14ac:dyDescent="0.2">
      <c r="A111" s="47" t="s">
        <v>778</v>
      </c>
      <c r="B111" s="47">
        <v>4</v>
      </c>
      <c r="C111" s="1056">
        <v>2389144.9966705777</v>
      </c>
      <c r="D111" s="241">
        <v>199095.41638921481</v>
      </c>
    </row>
    <row r="112" spans="1:4" ht="14.4" x14ac:dyDescent="0.3">
      <c r="A112" s="47"/>
      <c r="B112" s="1058">
        <f>SUM(B107:B111)</f>
        <v>330.2</v>
      </c>
      <c r="C112" s="1056"/>
      <c r="D112" s="241"/>
    </row>
    <row r="113" spans="1:8" ht="14.4" x14ac:dyDescent="0.3">
      <c r="B113" s="688"/>
    </row>
    <row r="114" spans="1:8" ht="25.2" x14ac:dyDescent="0.2">
      <c r="A114" s="1053" t="s">
        <v>779</v>
      </c>
      <c r="B114" s="1053" t="s">
        <v>150</v>
      </c>
      <c r="C114" s="1937" t="s">
        <v>313</v>
      </c>
    </row>
    <row r="115" spans="1:8" ht="14.4" x14ac:dyDescent="0.3">
      <c r="A115" s="47" t="s">
        <v>368</v>
      </c>
      <c r="B115" s="1990">
        <v>70</v>
      </c>
      <c r="C115" s="1056">
        <v>41810037.441735104</v>
      </c>
      <c r="D115" s="241">
        <v>3484169.7868112586</v>
      </c>
    </row>
    <row r="116" spans="1:8" ht="14.4" x14ac:dyDescent="0.3">
      <c r="A116" s="47" t="s">
        <v>423</v>
      </c>
      <c r="B116" s="1990">
        <v>72</v>
      </c>
      <c r="C116" s="1056">
        <v>43004609.940070398</v>
      </c>
      <c r="D116" s="241">
        <v>3583717.4950058665</v>
      </c>
    </row>
    <row r="117" spans="1:8" ht="14.4" x14ac:dyDescent="0.3">
      <c r="A117" s="47" t="s">
        <v>391</v>
      </c>
      <c r="B117" s="1990">
        <v>68</v>
      </c>
      <c r="C117" s="1056">
        <v>40615464.943399817</v>
      </c>
      <c r="D117" s="241">
        <v>3384622.0786166512</v>
      </c>
    </row>
    <row r="118" spans="1:8" ht="14.4" x14ac:dyDescent="0.3">
      <c r="A118" s="47" t="s">
        <v>408</v>
      </c>
      <c r="B118" s="1990">
        <v>115</v>
      </c>
      <c r="C118" s="1056">
        <v>68687918.654279098</v>
      </c>
      <c r="D118" s="241">
        <v>5723993.2211899245</v>
      </c>
    </row>
    <row r="119" spans="1:8" ht="14.4" x14ac:dyDescent="0.3">
      <c r="A119" s="47" t="s">
        <v>412</v>
      </c>
      <c r="B119" s="1990">
        <v>165</v>
      </c>
      <c r="C119" s="1056">
        <v>98552231.112661317</v>
      </c>
      <c r="D119" s="241">
        <v>8212685.9260551101</v>
      </c>
    </row>
    <row r="120" spans="1:8" x14ac:dyDescent="0.2">
      <c r="A120" s="47" t="s">
        <v>641</v>
      </c>
      <c r="B120" s="47">
        <v>60</v>
      </c>
      <c r="C120" s="1056">
        <v>35837174.950058661</v>
      </c>
      <c r="D120" s="241">
        <v>2986431.2458382216</v>
      </c>
      <c r="E120" s="1998"/>
    </row>
    <row r="121" spans="1:8" x14ac:dyDescent="0.2">
      <c r="A121" s="47" t="s">
        <v>537</v>
      </c>
      <c r="B121" s="47">
        <v>24</v>
      </c>
      <c r="C121" s="1056">
        <v>14334869.980023466</v>
      </c>
      <c r="D121" s="241">
        <v>1194572.4983352888</v>
      </c>
      <c r="E121" s="1998"/>
    </row>
    <row r="122" spans="1:8" x14ac:dyDescent="0.2">
      <c r="A122" s="47" t="s">
        <v>1041</v>
      </c>
      <c r="B122" s="47">
        <v>50</v>
      </c>
      <c r="C122" s="1056">
        <v>29864312.458382219</v>
      </c>
      <c r="D122" s="241">
        <v>2488692.7048651851</v>
      </c>
      <c r="E122" s="1998"/>
    </row>
    <row r="123" spans="1:8" x14ac:dyDescent="0.2">
      <c r="A123" s="47" t="s">
        <v>420</v>
      </c>
      <c r="B123" s="47">
        <v>6</v>
      </c>
      <c r="C123" s="1056">
        <v>3583717.4950058665</v>
      </c>
      <c r="D123" s="241">
        <v>298643.12458382221</v>
      </c>
    </row>
    <row r="124" spans="1:8" ht="14.4" x14ac:dyDescent="0.3">
      <c r="A124" s="47"/>
      <c r="B124" s="1058">
        <f>SUM(B115:B123)</f>
        <v>630</v>
      </c>
      <c r="C124" s="1056"/>
      <c r="D124" s="241">
        <v>0</v>
      </c>
    </row>
    <row r="125" spans="1:8" ht="14.4" x14ac:dyDescent="0.3">
      <c r="A125" s="47" t="s">
        <v>415</v>
      </c>
      <c r="B125" s="2002">
        <v>900</v>
      </c>
      <c r="C125" s="1056">
        <v>537557624.25088</v>
      </c>
      <c r="D125" s="241">
        <v>44796468.687573336</v>
      </c>
      <c r="H125" s="241">
        <v>2246274427.1018229</v>
      </c>
    </row>
    <row r="126" spans="1:8" ht="14.4" x14ac:dyDescent="0.3">
      <c r="B126" s="688">
        <f>+B125+B124</f>
        <v>1530</v>
      </c>
    </row>
    <row r="127" spans="1:8" x14ac:dyDescent="0.2">
      <c r="E127" s="241">
        <f>SUM(D86:D125)*12</f>
        <v>1883661644.0000005</v>
      </c>
    </row>
    <row r="128" spans="1:8" ht="14.4" x14ac:dyDescent="0.3">
      <c r="A128" t="s">
        <v>786</v>
      </c>
      <c r="B128" s="688">
        <f>+B126+B112+B103+B94</f>
        <v>3153.7</v>
      </c>
      <c r="D128" s="2003"/>
    </row>
  </sheetData>
  <mergeCells count="1">
    <mergeCell ref="C20:E20"/>
  </mergeCells>
  <pageMargins left="0.7" right="0.7" top="0.75" bottom="0.75" header="0.3" footer="0.3"/>
  <pageSetup paperSize="9" scale="56" orientation="portrait" r:id="rId1"/>
  <rowBreaks count="1" manualBreakCount="1">
    <brk id="84" max="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>
    <tabColor rgb="FFFFC000"/>
    <pageSetUpPr fitToPage="1"/>
  </sheetPr>
  <dimension ref="A2:G128"/>
  <sheetViews>
    <sheetView workbookViewId="0"/>
  </sheetViews>
  <sheetFormatPr defaultRowHeight="12.6" x14ac:dyDescent="0.2"/>
  <cols>
    <col min="1" max="1" width="25.26953125" customWidth="1"/>
    <col min="2" max="2" width="19" bestFit="1" customWidth="1"/>
    <col min="3" max="3" width="19" customWidth="1"/>
    <col min="4" max="4" width="18.26953125" customWidth="1"/>
    <col min="5" max="5" width="18.6328125" customWidth="1"/>
    <col min="6" max="6" width="17.26953125" style="2" customWidth="1"/>
    <col min="7" max="7" width="19" bestFit="1" customWidth="1"/>
    <col min="8" max="8" width="14.36328125" bestFit="1" customWidth="1"/>
  </cols>
  <sheetData>
    <row r="2" spans="1:6" x14ac:dyDescent="0.2">
      <c r="A2" s="1" t="s">
        <v>1091</v>
      </c>
    </row>
    <row r="4" spans="1:6" x14ac:dyDescent="0.2">
      <c r="A4" s="1053" t="s">
        <v>759</v>
      </c>
      <c r="B4" s="484" t="s">
        <v>760</v>
      </c>
      <c r="C4" s="484" t="s">
        <v>761</v>
      </c>
      <c r="D4" s="484" t="s">
        <v>340</v>
      </c>
      <c r="E4" s="484" t="s">
        <v>307</v>
      </c>
      <c r="F4" s="514" t="s">
        <v>762</v>
      </c>
    </row>
    <row r="5" spans="1:6" x14ac:dyDescent="0.2">
      <c r="A5" s="1054" t="s">
        <v>753</v>
      </c>
      <c r="B5" s="1317">
        <v>760891000</v>
      </c>
      <c r="C5" s="1317">
        <v>78055000</v>
      </c>
      <c r="D5" s="1328">
        <v>143740000</v>
      </c>
      <c r="E5" s="1317">
        <v>102616000</v>
      </c>
      <c r="F5" s="1829">
        <v>81491860</v>
      </c>
    </row>
    <row r="6" spans="1:6" x14ac:dyDescent="0.2">
      <c r="A6" s="1054" t="s">
        <v>758</v>
      </c>
      <c r="B6" s="1317">
        <v>81330000</v>
      </c>
      <c r="C6" s="1317">
        <v>0</v>
      </c>
      <c r="D6" s="1328">
        <v>11100000</v>
      </c>
      <c r="E6" s="1317">
        <v>50000</v>
      </c>
      <c r="F6" s="1829">
        <v>200000</v>
      </c>
    </row>
    <row r="7" spans="1:6" x14ac:dyDescent="0.2">
      <c r="A7" s="1054" t="s">
        <v>754</v>
      </c>
      <c r="B7" s="1317">
        <v>64060000</v>
      </c>
      <c r="C7" s="1317">
        <v>2150000</v>
      </c>
      <c r="D7" s="1328">
        <v>8100000</v>
      </c>
      <c r="E7" s="1317">
        <v>67650000</v>
      </c>
      <c r="F7" s="1829">
        <v>7900000</v>
      </c>
    </row>
    <row r="8" spans="1:6" x14ac:dyDescent="0.2">
      <c r="A8" s="1054" t="s">
        <v>755</v>
      </c>
      <c r="B8" s="1317">
        <v>93442700</v>
      </c>
      <c r="C8" s="1317">
        <v>5200000</v>
      </c>
      <c r="D8" s="1328">
        <v>23450000</v>
      </c>
      <c r="E8" s="1317">
        <v>12770000</v>
      </c>
      <c r="F8" s="1829">
        <v>9475000</v>
      </c>
    </row>
    <row r="9" spans="1:6" x14ac:dyDescent="0.2">
      <c r="A9" s="1054" t="s">
        <v>752</v>
      </c>
      <c r="B9" s="1317">
        <v>63825000</v>
      </c>
      <c r="C9" s="1317">
        <v>2510000</v>
      </c>
      <c r="D9" s="1328">
        <v>13000000</v>
      </c>
      <c r="E9" s="1317">
        <v>10143000</v>
      </c>
      <c r="F9" s="1829">
        <v>5898900</v>
      </c>
    </row>
    <row r="10" spans="1:6" x14ac:dyDescent="0.2">
      <c r="A10" s="1054" t="s">
        <v>757</v>
      </c>
      <c r="B10" s="1317">
        <v>76129000</v>
      </c>
      <c r="C10" s="1317">
        <v>1660000</v>
      </c>
      <c r="D10" s="1328">
        <v>11435000</v>
      </c>
      <c r="E10" s="1317">
        <v>7320000</v>
      </c>
      <c r="F10" s="1829">
        <v>4370000</v>
      </c>
    </row>
    <row r="11" spans="1:6" x14ac:dyDescent="0.2">
      <c r="A11" s="1054" t="s">
        <v>756</v>
      </c>
      <c r="B11" s="1317">
        <v>7842000</v>
      </c>
      <c r="C11" s="1317">
        <v>352850</v>
      </c>
      <c r="D11" s="1328">
        <v>900000</v>
      </c>
      <c r="E11" s="1317">
        <v>766000</v>
      </c>
      <c r="F11" s="1829">
        <v>0</v>
      </c>
    </row>
    <row r="12" spans="1:6" x14ac:dyDescent="0.2">
      <c r="A12" s="1054" t="s">
        <v>812</v>
      </c>
      <c r="B12" s="1317">
        <v>768851500</v>
      </c>
      <c r="C12" s="1317">
        <v>5960</v>
      </c>
      <c r="D12" s="1328">
        <v>28470</v>
      </c>
      <c r="E12" s="1317">
        <v>30560</v>
      </c>
      <c r="F12" s="1829">
        <v>5630</v>
      </c>
    </row>
    <row r="13" spans="1:6" x14ac:dyDescent="0.2">
      <c r="A13" s="1054" t="s">
        <v>813</v>
      </c>
      <c r="B13" s="1828">
        <v>10060000</v>
      </c>
      <c r="C13" s="1317"/>
      <c r="D13" s="1328"/>
      <c r="E13" s="1317"/>
      <c r="F13" s="1829"/>
    </row>
    <row r="14" spans="1:6" x14ac:dyDescent="0.2">
      <c r="A14" s="1055" t="s">
        <v>763</v>
      </c>
      <c r="B14" s="832">
        <f>SUM(B5:B13)</f>
        <v>1926431200</v>
      </c>
      <c r="C14" s="832">
        <f t="shared" ref="C14:F14" si="0">SUM(C5:C13)</f>
        <v>89933810</v>
      </c>
      <c r="D14" s="145">
        <f t="shared" si="0"/>
        <v>211753470</v>
      </c>
      <c r="E14" s="832">
        <f t="shared" si="0"/>
        <v>201345560</v>
      </c>
      <c r="F14" s="1830">
        <f t="shared" si="0"/>
        <v>109341390</v>
      </c>
    </row>
    <row r="15" spans="1:6" x14ac:dyDescent="0.2">
      <c r="A15" s="1052"/>
      <c r="B15" s="402"/>
      <c r="C15" s="402"/>
      <c r="D15" s="1327"/>
      <c r="E15" s="402"/>
      <c r="F15" s="1831"/>
    </row>
    <row r="16" spans="1:6" x14ac:dyDescent="0.2">
      <c r="B16" s="414"/>
      <c r="C16" s="414"/>
      <c r="D16" s="414"/>
      <c r="E16" s="414"/>
      <c r="F16" s="1339"/>
    </row>
    <row r="18" spans="1:7" ht="14.4" x14ac:dyDescent="0.3">
      <c r="A18" s="688" t="s">
        <v>780</v>
      </c>
      <c r="B18" s="688"/>
    </row>
    <row r="20" spans="1:7" ht="14.4" x14ac:dyDescent="0.3">
      <c r="C20" s="2971"/>
      <c r="D20" s="2972"/>
      <c r="E20" s="2973"/>
    </row>
    <row r="21" spans="1:7" x14ac:dyDescent="0.2">
      <c r="A21" s="1053" t="s">
        <v>307</v>
      </c>
      <c r="B21" s="1053" t="s">
        <v>150</v>
      </c>
      <c r="C21" s="1053" t="s">
        <v>760</v>
      </c>
      <c r="D21" s="1053" t="s">
        <v>307</v>
      </c>
      <c r="E21" s="1053" t="s">
        <v>445</v>
      </c>
    </row>
    <row r="22" spans="1:7" x14ac:dyDescent="0.2">
      <c r="A22" s="47" t="s">
        <v>764</v>
      </c>
      <c r="B22" s="47">
        <v>210</v>
      </c>
      <c r="C22" s="1318">
        <v>133369779</v>
      </c>
      <c r="D22" s="1318">
        <v>52957960</v>
      </c>
      <c r="E22" s="1319">
        <f>C22+D22</f>
        <v>186327739</v>
      </c>
      <c r="F22" s="1832">
        <f>E22/12</f>
        <v>15527311.583333334</v>
      </c>
      <c r="G22" s="241"/>
    </row>
    <row r="23" spans="1:7" x14ac:dyDescent="0.2">
      <c r="A23" s="47" t="s">
        <v>765</v>
      </c>
      <c r="B23" s="47">
        <v>40</v>
      </c>
      <c r="C23" s="1318">
        <v>25403768</v>
      </c>
      <c r="D23" s="1318">
        <v>10087231</v>
      </c>
      <c r="E23" s="1319">
        <f t="shared" ref="E23:E29" si="1">C23+D23</f>
        <v>35490999</v>
      </c>
      <c r="F23" s="1832">
        <f t="shared" ref="F23:F30" si="2">E23/12</f>
        <v>2957583.25</v>
      </c>
      <c r="G23" s="241"/>
    </row>
    <row r="24" spans="1:7" x14ac:dyDescent="0.2">
      <c r="A24" s="47" t="s">
        <v>766</v>
      </c>
      <c r="B24" s="47">
        <v>201</v>
      </c>
      <c r="C24" s="1318">
        <v>127653932</v>
      </c>
      <c r="D24" s="1318">
        <v>50688333</v>
      </c>
      <c r="E24" s="1319">
        <f t="shared" si="1"/>
        <v>178342265</v>
      </c>
      <c r="F24" s="1832">
        <f t="shared" si="2"/>
        <v>14861855.416666666</v>
      </c>
      <c r="G24" s="241"/>
    </row>
    <row r="25" spans="1:7" x14ac:dyDescent="0.2">
      <c r="A25" s="47" t="s">
        <v>767</v>
      </c>
      <c r="B25" s="1057">
        <v>172</v>
      </c>
      <c r="C25" s="1318">
        <v>109236200</v>
      </c>
      <c r="D25" s="1318">
        <v>43375091</v>
      </c>
      <c r="E25" s="1319">
        <f t="shared" si="1"/>
        <v>152611291</v>
      </c>
      <c r="F25" s="1832">
        <f t="shared" si="2"/>
        <v>12717607.583333334</v>
      </c>
      <c r="G25" s="868"/>
    </row>
    <row r="26" spans="1:7" x14ac:dyDescent="0.2">
      <c r="A26" s="47" t="s">
        <v>768</v>
      </c>
      <c r="B26" s="47">
        <v>3</v>
      </c>
      <c r="C26" s="1318">
        <v>1905283</v>
      </c>
      <c r="D26" s="1318">
        <v>756542</v>
      </c>
      <c r="E26" s="1319">
        <f>C26+D26</f>
        <v>2661825</v>
      </c>
      <c r="F26" s="1832">
        <f t="shared" si="2"/>
        <v>221818.75</v>
      </c>
      <c r="G26" s="241"/>
    </row>
    <row r="27" spans="1:7" x14ac:dyDescent="0.2">
      <c r="A27" s="47" t="s">
        <v>769</v>
      </c>
      <c r="B27" s="47">
        <v>40</v>
      </c>
      <c r="C27" s="1318">
        <v>25403768</v>
      </c>
      <c r="D27" s="1318">
        <v>10087231</v>
      </c>
      <c r="E27" s="1319">
        <f t="shared" si="1"/>
        <v>35490999</v>
      </c>
      <c r="F27" s="1832">
        <f t="shared" si="2"/>
        <v>2957583.25</v>
      </c>
      <c r="G27" s="241"/>
    </row>
    <row r="28" spans="1:7" x14ac:dyDescent="0.2">
      <c r="A28" s="47" t="s">
        <v>770</v>
      </c>
      <c r="B28" s="47">
        <v>150</v>
      </c>
      <c r="C28" s="1318">
        <v>95264128</v>
      </c>
      <c r="D28" s="1318">
        <v>37827115</v>
      </c>
      <c r="E28" s="1319">
        <f t="shared" si="1"/>
        <v>133091243</v>
      </c>
      <c r="F28" s="1832">
        <f t="shared" si="2"/>
        <v>11090936.916666666</v>
      </c>
      <c r="G28" s="241"/>
    </row>
    <row r="29" spans="1:7" x14ac:dyDescent="0.2">
      <c r="A29" s="47" t="s">
        <v>1069</v>
      </c>
      <c r="B29" s="47">
        <v>103.5</v>
      </c>
      <c r="C29" s="1318">
        <v>65732248</v>
      </c>
      <c r="D29" s="1318">
        <v>26100709</v>
      </c>
      <c r="E29" s="1319">
        <f t="shared" si="1"/>
        <v>91832957</v>
      </c>
      <c r="F29" s="1832">
        <f t="shared" si="2"/>
        <v>7652746.416666667</v>
      </c>
      <c r="G29" s="241"/>
    </row>
    <row r="30" spans="1:7" ht="14.4" x14ac:dyDescent="0.3">
      <c r="A30" s="47"/>
      <c r="B30" s="1058">
        <f>SUM(B22:B29)</f>
        <v>919.5</v>
      </c>
      <c r="C30" s="1056">
        <f>C22+C23+C24+C25+C26+C27+C28+C29</f>
        <v>583969106</v>
      </c>
      <c r="D30" s="1056">
        <f>D22+D23+D24+D25+D26+D27+D29</f>
        <v>194053097</v>
      </c>
      <c r="E30" s="1056">
        <f t="shared" ref="E30" si="3">SUM(E22:E29)</f>
        <v>815849318</v>
      </c>
      <c r="F30" s="1832">
        <f t="shared" si="2"/>
        <v>67987443.166666672</v>
      </c>
    </row>
    <row r="31" spans="1:7" x14ac:dyDescent="0.2">
      <c r="E31" s="257"/>
      <c r="F31" s="1832"/>
    </row>
    <row r="32" spans="1:7" x14ac:dyDescent="0.2">
      <c r="E32" s="257"/>
      <c r="F32" s="1832"/>
    </row>
    <row r="33" spans="1:7" x14ac:dyDescent="0.2">
      <c r="A33" s="1053" t="s">
        <v>340</v>
      </c>
      <c r="B33" s="1053" t="s">
        <v>150</v>
      </c>
      <c r="C33" s="1053" t="s">
        <v>760</v>
      </c>
      <c r="D33" s="1053" t="s">
        <v>340</v>
      </c>
      <c r="E33" s="1059" t="s">
        <v>445</v>
      </c>
      <c r="F33" s="1832"/>
    </row>
    <row r="34" spans="1:7" x14ac:dyDescent="0.2">
      <c r="A34" s="47" t="s">
        <v>771</v>
      </c>
      <c r="B34" s="47">
        <v>153.80000000000001</v>
      </c>
      <c r="C34" s="1729">
        <v>97677486</v>
      </c>
      <c r="D34" s="1729">
        <v>98829667</v>
      </c>
      <c r="E34" s="1318">
        <f>C34+D34</f>
        <v>196507153</v>
      </c>
      <c r="F34" s="1832">
        <f>E34/12</f>
        <v>16375596.083333334</v>
      </c>
      <c r="G34" s="1254"/>
    </row>
    <row r="35" spans="1:7" x14ac:dyDescent="0.2">
      <c r="A35" s="47" t="s">
        <v>772</v>
      </c>
      <c r="B35" s="47">
        <v>75</v>
      </c>
      <c r="C35" s="1729">
        <v>47632064</v>
      </c>
      <c r="D35" s="1729">
        <v>48193921</v>
      </c>
      <c r="E35" s="1318">
        <f t="shared" ref="E35:E38" si="4">C35+D35</f>
        <v>95825985</v>
      </c>
      <c r="F35" s="1832">
        <f t="shared" ref="F35:F39" si="5">E35/12</f>
        <v>7985498.75</v>
      </c>
    </row>
    <row r="36" spans="1:7" x14ac:dyDescent="0.2">
      <c r="A36" s="47" t="s">
        <v>773</v>
      </c>
      <c r="B36" s="47">
        <v>50</v>
      </c>
      <c r="C36" s="1729">
        <v>31754709</v>
      </c>
      <c r="D36" s="1729">
        <v>32129280</v>
      </c>
      <c r="E36" s="1318">
        <f t="shared" si="4"/>
        <v>63883989</v>
      </c>
      <c r="F36" s="1832">
        <f t="shared" si="5"/>
        <v>5323665.75</v>
      </c>
    </row>
    <row r="37" spans="1:7" x14ac:dyDescent="0.2">
      <c r="A37" s="47" t="s">
        <v>774</v>
      </c>
      <c r="B37" s="47">
        <v>60</v>
      </c>
      <c r="C37" s="1729">
        <v>38105651</v>
      </c>
      <c r="D37" s="1729">
        <v>38555136</v>
      </c>
      <c r="E37" s="1318">
        <f t="shared" si="4"/>
        <v>76660787</v>
      </c>
      <c r="F37" s="1832">
        <f t="shared" si="5"/>
        <v>6388398.916666667</v>
      </c>
    </row>
    <row r="38" spans="1:7" x14ac:dyDescent="0.2">
      <c r="A38" s="47" t="s">
        <v>1146</v>
      </c>
      <c r="B38" s="47">
        <v>35</v>
      </c>
      <c r="C38" s="1729">
        <v>22228297</v>
      </c>
      <c r="D38" s="1729">
        <v>22490496</v>
      </c>
      <c r="E38" s="1318">
        <f t="shared" si="4"/>
        <v>44718793</v>
      </c>
      <c r="F38" s="1832">
        <f t="shared" si="5"/>
        <v>3726566.0833333335</v>
      </c>
    </row>
    <row r="39" spans="1:7" ht="14.4" x14ac:dyDescent="0.3">
      <c r="A39" s="47"/>
      <c r="B39" s="1058">
        <f>SUM(B34:B38)</f>
        <v>373.8</v>
      </c>
      <c r="C39" s="1056"/>
      <c r="D39" s="1056"/>
      <c r="E39" s="1056">
        <f>SUM(E34:E38)</f>
        <v>477596707</v>
      </c>
      <c r="F39" s="1832">
        <f t="shared" si="5"/>
        <v>39799725.583333336</v>
      </c>
    </row>
    <row r="40" spans="1:7" x14ac:dyDescent="0.2">
      <c r="E40" s="257"/>
      <c r="F40" s="1832"/>
    </row>
    <row r="41" spans="1:7" x14ac:dyDescent="0.2">
      <c r="E41" s="257"/>
      <c r="F41" s="1832"/>
    </row>
    <row r="42" spans="1:7" x14ac:dyDescent="0.2">
      <c r="A42" s="1053" t="s">
        <v>762</v>
      </c>
      <c r="B42" s="1053" t="s">
        <v>150</v>
      </c>
      <c r="C42" s="1053" t="s">
        <v>760</v>
      </c>
      <c r="D42" s="1053" t="s">
        <v>762</v>
      </c>
      <c r="E42" s="1059" t="s">
        <v>445</v>
      </c>
      <c r="F42" s="1832"/>
    </row>
    <row r="43" spans="1:7" x14ac:dyDescent="0.2">
      <c r="A43" s="47" t="s">
        <v>775</v>
      </c>
      <c r="B43" s="47">
        <v>120</v>
      </c>
      <c r="C43" s="1318">
        <v>76211303</v>
      </c>
      <c r="D43" s="1318">
        <v>65689691</v>
      </c>
      <c r="E43" s="1318">
        <f>C43+D43</f>
        <v>141900994</v>
      </c>
      <c r="F43" s="1832">
        <f>E43/12</f>
        <v>11825082.833333334</v>
      </c>
      <c r="G43" s="1253"/>
    </row>
    <row r="44" spans="1:7" x14ac:dyDescent="0.2">
      <c r="A44" s="47" t="s">
        <v>776</v>
      </c>
      <c r="B44" s="47">
        <v>75</v>
      </c>
      <c r="C44" s="1318">
        <v>47632064</v>
      </c>
      <c r="D44" s="1318">
        <v>41056057</v>
      </c>
      <c r="E44" s="1318">
        <f t="shared" ref="E44:E47" si="6">C44+D44</f>
        <v>88688121</v>
      </c>
      <c r="F44" s="1832">
        <f t="shared" ref="F44:F48" si="7">E44/12</f>
        <v>7390676.75</v>
      </c>
      <c r="G44" s="1253"/>
    </row>
    <row r="45" spans="1:7" x14ac:dyDescent="0.2">
      <c r="A45" s="47" t="s">
        <v>1057</v>
      </c>
      <c r="B45" s="47">
        <v>0</v>
      </c>
      <c r="C45" s="1318">
        <v>0</v>
      </c>
      <c r="D45" s="1318">
        <v>0</v>
      </c>
      <c r="E45" s="1318">
        <f t="shared" si="6"/>
        <v>0</v>
      </c>
      <c r="F45" s="1832">
        <f t="shared" si="7"/>
        <v>0</v>
      </c>
      <c r="G45" s="1253"/>
    </row>
    <row r="46" spans="1:7" x14ac:dyDescent="0.2">
      <c r="A46" s="47" t="s">
        <v>777</v>
      </c>
      <c r="B46" s="47">
        <v>11</v>
      </c>
      <c r="C46" s="1318">
        <v>6986036</v>
      </c>
      <c r="D46" s="1318">
        <v>6021555</v>
      </c>
      <c r="E46" s="1318">
        <f t="shared" si="6"/>
        <v>13007591</v>
      </c>
      <c r="F46" s="1832">
        <f t="shared" si="7"/>
        <v>1083965.9166666667</v>
      </c>
      <c r="G46" s="1253"/>
    </row>
    <row r="47" spans="1:7" x14ac:dyDescent="0.2">
      <c r="A47" s="47" t="s">
        <v>778</v>
      </c>
      <c r="B47" s="47">
        <v>4</v>
      </c>
      <c r="C47" s="1318">
        <v>2540377</v>
      </c>
      <c r="D47" s="1318">
        <v>2189656</v>
      </c>
      <c r="E47" s="1318">
        <f t="shared" si="6"/>
        <v>4730033</v>
      </c>
      <c r="F47" s="1832">
        <f t="shared" si="7"/>
        <v>394169.41666666669</v>
      </c>
    </row>
    <row r="48" spans="1:7" ht="14.4" x14ac:dyDescent="0.3">
      <c r="A48" s="47"/>
      <c r="B48" s="1058">
        <f>SUM(B43:B47)</f>
        <v>210</v>
      </c>
      <c r="C48" s="1056"/>
      <c r="D48" s="1056"/>
      <c r="E48" s="1056">
        <f t="shared" ref="E48" si="8">SUM(E43:E47)</f>
        <v>248326739</v>
      </c>
      <c r="F48" s="1832">
        <f t="shared" si="7"/>
        <v>20693894.916666668</v>
      </c>
    </row>
    <row r="49" spans="1:7" ht="14.4" x14ac:dyDescent="0.3">
      <c r="B49" s="688"/>
      <c r="E49" s="257"/>
      <c r="F49" s="1832"/>
    </row>
    <row r="50" spans="1:7" x14ac:dyDescent="0.2">
      <c r="A50" s="1053" t="s">
        <v>779</v>
      </c>
      <c r="B50" s="1053" t="s">
        <v>150</v>
      </c>
      <c r="C50" s="1053" t="s">
        <v>760</v>
      </c>
      <c r="D50" s="1053" t="s">
        <v>779</v>
      </c>
      <c r="E50" s="1059" t="s">
        <v>445</v>
      </c>
      <c r="F50" s="1832"/>
    </row>
    <row r="51" spans="1:7" x14ac:dyDescent="0.2">
      <c r="A51" s="47" t="s">
        <v>368</v>
      </c>
      <c r="B51" s="47">
        <v>70</v>
      </c>
      <c r="C51" s="1318">
        <v>44456593</v>
      </c>
      <c r="D51" s="1318">
        <v>10652326</v>
      </c>
      <c r="E51" s="1318">
        <f>C51+D51</f>
        <v>55108919</v>
      </c>
      <c r="F51" s="1832">
        <f>E51/12</f>
        <v>4592409.916666667</v>
      </c>
    </row>
    <row r="52" spans="1:7" x14ac:dyDescent="0.2">
      <c r="A52" s="47" t="s">
        <v>423</v>
      </c>
      <c r="B52" s="47">
        <v>72</v>
      </c>
      <c r="C52" s="1318">
        <v>45726782</v>
      </c>
      <c r="D52" s="1318">
        <v>10956678</v>
      </c>
      <c r="E52" s="1318">
        <f t="shared" ref="E52:E59" si="9">C52+D52</f>
        <v>56683460</v>
      </c>
      <c r="F52" s="1832">
        <f t="shared" ref="F52:F62" si="10">E52/12</f>
        <v>4723621.666666667</v>
      </c>
    </row>
    <row r="53" spans="1:7" x14ac:dyDescent="0.2">
      <c r="A53" s="47" t="s">
        <v>391</v>
      </c>
      <c r="B53" s="47">
        <v>68</v>
      </c>
      <c r="C53" s="1318">
        <v>43186405</v>
      </c>
      <c r="D53" s="1318">
        <v>10347973</v>
      </c>
      <c r="E53" s="1318">
        <f t="shared" si="9"/>
        <v>53534378</v>
      </c>
      <c r="F53" s="1832">
        <f t="shared" si="10"/>
        <v>4461198.166666667</v>
      </c>
    </row>
    <row r="54" spans="1:7" x14ac:dyDescent="0.2">
      <c r="A54" s="47" t="s">
        <v>408</v>
      </c>
      <c r="B54" s="47">
        <v>115</v>
      </c>
      <c r="C54" s="1318">
        <v>73035832</v>
      </c>
      <c r="D54" s="1318">
        <v>17500249</v>
      </c>
      <c r="E54" s="1318">
        <f t="shared" si="9"/>
        <v>90536081</v>
      </c>
      <c r="F54" s="1832">
        <f t="shared" si="10"/>
        <v>7544673.416666667</v>
      </c>
    </row>
    <row r="55" spans="1:7" x14ac:dyDescent="0.2">
      <c r="A55" s="47" t="s">
        <v>412</v>
      </c>
      <c r="B55" s="47">
        <v>165</v>
      </c>
      <c r="C55" s="1318">
        <v>104790541</v>
      </c>
      <c r="D55" s="1318">
        <v>25109053</v>
      </c>
      <c r="E55" s="1318">
        <f t="shared" si="9"/>
        <v>129899594</v>
      </c>
      <c r="F55" s="1832">
        <f t="shared" si="10"/>
        <v>10824966.166666666</v>
      </c>
    </row>
    <row r="56" spans="1:7" x14ac:dyDescent="0.2">
      <c r="A56" s="47" t="s">
        <v>641</v>
      </c>
      <c r="B56" s="47">
        <v>60</v>
      </c>
      <c r="C56" s="1318">
        <v>38105651</v>
      </c>
      <c r="D56" s="1318">
        <v>9130565</v>
      </c>
      <c r="E56" s="1318">
        <f t="shared" si="9"/>
        <v>47236216</v>
      </c>
      <c r="F56" s="1832">
        <f t="shared" si="10"/>
        <v>3936351.3333333335</v>
      </c>
    </row>
    <row r="57" spans="1:7" x14ac:dyDescent="0.2">
      <c r="A57" s="47" t="s">
        <v>537</v>
      </c>
      <c r="B57" s="47">
        <v>24</v>
      </c>
      <c r="C57" s="1318">
        <v>15242261</v>
      </c>
      <c r="D57" s="1318">
        <v>3652226</v>
      </c>
      <c r="E57" s="1318">
        <f t="shared" si="9"/>
        <v>18894487</v>
      </c>
      <c r="F57" s="1832">
        <f t="shared" si="10"/>
        <v>1574540.5833333333</v>
      </c>
    </row>
    <row r="58" spans="1:7" x14ac:dyDescent="0.2">
      <c r="A58" s="47" t="s">
        <v>1041</v>
      </c>
      <c r="B58" s="47">
        <v>50</v>
      </c>
      <c r="C58" s="1318">
        <v>31754709</v>
      </c>
      <c r="D58" s="1318">
        <v>7608804</v>
      </c>
      <c r="E58" s="1318">
        <f t="shared" si="9"/>
        <v>39363513</v>
      </c>
      <c r="F58" s="1832">
        <f t="shared" si="10"/>
        <v>3280292.75</v>
      </c>
    </row>
    <row r="59" spans="1:7" x14ac:dyDescent="0.2">
      <c r="A59" s="47" t="s">
        <v>420</v>
      </c>
      <c r="B59" s="47">
        <v>6</v>
      </c>
      <c r="C59" s="1729">
        <v>3810565</v>
      </c>
      <c r="D59" s="1729">
        <v>913056</v>
      </c>
      <c r="E59" s="1318">
        <f t="shared" si="9"/>
        <v>4723621</v>
      </c>
      <c r="F59" s="1832">
        <f t="shared" si="10"/>
        <v>393635.08333333331</v>
      </c>
    </row>
    <row r="60" spans="1:7" ht="14.4" x14ac:dyDescent="0.3">
      <c r="A60" s="47"/>
      <c r="B60" s="1058">
        <f>SUM(B51:B59)</f>
        <v>630</v>
      </c>
      <c r="C60" s="1056">
        <f>SUM(C51:C59)</f>
        <v>400109339</v>
      </c>
      <c r="D60" s="1056">
        <f t="shared" ref="D60:E60" si="11">SUM(D51:D59)</f>
        <v>95870930</v>
      </c>
      <c r="E60" s="1056">
        <f t="shared" si="11"/>
        <v>495980269</v>
      </c>
      <c r="F60" s="1832">
        <f t="shared" si="10"/>
        <v>41331689.083333336</v>
      </c>
      <c r="G60" s="241"/>
    </row>
    <row r="61" spans="1:7" x14ac:dyDescent="0.2">
      <c r="A61" s="47" t="s">
        <v>415</v>
      </c>
      <c r="B61" s="47">
        <v>900</v>
      </c>
      <c r="C61" s="1318">
        <v>571584769</v>
      </c>
      <c r="D61" s="1318"/>
      <c r="E61" s="1318">
        <f t="shared" ref="E61" si="12">D61+C61</f>
        <v>571584769</v>
      </c>
      <c r="F61" s="1832">
        <f t="shared" si="10"/>
        <v>47632064.083333336</v>
      </c>
    </row>
    <row r="62" spans="1:7" x14ac:dyDescent="0.2">
      <c r="A62" s="47"/>
      <c r="B62" s="1053">
        <f>B60+B61</f>
        <v>1530</v>
      </c>
      <c r="C62" s="832"/>
      <c r="D62" s="145"/>
      <c r="E62" s="832">
        <f t="shared" ref="E62" si="13">E60+E61</f>
        <v>1067565038</v>
      </c>
      <c r="F62" s="1832">
        <f t="shared" si="10"/>
        <v>88963753.166666672</v>
      </c>
    </row>
    <row r="63" spans="1:7" x14ac:dyDescent="0.2">
      <c r="C63" s="1862">
        <f>C61+C60+C43+C44+C46+C47+C34+C35+C36+C37+C38+C30</f>
        <v>1926431201</v>
      </c>
      <c r="E63" s="241">
        <f>E30+E39+E48+E62</f>
        <v>2609337802</v>
      </c>
    </row>
    <row r="64" spans="1:7" x14ac:dyDescent="0.2">
      <c r="A64" s="1" t="s">
        <v>313</v>
      </c>
    </row>
    <row r="66" spans="1:6" x14ac:dyDescent="0.2">
      <c r="A66" s="1053" t="s">
        <v>759</v>
      </c>
      <c r="B66" s="484" t="s">
        <v>785</v>
      </c>
      <c r="C66" s="47"/>
      <c r="D66" s="47"/>
      <c r="E66" s="47"/>
      <c r="F66" s="90"/>
    </row>
    <row r="67" spans="1:6" x14ac:dyDescent="0.2">
      <c r="A67" s="1054" t="s">
        <v>753</v>
      </c>
      <c r="B67" s="1071"/>
      <c r="C67" s="47"/>
      <c r="D67" s="47"/>
      <c r="E67" s="47"/>
      <c r="F67" s="90"/>
    </row>
    <row r="68" spans="1:6" x14ac:dyDescent="0.2">
      <c r="A68" s="1054" t="s">
        <v>758</v>
      </c>
      <c r="B68" s="1071"/>
      <c r="C68" s="47"/>
      <c r="D68" s="47"/>
      <c r="E68" s="47"/>
      <c r="F68" s="90"/>
    </row>
    <row r="69" spans="1:6" x14ac:dyDescent="0.2">
      <c r="A69" s="1054" t="s">
        <v>754</v>
      </c>
      <c r="B69" s="1071"/>
      <c r="C69" s="47"/>
      <c r="D69" s="47"/>
      <c r="E69" s="47"/>
      <c r="F69" s="90"/>
    </row>
    <row r="70" spans="1:6" x14ac:dyDescent="0.2">
      <c r="A70" s="1054" t="s">
        <v>755</v>
      </c>
      <c r="B70" s="1071"/>
      <c r="C70" s="47"/>
      <c r="D70" s="47"/>
      <c r="E70" s="47"/>
      <c r="F70" s="90"/>
    </row>
    <row r="71" spans="1:6" x14ac:dyDescent="0.2">
      <c r="A71" s="1054" t="s">
        <v>752</v>
      </c>
      <c r="B71" s="1071"/>
      <c r="C71" s="47"/>
      <c r="D71" s="47"/>
      <c r="E71" s="47"/>
      <c r="F71" s="90"/>
    </row>
    <row r="72" spans="1:6" x14ac:dyDescent="0.2">
      <c r="A72" s="1054" t="s">
        <v>757</v>
      </c>
      <c r="B72" s="1071"/>
      <c r="C72" s="47"/>
      <c r="D72" s="47"/>
      <c r="E72" s="47"/>
      <c r="F72" s="90"/>
    </row>
    <row r="73" spans="1:6" x14ac:dyDescent="0.2">
      <c r="A73" s="1054" t="s">
        <v>756</v>
      </c>
      <c r="B73" s="1071"/>
      <c r="C73" s="47"/>
      <c r="D73" s="47"/>
      <c r="E73" s="47"/>
      <c r="F73" s="90"/>
    </row>
    <row r="74" spans="1:6" x14ac:dyDescent="0.2">
      <c r="A74" s="1055" t="s">
        <v>763</v>
      </c>
      <c r="B74" s="1071"/>
      <c r="C74" s="47"/>
      <c r="D74" s="47"/>
      <c r="E74" s="47"/>
      <c r="F74" s="90"/>
    </row>
    <row r="78" spans="1:6" ht="14.4" x14ac:dyDescent="0.3">
      <c r="A78" s="688" t="s">
        <v>781</v>
      </c>
    </row>
    <row r="80" spans="1:6" x14ac:dyDescent="0.2">
      <c r="A80" s="415" t="s">
        <v>1058</v>
      </c>
      <c r="B80" s="402">
        <v>903081129</v>
      </c>
    </row>
    <row r="82" spans="1:6" ht="14.4" x14ac:dyDescent="0.3">
      <c r="C82" s="1772"/>
    </row>
    <row r="83" spans="1:6" x14ac:dyDescent="0.2">
      <c r="A83" s="1053" t="s">
        <v>307</v>
      </c>
      <c r="B83" s="1053" t="s">
        <v>150</v>
      </c>
      <c r="C83" s="1053" t="s">
        <v>313</v>
      </c>
    </row>
    <row r="84" spans="1:6" x14ac:dyDescent="0.2">
      <c r="A84" s="47" t="s">
        <v>764</v>
      </c>
      <c r="B84" s="47">
        <v>210</v>
      </c>
      <c r="C84" s="1056">
        <f t="shared" ref="C84:C91" si="14">($B$80/$B$127)*B84</f>
        <v>62521688.289981201</v>
      </c>
      <c r="D84" s="241">
        <f>C84/12</f>
        <v>5210140.6908317665</v>
      </c>
    </row>
    <row r="85" spans="1:6" x14ac:dyDescent="0.2">
      <c r="A85" s="47" t="s">
        <v>765</v>
      </c>
      <c r="B85" s="47">
        <v>40</v>
      </c>
      <c r="C85" s="1056">
        <f t="shared" si="14"/>
        <v>11908893.007615468</v>
      </c>
      <c r="D85" s="241">
        <f t="shared" ref="D85:D91" si="15">C85/12</f>
        <v>992407.75063462229</v>
      </c>
    </row>
    <row r="86" spans="1:6" x14ac:dyDescent="0.2">
      <c r="A86" s="47" t="s">
        <v>766</v>
      </c>
      <c r="B86" s="47">
        <v>201</v>
      </c>
      <c r="C86" s="1056">
        <f t="shared" si="14"/>
        <v>59842187.36326772</v>
      </c>
      <c r="D86" s="241">
        <f t="shared" si="15"/>
        <v>4986848.9469389766</v>
      </c>
    </row>
    <row r="87" spans="1:6" x14ac:dyDescent="0.2">
      <c r="A87" s="47" t="s">
        <v>767</v>
      </c>
      <c r="B87" s="1057">
        <v>172</v>
      </c>
      <c r="C87" s="1056">
        <f t="shared" si="14"/>
        <v>51208239.932746507</v>
      </c>
      <c r="D87" s="241">
        <f t="shared" si="15"/>
        <v>4267353.3277288759</v>
      </c>
    </row>
    <row r="88" spans="1:6" x14ac:dyDescent="0.2">
      <c r="A88" s="47" t="s">
        <v>768</v>
      </c>
      <c r="B88" s="47">
        <v>3</v>
      </c>
      <c r="C88" s="1056">
        <f t="shared" si="14"/>
        <v>893166.97557115997</v>
      </c>
      <c r="D88" s="241">
        <f t="shared" si="15"/>
        <v>74430.581297596669</v>
      </c>
    </row>
    <row r="89" spans="1:6" x14ac:dyDescent="0.2">
      <c r="A89" s="47" t="s">
        <v>769</v>
      </c>
      <c r="B89" s="47">
        <v>40</v>
      </c>
      <c r="C89" s="1056">
        <f t="shared" si="14"/>
        <v>11908893.007615468</v>
      </c>
      <c r="D89" s="241">
        <f t="shared" si="15"/>
        <v>992407.75063462229</v>
      </c>
    </row>
    <row r="90" spans="1:6" x14ac:dyDescent="0.2">
      <c r="A90" s="47" t="s">
        <v>770</v>
      </c>
      <c r="B90" s="47">
        <v>150</v>
      </c>
      <c r="C90" s="1056">
        <f t="shared" si="14"/>
        <v>44658348.778558001</v>
      </c>
      <c r="D90" s="241">
        <f>C90/12</f>
        <v>3721529.0648798333</v>
      </c>
    </row>
    <row r="91" spans="1:6" x14ac:dyDescent="0.2">
      <c r="A91" s="47" t="s">
        <v>1069</v>
      </c>
      <c r="B91" s="47">
        <v>103.5</v>
      </c>
      <c r="C91" s="1056">
        <f t="shared" si="14"/>
        <v>30814260.657205023</v>
      </c>
      <c r="D91" s="241">
        <f t="shared" si="15"/>
        <v>2567855.0547670852</v>
      </c>
    </row>
    <row r="92" spans="1:6" ht="14.4" x14ac:dyDescent="0.3">
      <c r="A92" s="47"/>
      <c r="B92" s="1058">
        <f>SUM(B84:B91)</f>
        <v>919.5</v>
      </c>
      <c r="C92" s="1056">
        <f>SUM(C84:C91)</f>
        <v>273755678.01256055</v>
      </c>
      <c r="D92" s="241"/>
      <c r="F92" s="562"/>
    </row>
    <row r="95" spans="1:6" x14ac:dyDescent="0.2">
      <c r="A95" s="1053" t="s">
        <v>340</v>
      </c>
      <c r="B95" s="1053" t="s">
        <v>150</v>
      </c>
      <c r="C95" s="1053" t="s">
        <v>313</v>
      </c>
    </row>
    <row r="96" spans="1:6" x14ac:dyDescent="0.2">
      <c r="A96" s="47" t="s">
        <v>771</v>
      </c>
      <c r="B96" s="47">
        <v>153.80000000000001</v>
      </c>
      <c r="C96" s="1056">
        <f>($B$80/$B$127)*B96</f>
        <v>45789693.614281476</v>
      </c>
      <c r="D96" s="241">
        <f>C96/12</f>
        <v>3815807.801190123</v>
      </c>
    </row>
    <row r="97" spans="1:6" x14ac:dyDescent="0.2">
      <c r="A97" s="47" t="s">
        <v>772</v>
      </c>
      <c r="B97" s="47">
        <v>75</v>
      </c>
      <c r="C97" s="1056">
        <f>($B$80/$B$127)*B97</f>
        <v>22329174.389279</v>
      </c>
      <c r="D97" s="241">
        <f t="shared" ref="D97:D100" si="16">C97/12</f>
        <v>1860764.5324399166</v>
      </c>
    </row>
    <row r="98" spans="1:6" x14ac:dyDescent="0.2">
      <c r="A98" s="47" t="s">
        <v>773</v>
      </c>
      <c r="B98" s="47">
        <v>50</v>
      </c>
      <c r="C98" s="1056">
        <f>($B$80/$B$127)*B98</f>
        <v>14886116.259519333</v>
      </c>
      <c r="D98" s="241">
        <f t="shared" si="16"/>
        <v>1240509.6882932778</v>
      </c>
    </row>
    <row r="99" spans="1:6" x14ac:dyDescent="0.2">
      <c r="A99" s="47" t="s">
        <v>774</v>
      </c>
      <c r="B99" s="47">
        <v>60</v>
      </c>
      <c r="C99" s="1056">
        <f>($B$80/$B$127)*B99</f>
        <v>17863339.5114232</v>
      </c>
      <c r="D99" s="241">
        <f t="shared" si="16"/>
        <v>1488611.6259519334</v>
      </c>
    </row>
    <row r="100" spans="1:6" x14ac:dyDescent="0.2">
      <c r="A100" s="47" t="s">
        <v>1146</v>
      </c>
      <c r="B100" s="47">
        <v>35</v>
      </c>
      <c r="C100" s="1056">
        <f>($B$80/$B$127)*B100</f>
        <v>10420281.381663533</v>
      </c>
      <c r="D100" s="241">
        <f t="shared" si="16"/>
        <v>868356.78180529445</v>
      </c>
    </row>
    <row r="101" spans="1:6" ht="14.4" x14ac:dyDescent="0.3">
      <c r="A101" s="47"/>
      <c r="B101" s="1058">
        <f>SUM(B96:B100)</f>
        <v>373.8</v>
      </c>
      <c r="C101" s="1056">
        <f>SUM(C96:C100)</f>
        <v>111288605.15616655</v>
      </c>
      <c r="D101" s="241"/>
      <c r="F101" s="562"/>
    </row>
    <row r="104" spans="1:6" x14ac:dyDescent="0.2">
      <c r="A104" s="1053" t="s">
        <v>762</v>
      </c>
      <c r="B104" s="1053" t="s">
        <v>150</v>
      </c>
      <c r="C104" s="1053" t="s">
        <v>313</v>
      </c>
    </row>
    <row r="105" spans="1:6" x14ac:dyDescent="0.2">
      <c r="A105" s="47" t="s">
        <v>775</v>
      </c>
      <c r="B105" s="47">
        <v>120</v>
      </c>
      <c r="C105" s="1056">
        <f>($B$80/$B$127)*B105</f>
        <v>35726679.022846401</v>
      </c>
      <c r="D105" s="241">
        <f>C105/12</f>
        <v>2977223.2519038669</v>
      </c>
    </row>
    <row r="106" spans="1:6" x14ac:dyDescent="0.2">
      <c r="A106" s="47" t="s">
        <v>776</v>
      </c>
      <c r="B106" s="47">
        <v>75</v>
      </c>
      <c r="C106" s="1056">
        <f>($B$80/$B$127)*B106</f>
        <v>22329174.389279</v>
      </c>
      <c r="D106" s="241">
        <f t="shared" ref="D106:D109" si="17">C106/12</f>
        <v>1860764.5324399166</v>
      </c>
    </row>
    <row r="107" spans="1:6" x14ac:dyDescent="0.2">
      <c r="A107" s="47" t="s">
        <v>1044</v>
      </c>
      <c r="B107" s="47">
        <v>0</v>
      </c>
      <c r="C107" s="1056">
        <f>($B$80/$B$127)*B107</f>
        <v>0</v>
      </c>
      <c r="D107" s="241">
        <f t="shared" si="17"/>
        <v>0</v>
      </c>
    </row>
    <row r="108" spans="1:6" x14ac:dyDescent="0.2">
      <c r="A108" s="47" t="s">
        <v>777</v>
      </c>
      <c r="B108" s="47">
        <v>11</v>
      </c>
      <c r="C108" s="1056">
        <f>($B$80/$B$127)*B108</f>
        <v>3274945.5770942536</v>
      </c>
      <c r="D108" s="241">
        <f t="shared" si="17"/>
        <v>272912.13142452115</v>
      </c>
    </row>
    <row r="109" spans="1:6" x14ac:dyDescent="0.2">
      <c r="A109" s="47" t="s">
        <v>778</v>
      </c>
      <c r="B109" s="47">
        <v>4</v>
      </c>
      <c r="C109" s="1056">
        <f>($B$80/$B$127)*B109</f>
        <v>1190889.3007615467</v>
      </c>
      <c r="D109" s="241">
        <f t="shared" si="17"/>
        <v>99240.775063462221</v>
      </c>
    </row>
    <row r="110" spans="1:6" ht="14.4" x14ac:dyDescent="0.3">
      <c r="A110" s="47"/>
      <c r="B110" s="1058">
        <f>SUM(B105:B109)</f>
        <v>210</v>
      </c>
      <c r="C110" s="1056">
        <f>SUM(C105:C109)</f>
        <v>62521688.289981201</v>
      </c>
      <c r="D110" s="241"/>
      <c r="F110" s="159"/>
    </row>
    <row r="111" spans="1:6" ht="14.4" x14ac:dyDescent="0.3">
      <c r="B111" s="688"/>
    </row>
    <row r="112" spans="1:6" x14ac:dyDescent="0.2">
      <c r="A112" s="1053" t="s">
        <v>779</v>
      </c>
      <c r="B112" s="1053" t="s">
        <v>150</v>
      </c>
      <c r="C112" s="1053" t="s">
        <v>313</v>
      </c>
    </row>
    <row r="113" spans="1:7" x14ac:dyDescent="0.2">
      <c r="A113" s="47" t="s">
        <v>368</v>
      </c>
      <c r="B113" s="47">
        <v>70</v>
      </c>
      <c r="C113" s="1056">
        <f t="shared" ref="C113:C121" si="18">($B$80/$B$127)*B113</f>
        <v>20840562.763327066</v>
      </c>
      <c r="D113" s="241">
        <f>C113/12</f>
        <v>1736713.5636105889</v>
      </c>
    </row>
    <row r="114" spans="1:7" x14ac:dyDescent="0.2">
      <c r="A114" s="47" t="s">
        <v>423</v>
      </c>
      <c r="B114" s="47">
        <v>72</v>
      </c>
      <c r="C114" s="1056">
        <f t="shared" si="18"/>
        <v>21436007.413707841</v>
      </c>
      <c r="D114" s="241">
        <f t="shared" ref="D114:D121" si="19">C114/12</f>
        <v>1786333.9511423202</v>
      </c>
    </row>
    <row r="115" spans="1:7" x14ac:dyDescent="0.2">
      <c r="A115" s="47" t="s">
        <v>391</v>
      </c>
      <c r="B115" s="47">
        <v>68</v>
      </c>
      <c r="C115" s="1056">
        <f t="shared" si="18"/>
        <v>20245118.112946294</v>
      </c>
      <c r="D115" s="241">
        <f t="shared" si="19"/>
        <v>1687093.1760788579</v>
      </c>
    </row>
    <row r="116" spans="1:7" x14ac:dyDescent="0.2">
      <c r="A116" s="47" t="s">
        <v>408</v>
      </c>
      <c r="B116" s="47">
        <v>115</v>
      </c>
      <c r="C116" s="1056">
        <f t="shared" si="18"/>
        <v>34238067.39689447</v>
      </c>
      <c r="D116" s="241">
        <f t="shared" si="19"/>
        <v>2853172.2830745392</v>
      </c>
    </row>
    <row r="117" spans="1:7" x14ac:dyDescent="0.2">
      <c r="A117" s="47" t="s">
        <v>412</v>
      </c>
      <c r="B117" s="47">
        <v>165</v>
      </c>
      <c r="C117" s="1056">
        <f t="shared" si="18"/>
        <v>49124183.656413801</v>
      </c>
      <c r="D117" s="241">
        <f t="shared" si="19"/>
        <v>4093681.9713678169</v>
      </c>
    </row>
    <row r="118" spans="1:7" x14ac:dyDescent="0.2">
      <c r="A118" s="47" t="s">
        <v>641</v>
      </c>
      <c r="B118" s="47">
        <v>60</v>
      </c>
      <c r="C118" s="1056">
        <f t="shared" si="18"/>
        <v>17863339.5114232</v>
      </c>
      <c r="D118" s="241">
        <f t="shared" si="19"/>
        <v>1488611.6259519334</v>
      </c>
    </row>
    <row r="119" spans="1:7" x14ac:dyDescent="0.2">
      <c r="A119" s="47" t="s">
        <v>537</v>
      </c>
      <c r="B119" s="47">
        <v>24</v>
      </c>
      <c r="C119" s="1056">
        <f t="shared" si="18"/>
        <v>7145335.8045692798</v>
      </c>
      <c r="D119" s="241">
        <f t="shared" si="19"/>
        <v>595444.65038077335</v>
      </c>
    </row>
    <row r="120" spans="1:7" x14ac:dyDescent="0.2">
      <c r="A120" s="47" t="s">
        <v>1041</v>
      </c>
      <c r="B120" s="47">
        <v>50</v>
      </c>
      <c r="C120" s="1056">
        <f t="shared" si="18"/>
        <v>14886116.259519333</v>
      </c>
      <c r="D120" s="241">
        <f t="shared" si="19"/>
        <v>1240509.6882932778</v>
      </c>
      <c r="F120" s="562">
        <f>D120*1/5</f>
        <v>248101.93765865554</v>
      </c>
      <c r="G120" s="241">
        <f>D120*2/5</f>
        <v>496203.87531731109</v>
      </c>
    </row>
    <row r="121" spans="1:7" x14ac:dyDescent="0.2">
      <c r="A121" s="47" t="s">
        <v>420</v>
      </c>
      <c r="B121" s="47">
        <v>6</v>
      </c>
      <c r="C121" s="1056">
        <f t="shared" si="18"/>
        <v>1786333.9511423199</v>
      </c>
      <c r="D121" s="241">
        <f t="shared" si="19"/>
        <v>148861.16259519334</v>
      </c>
    </row>
    <row r="122" spans="1:7" ht="14.4" x14ac:dyDescent="0.3">
      <c r="A122" s="47"/>
      <c r="B122" s="1058">
        <f>SUM(B113:B121)</f>
        <v>630</v>
      </c>
      <c r="C122" s="1056"/>
    </row>
    <row r="123" spans="1:7" x14ac:dyDescent="0.2">
      <c r="A123" s="47" t="s">
        <v>415</v>
      </c>
      <c r="B123" s="47">
        <v>900</v>
      </c>
      <c r="C123" s="1056">
        <f>($B$80/$B$127)*B123</f>
        <v>267950092.67134801</v>
      </c>
      <c r="D123" s="241">
        <f>C123/12</f>
        <v>22329174.389279</v>
      </c>
    </row>
    <row r="124" spans="1:7" x14ac:dyDescent="0.2">
      <c r="A124" s="47"/>
      <c r="B124" s="47">
        <f>B122+B123</f>
        <v>1530</v>
      </c>
      <c r="C124" s="1056">
        <f>SUM(C113:C123)</f>
        <v>455515157.54129159</v>
      </c>
      <c r="D124" s="241"/>
      <c r="E124" s="241"/>
      <c r="F124" s="562"/>
    </row>
    <row r="127" spans="1:7" x14ac:dyDescent="0.2">
      <c r="A127" t="s">
        <v>786</v>
      </c>
      <c r="B127">
        <f>B30+B39+B48+B62</f>
        <v>3033.3</v>
      </c>
      <c r="C127" s="241">
        <f>C92+C101+C110+C124</f>
        <v>903081128.99999988</v>
      </c>
    </row>
    <row r="128" spans="1:7" x14ac:dyDescent="0.2">
      <c r="B128">
        <f>B92+B101+B110+B124</f>
        <v>3033.3</v>
      </c>
    </row>
  </sheetData>
  <mergeCells count="1">
    <mergeCell ref="C20:E20"/>
  </mergeCells>
  <pageMargins left="0.7" right="0.7" top="0.75" bottom="0.75" header="0.3" footer="0.3"/>
  <pageSetup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fitToPage="1"/>
  </sheetPr>
  <dimension ref="A2:P88"/>
  <sheetViews>
    <sheetView showGridLines="0" view="pageBreakPreview" zoomScaleNormal="90" zoomScaleSheetLayoutView="100" workbookViewId="0">
      <selection activeCell="I41" sqref="I41"/>
    </sheetView>
  </sheetViews>
  <sheetFormatPr defaultColWidth="11" defaultRowHeight="12.6" x14ac:dyDescent="0.2"/>
  <cols>
    <col min="1" max="1" width="33.36328125" customWidth="1"/>
    <col min="2" max="2" width="30.453125" customWidth="1"/>
    <col min="3" max="3" width="14" hidden="1" customWidth="1"/>
    <col min="4" max="4" width="18.6328125" hidden="1" customWidth="1"/>
    <col min="5" max="5" width="14.08984375" hidden="1" customWidth="1"/>
    <col min="6" max="6" width="19" bestFit="1" customWidth="1"/>
    <col min="7" max="8" width="14.08984375" bestFit="1" customWidth="1"/>
    <col min="9" max="14" width="16.7265625" bestFit="1" customWidth="1"/>
    <col min="15" max="15" width="18" bestFit="1" customWidth="1"/>
  </cols>
  <sheetData>
    <row r="2" spans="1:16" s="1821" customFormat="1" ht="19.8" x14ac:dyDescent="0.3">
      <c r="A2" s="1676" t="s">
        <v>1085</v>
      </c>
      <c r="B2" s="1676" t="s">
        <v>1469</v>
      </c>
    </row>
    <row r="3" spans="1:16" s="27" customFormat="1" ht="15" customHeight="1" x14ac:dyDescent="0.3">
      <c r="A3" s="3"/>
    </row>
    <row r="4" spans="1:16" ht="19.5" customHeight="1" thickBot="1" x14ac:dyDescent="0.25">
      <c r="A4" s="1" t="s">
        <v>23</v>
      </c>
    </row>
    <row r="5" spans="1:16" ht="30" customHeight="1" x14ac:dyDescent="0.2">
      <c r="A5" s="94" t="s">
        <v>44</v>
      </c>
      <c r="B5" s="95" t="s">
        <v>36</v>
      </c>
      <c r="C5" s="427">
        <f>DispatchSchedule!F3</f>
        <v>46023</v>
      </c>
      <c r="D5" s="427">
        <f>DispatchSchedule!G3</f>
        <v>46054</v>
      </c>
      <c r="E5" s="427">
        <f>DispatchSchedule!H3</f>
        <v>46082</v>
      </c>
      <c r="F5" s="427">
        <f>DispatchSchedule!I3</f>
        <v>46113</v>
      </c>
      <c r="G5" s="427">
        <f>DispatchSchedule!J3</f>
        <v>46143</v>
      </c>
      <c r="H5" s="427">
        <f>DispatchSchedule!K3</f>
        <v>46174</v>
      </c>
    </row>
    <row r="6" spans="1:16" x14ac:dyDescent="0.2">
      <c r="A6" s="14" t="s">
        <v>23</v>
      </c>
      <c r="B6" s="476"/>
      <c r="C6" s="418"/>
      <c r="D6" s="418"/>
      <c r="E6" s="418"/>
      <c r="F6" s="418"/>
      <c r="G6" s="418"/>
      <c r="H6" s="479"/>
    </row>
    <row r="7" spans="1:16" x14ac:dyDescent="0.2">
      <c r="A7" s="1076" t="s">
        <v>45</v>
      </c>
      <c r="B7" s="418" t="s">
        <v>42</v>
      </c>
      <c r="C7" s="1077" t="e">
        <f>'Gen. Capacity'!C63</f>
        <v>#DIV/0!</v>
      </c>
      <c r="D7" s="1077" t="e">
        <f>'Gen. Capacity'!D63</f>
        <v>#DIV/0!</v>
      </c>
      <c r="E7" s="1077" t="e">
        <f>'Gen. Capacity'!E63</f>
        <v>#DIV/0!</v>
      </c>
      <c r="F7" s="1077">
        <f>'Gen. Capacity'!F63</f>
        <v>2139181.6193075688</v>
      </c>
      <c r="G7" s="1077">
        <f>'Gen. Capacity'!G63</f>
        <v>2259312.5356367775</v>
      </c>
      <c r="H7" s="1078">
        <f>'Gen. Capacity'!H63</f>
        <v>2294557.3388860021</v>
      </c>
      <c r="I7" s="402"/>
      <c r="J7" s="402"/>
      <c r="K7" s="402"/>
    </row>
    <row r="8" spans="1:16" x14ac:dyDescent="0.2">
      <c r="A8" s="1076" t="s">
        <v>46</v>
      </c>
      <c r="B8" s="418" t="s">
        <v>42</v>
      </c>
      <c r="C8" s="1077" t="e">
        <f>'TR &amp; BSS, TLF'!C39</f>
        <v>#DIV/0!</v>
      </c>
      <c r="D8" s="1077" t="e">
        <f>'TR &amp; BSS, TLF'!D39</f>
        <v>#DIV/0!</v>
      </c>
      <c r="E8" s="1077" t="e">
        <f>'TR &amp; BSS, TLF'!E39</f>
        <v>#DIV/0!</v>
      </c>
      <c r="F8" s="1077">
        <f>'TR &amp; BSS, TLF'!F39</f>
        <v>604333.60729193373</v>
      </c>
      <c r="G8" s="1077">
        <f>'TR &amp; BSS, TLF'!G39</f>
        <v>627587.18437798799</v>
      </c>
      <c r="H8" s="1078">
        <f>'TR &amp; BSS, TLF'!H39</f>
        <v>646316.45312799898</v>
      </c>
      <c r="I8" s="402"/>
      <c r="J8" s="402"/>
      <c r="K8" s="402"/>
    </row>
    <row r="9" spans="1:16" x14ac:dyDescent="0.2">
      <c r="A9" s="1076" t="s">
        <v>47</v>
      </c>
      <c r="B9" s="418" t="s">
        <v>42</v>
      </c>
      <c r="C9" s="1077" t="e">
        <f>'TR &amp; BSS, TLF'!C40</f>
        <v>#DIV/0!</v>
      </c>
      <c r="D9" s="1077" t="e">
        <f>'TR &amp; BSS, TLF'!D40</f>
        <v>#DIV/0!</v>
      </c>
      <c r="E9" s="1077" t="e">
        <f>'TR &amp; BSS, TLF'!E40</f>
        <v>#DIV/0!</v>
      </c>
      <c r="F9" s="1077">
        <f>'TR &amp; BSS, TLF'!F40</f>
        <v>1027306.812768675</v>
      </c>
      <c r="G9" s="1077">
        <f>'TR &amp; BSS, TLF'!G40</f>
        <v>1070228.9647758817</v>
      </c>
      <c r="H9" s="1078">
        <f>'TR &amp; BSS, TLF'!H40</f>
        <v>1102593.8439287229</v>
      </c>
      <c r="I9" s="402"/>
      <c r="J9" s="402"/>
      <c r="K9" s="402"/>
    </row>
    <row r="10" spans="1:16" ht="13.2" thickBot="1" x14ac:dyDescent="0.25">
      <c r="A10" s="10" t="s">
        <v>52</v>
      </c>
      <c r="B10" s="32" t="s">
        <v>42</v>
      </c>
      <c r="C10" s="1079" t="e">
        <f t="shared" ref="C10:H10" si="0">+C7+C8+C9</f>
        <v>#DIV/0!</v>
      </c>
      <c r="D10" s="1079" t="e">
        <f t="shared" si="0"/>
        <v>#DIV/0!</v>
      </c>
      <c r="E10" s="1079" t="e">
        <f t="shared" si="0"/>
        <v>#DIV/0!</v>
      </c>
      <c r="F10" s="1079">
        <f t="shared" si="0"/>
        <v>3770822.0393681773</v>
      </c>
      <c r="G10" s="1079">
        <f t="shared" si="0"/>
        <v>3957128.6847906471</v>
      </c>
      <c r="H10" s="1080">
        <f t="shared" si="0"/>
        <v>4043467.6359427236</v>
      </c>
      <c r="I10" s="402"/>
      <c r="J10" s="397"/>
      <c r="K10" s="397"/>
      <c r="L10" s="397"/>
      <c r="M10" s="397"/>
      <c r="N10" s="397"/>
      <c r="O10" s="397"/>
      <c r="P10" s="397"/>
    </row>
    <row r="11" spans="1:16" ht="13.2" thickBot="1" x14ac:dyDescent="0.25">
      <c r="A11" s="108"/>
      <c r="B11" s="109"/>
      <c r="C11" s="110"/>
      <c r="D11" s="107"/>
      <c r="E11" s="107"/>
      <c r="F11" s="107"/>
      <c r="G11" s="107"/>
      <c r="H11" s="107"/>
      <c r="I11" s="398"/>
      <c r="J11" s="398"/>
      <c r="K11" s="398"/>
    </row>
    <row r="12" spans="1:16" ht="25.8" thickBot="1" x14ac:dyDescent="0.25">
      <c r="A12" s="96" t="s">
        <v>193</v>
      </c>
      <c r="B12" s="97" t="s">
        <v>42</v>
      </c>
      <c r="D12" s="332"/>
      <c r="E12" s="313"/>
      <c r="F12" s="396">
        <f>+SUMPRODUCT(F10:H10,'TR &amp; BSS, TLF'!F29:H29)/SUM('TR &amp; BSS, TLF'!F29:H29)</f>
        <v>3920697.9163664882</v>
      </c>
      <c r="G12" s="2"/>
      <c r="H12" s="2"/>
      <c r="I12" s="398"/>
      <c r="J12" s="398"/>
      <c r="K12" s="398"/>
      <c r="L12" s="398"/>
      <c r="M12" s="398"/>
      <c r="N12" s="398"/>
    </row>
    <row r="13" spans="1:16" x14ac:dyDescent="0.2">
      <c r="C13" s="2"/>
      <c r="D13" s="2"/>
      <c r="E13" s="2"/>
      <c r="F13" s="2"/>
      <c r="G13" s="2"/>
      <c r="H13" s="2"/>
      <c r="I13" s="398"/>
      <c r="J13" s="398"/>
      <c r="K13" s="398"/>
      <c r="L13" s="398"/>
      <c r="M13" s="398"/>
      <c r="N13" s="398"/>
    </row>
    <row r="14" spans="1:16" ht="13.2" hidden="1" thickBot="1" x14ac:dyDescent="0.25">
      <c r="C14" s="2"/>
      <c r="D14" s="2"/>
      <c r="E14" s="2"/>
      <c r="F14" s="2"/>
      <c r="G14" s="2"/>
      <c r="H14" s="2"/>
      <c r="I14" s="398"/>
      <c r="J14" s="398"/>
      <c r="K14" s="398"/>
      <c r="L14" s="398"/>
      <c r="M14" s="398"/>
      <c r="N14" s="398"/>
    </row>
    <row r="15" spans="1:16" ht="13.2" hidden="1" thickBot="1" x14ac:dyDescent="0.25">
      <c r="A15" s="774" t="s">
        <v>717</v>
      </c>
      <c r="I15" s="398"/>
      <c r="J15" s="398"/>
      <c r="K15" s="398"/>
      <c r="L15" s="398"/>
      <c r="M15" s="398"/>
      <c r="N15" s="398"/>
    </row>
    <row r="16" spans="1:16" ht="13.2" hidden="1" thickBot="1" x14ac:dyDescent="0.25">
      <c r="A16" s="1"/>
      <c r="I16" s="398"/>
      <c r="J16" s="398"/>
      <c r="K16" s="398"/>
      <c r="L16" s="398"/>
      <c r="M16" s="398"/>
      <c r="N16" s="398"/>
    </row>
    <row r="17" spans="1:14" ht="13.2" hidden="1" thickBot="1" x14ac:dyDescent="0.25">
      <c r="A17" s="745" t="s">
        <v>44</v>
      </c>
      <c r="B17" s="220" t="s">
        <v>36</v>
      </c>
      <c r="C17" s="746">
        <f>C5</f>
        <v>46023</v>
      </c>
      <c r="D17" s="746">
        <f t="shared" ref="D17:H17" si="1">D5</f>
        <v>46054</v>
      </c>
      <c r="E17" s="746">
        <f t="shared" si="1"/>
        <v>46082</v>
      </c>
      <c r="F17" s="746">
        <f t="shared" si="1"/>
        <v>46113</v>
      </c>
      <c r="G17" s="746">
        <f t="shared" si="1"/>
        <v>46143</v>
      </c>
      <c r="H17" s="746">
        <f t="shared" si="1"/>
        <v>46174</v>
      </c>
      <c r="I17" s="398"/>
      <c r="J17" s="398"/>
      <c r="K17" s="398"/>
      <c r="L17" s="398"/>
      <c r="M17" s="398"/>
      <c r="N17" s="398"/>
    </row>
    <row r="18" spans="1:14" hidden="1" x14ac:dyDescent="0.2">
      <c r="A18" s="747" t="s">
        <v>23</v>
      </c>
      <c r="B18" s="748"/>
      <c r="C18" s="749"/>
      <c r="D18" s="749"/>
      <c r="E18" s="749"/>
      <c r="F18" s="749"/>
      <c r="G18" s="749"/>
      <c r="H18" s="750"/>
      <c r="I18" s="398"/>
      <c r="J18" s="398"/>
      <c r="K18" s="398"/>
      <c r="L18" s="398"/>
      <c r="M18" s="398"/>
      <c r="N18" s="398"/>
    </row>
    <row r="19" spans="1:14" hidden="1" x14ac:dyDescent="0.2">
      <c r="A19" s="728" t="s">
        <v>45</v>
      </c>
      <c r="B19" s="721" t="s">
        <v>42</v>
      </c>
      <c r="C19" s="729" t="e">
        <f>'Gen. Capacity'!C69</f>
        <v>#DIV/0!</v>
      </c>
      <c r="D19" s="729" t="e">
        <f>'Gen. Capacity'!D69</f>
        <v>#DIV/0!</v>
      </c>
      <c r="E19" s="729" t="e">
        <f>'Gen. Capacity'!E69</f>
        <v>#DIV/0!</v>
      </c>
      <c r="F19" s="729">
        <f>'Gen. Capacity'!F69</f>
        <v>2135237.893514209</v>
      </c>
      <c r="G19" s="729">
        <f>'Gen. Capacity'!G69</f>
        <v>2255147.3403856438</v>
      </c>
      <c r="H19" s="730">
        <f>'Gen. Capacity'!H69</f>
        <v>2290327.1674596802</v>
      </c>
      <c r="I19" s="398"/>
      <c r="J19" s="398"/>
      <c r="K19" s="398"/>
      <c r="L19" s="398"/>
      <c r="M19" s="398"/>
      <c r="N19" s="398"/>
    </row>
    <row r="20" spans="1:14" hidden="1" x14ac:dyDescent="0.2">
      <c r="A20" s="728" t="s">
        <v>46</v>
      </c>
      <c r="B20" s="721" t="s">
        <v>42</v>
      </c>
      <c r="C20" s="729" t="e">
        <f>'TR &amp; BSS, TLF'!C43</f>
        <v>#DIV/0!</v>
      </c>
      <c r="D20" s="729" t="e">
        <f>'TR &amp; BSS, TLF'!D43</f>
        <v>#DIV/0!</v>
      </c>
      <c r="E20" s="729" t="e">
        <f>'TR &amp; BSS, TLF'!E43</f>
        <v>#DIV/0!</v>
      </c>
      <c r="F20" s="729">
        <f>'TR &amp; BSS, TLF'!F43</f>
        <v>610551.37695777998</v>
      </c>
      <c r="G20" s="729">
        <f>'TR &amp; BSS, TLF'!G43</f>
        <v>628333.88644876273</v>
      </c>
      <c r="H20" s="730">
        <f>'TR &amp; BSS, TLF'!H43</f>
        <v>646991.84978917544</v>
      </c>
      <c r="I20" s="398"/>
      <c r="J20" s="398"/>
      <c r="K20" s="398"/>
      <c r="L20" s="398"/>
      <c r="M20" s="398"/>
      <c r="N20" s="398"/>
    </row>
    <row r="21" spans="1:14" hidden="1" x14ac:dyDescent="0.2">
      <c r="A21" s="728" t="s">
        <v>47</v>
      </c>
      <c r="B21" s="721" t="s">
        <v>42</v>
      </c>
      <c r="C21" s="729" t="e">
        <f>'TR &amp; BSS, TLF'!C44</f>
        <v>#DIV/0!</v>
      </c>
      <c r="D21" s="729" t="e">
        <f>'TR &amp; BSS, TLF'!D44</f>
        <v>#DIV/0!</v>
      </c>
      <c r="E21" s="729" t="e">
        <f>'TR &amp; BSS, TLF'!E44</f>
        <v>#DIV/0!</v>
      </c>
      <c r="F21" s="729">
        <f>'TR &amp; BSS, TLF'!F44</f>
        <v>236645.23693414009</v>
      </c>
      <c r="G21" s="729">
        <f>'TR &amp; BSS, TLF'!G44</f>
        <v>245372.55596680523</v>
      </c>
      <c r="H21" s="730">
        <f>'TR &amp; BSS, TLF'!H44</f>
        <v>305261.82948635978</v>
      </c>
      <c r="I21" s="398"/>
      <c r="J21" s="398"/>
      <c r="K21" s="398"/>
      <c r="L21" s="398"/>
      <c r="M21" s="398"/>
      <c r="N21" s="398"/>
    </row>
    <row r="22" spans="1:14" ht="13.2" hidden="1" thickBot="1" x14ac:dyDescent="0.25">
      <c r="A22" s="714" t="s">
        <v>52</v>
      </c>
      <c r="B22" s="715" t="s">
        <v>42</v>
      </c>
      <c r="C22" s="731" t="e">
        <f t="shared" ref="C22:H22" si="2">+C19+C20+C21</f>
        <v>#DIV/0!</v>
      </c>
      <c r="D22" s="731" t="e">
        <f t="shared" si="2"/>
        <v>#DIV/0!</v>
      </c>
      <c r="E22" s="731" t="e">
        <f t="shared" si="2"/>
        <v>#DIV/0!</v>
      </c>
      <c r="F22" s="731">
        <f t="shared" si="2"/>
        <v>2982434.5074061295</v>
      </c>
      <c r="G22" s="731">
        <f t="shared" si="2"/>
        <v>3128853.7828012118</v>
      </c>
      <c r="H22" s="732">
        <f t="shared" si="2"/>
        <v>3242580.8467352157</v>
      </c>
      <c r="I22" s="398"/>
      <c r="J22" s="398"/>
      <c r="K22" s="398"/>
      <c r="L22" s="398"/>
      <c r="M22" s="398"/>
      <c r="N22" s="398"/>
    </row>
    <row r="23" spans="1:14" ht="13.2" hidden="1" thickBot="1" x14ac:dyDescent="0.25">
      <c r="A23" s="108"/>
      <c r="B23" s="109"/>
      <c r="C23" s="110"/>
      <c r="D23" s="107"/>
      <c r="E23" s="107"/>
      <c r="F23" s="107"/>
      <c r="G23" s="107"/>
      <c r="H23" s="107"/>
      <c r="I23" s="398"/>
      <c r="J23" s="398"/>
      <c r="K23" s="398"/>
      <c r="L23" s="398"/>
      <c r="M23" s="398"/>
      <c r="N23" s="398"/>
    </row>
    <row r="24" spans="1:14" ht="25.8" hidden="1" thickBot="1" x14ac:dyDescent="0.25">
      <c r="A24" s="733" t="s">
        <v>193</v>
      </c>
      <c r="B24" s="734" t="s">
        <v>42</v>
      </c>
      <c r="C24" s="735" t="e">
        <f>+SUMPRODUCT(C22:H22,'TR &amp; BSS, TLF'!C35:H35)/SUM('TR &amp; BSS, TLF'!C35:H35)</f>
        <v>#DIV/0!</v>
      </c>
      <c r="D24" s="332"/>
      <c r="E24" s="313"/>
      <c r="F24" s="2"/>
      <c r="G24" s="2"/>
      <c r="H24" s="2"/>
      <c r="I24" s="398"/>
      <c r="J24" s="398"/>
      <c r="K24" s="398"/>
      <c r="L24" s="398"/>
      <c r="M24" s="398"/>
      <c r="N24" s="398"/>
    </row>
    <row r="25" spans="1:14" ht="13.2" hidden="1" thickBot="1" x14ac:dyDescent="0.25">
      <c r="C25" s="2"/>
      <c r="D25" s="2"/>
      <c r="E25" s="2"/>
      <c r="F25" s="2"/>
      <c r="G25" s="2"/>
      <c r="H25" s="2"/>
      <c r="I25" s="398"/>
      <c r="J25" s="398"/>
      <c r="K25" s="398"/>
      <c r="L25" s="398"/>
      <c r="M25" s="398"/>
      <c r="N25" s="398"/>
    </row>
    <row r="26" spans="1:14" ht="13.2" hidden="1" thickBot="1" x14ac:dyDescent="0.25">
      <c r="A26" s="2925" t="s">
        <v>718</v>
      </c>
      <c r="B26" s="2926"/>
      <c r="C26" s="2"/>
      <c r="D26" s="2"/>
      <c r="E26" s="2"/>
      <c r="F26" s="2"/>
      <c r="G26" s="2"/>
      <c r="H26" s="2"/>
      <c r="I26" s="398"/>
      <c r="J26" s="398"/>
      <c r="K26" s="398"/>
      <c r="L26" s="398"/>
      <c r="M26" s="398"/>
      <c r="N26" s="398"/>
    </row>
    <row r="27" spans="1:14" ht="13.2" hidden="1" thickBot="1" x14ac:dyDescent="0.25">
      <c r="C27" s="2"/>
      <c r="D27" s="2"/>
      <c r="E27" s="2"/>
      <c r="F27" s="2"/>
      <c r="G27" s="2"/>
      <c r="H27" s="2"/>
      <c r="I27" s="398"/>
      <c r="J27" s="398"/>
      <c r="K27" s="398"/>
      <c r="L27" s="398"/>
      <c r="M27" s="398"/>
      <c r="N27" s="398"/>
    </row>
    <row r="28" spans="1:14" ht="13.2" hidden="1" thickBot="1" x14ac:dyDescent="0.25">
      <c r="A28" s="745" t="s">
        <v>44</v>
      </c>
      <c r="B28" s="220" t="s">
        <v>36</v>
      </c>
      <c r="C28" s="746">
        <f>C5</f>
        <v>46023</v>
      </c>
      <c r="D28" s="746">
        <f t="shared" ref="D28:H28" si="3">D5</f>
        <v>46054</v>
      </c>
      <c r="E28" s="746">
        <f t="shared" si="3"/>
        <v>46082</v>
      </c>
      <c r="F28" s="746">
        <f t="shared" si="3"/>
        <v>46113</v>
      </c>
      <c r="G28" s="746">
        <f t="shared" si="3"/>
        <v>46143</v>
      </c>
      <c r="H28" s="746">
        <f t="shared" si="3"/>
        <v>46174</v>
      </c>
      <c r="I28" s="398"/>
      <c r="J28" s="398"/>
      <c r="K28" s="398"/>
      <c r="L28" s="398"/>
      <c r="M28" s="398"/>
      <c r="N28" s="398"/>
    </row>
    <row r="29" spans="1:14" hidden="1" x14ac:dyDescent="0.2">
      <c r="A29" s="747" t="s">
        <v>23</v>
      </c>
      <c r="B29" s="748"/>
      <c r="C29" s="749"/>
      <c r="D29" s="749"/>
      <c r="E29" s="749"/>
      <c r="F29" s="749"/>
      <c r="G29" s="749"/>
      <c r="H29" s="750"/>
      <c r="I29" s="398"/>
      <c r="J29" s="398"/>
      <c r="K29" s="398"/>
      <c r="L29" s="398"/>
      <c r="M29" s="398"/>
      <c r="N29" s="398"/>
    </row>
    <row r="30" spans="1:14" hidden="1" x14ac:dyDescent="0.2">
      <c r="A30" s="728" t="s">
        <v>45</v>
      </c>
      <c r="B30" s="721" t="s">
        <v>42</v>
      </c>
      <c r="C30" s="729" t="e">
        <f>'Transmission Tariff_2'!D18</f>
        <v>#DIV/0!</v>
      </c>
      <c r="D30" s="729" t="e">
        <f>'Transmission Tariff_2'!D30</f>
        <v>#DIV/0!</v>
      </c>
      <c r="E30" s="729" t="e">
        <f>'Transmission Tariff_2'!D42</f>
        <v>#DIV/0!</v>
      </c>
      <c r="F30" s="729">
        <f>'Transmission Tariff_2'!D54</f>
        <v>2081856.9461763536</v>
      </c>
      <c r="G30" s="729">
        <f>'Transmission Tariff_2'!D66</f>
        <v>2198768.6568760029</v>
      </c>
      <c r="H30" s="730">
        <f>'Transmission Tariff_2'!D78</f>
        <v>2233068.988273188</v>
      </c>
      <c r="I30" s="398"/>
      <c r="J30" s="398"/>
      <c r="K30" s="398"/>
      <c r="L30" s="398"/>
      <c r="M30" s="398"/>
      <c r="N30" s="398"/>
    </row>
    <row r="31" spans="1:14" hidden="1" x14ac:dyDescent="0.2">
      <c r="A31" s="728" t="s">
        <v>46</v>
      </c>
      <c r="B31" s="721" t="s">
        <v>42</v>
      </c>
      <c r="C31" s="729" t="e">
        <f>'Transmission Tariff_2'!F18</f>
        <v>#DIV/0!</v>
      </c>
      <c r="D31" s="729" t="e">
        <f>'Transmission Tariff_2'!F30</f>
        <v>#DIV/0!</v>
      </c>
      <c r="E31" s="729" t="e">
        <f>'Transmission Tariff_2'!F42</f>
        <v>#DIV/0!</v>
      </c>
      <c r="F31" s="729">
        <f>'Transmission Tariff_2'!F54</f>
        <v>235255.59621361567</v>
      </c>
      <c r="G31" s="729">
        <f>'Transmission Tariff_2'!F66</f>
        <v>244307.77215662319</v>
      </c>
      <c r="H31" s="730">
        <f>'Transmission Tariff_2'!F78</f>
        <v>251598.72078708778</v>
      </c>
      <c r="I31" s="398"/>
      <c r="J31" s="398"/>
      <c r="K31" s="398"/>
      <c r="L31" s="398"/>
      <c r="M31" s="398"/>
      <c r="N31" s="398"/>
    </row>
    <row r="32" spans="1:14" hidden="1" x14ac:dyDescent="0.2">
      <c r="A32" s="728" t="s">
        <v>47</v>
      </c>
      <c r="B32" s="721" t="s">
        <v>42</v>
      </c>
      <c r="C32" s="729" t="e">
        <f>'Transmission Tariff_2'!H18</f>
        <v>#DIV/0!</v>
      </c>
      <c r="D32" s="729" t="e">
        <f>'Transmission Tariff_2'!H30</f>
        <v>#DIV/0!</v>
      </c>
      <c r="E32" s="729" t="e">
        <f>'Transmission Tariff_2'!H42</f>
        <v>#DIV/0!</v>
      </c>
      <c r="F32" s="729">
        <f>'Transmission Tariff_2'!H54</f>
        <v>92096.463127424024</v>
      </c>
      <c r="G32" s="729">
        <f>'Transmission Tariff_2'!H66</f>
        <v>95405.362959864535</v>
      </c>
      <c r="H32" s="730">
        <f>'Transmission Tariff_2'!H78</f>
        <v>118708.58315900102</v>
      </c>
      <c r="I32" s="398"/>
      <c r="J32" s="398"/>
      <c r="K32" s="398"/>
      <c r="L32" s="398"/>
      <c r="M32" s="398"/>
      <c r="N32" s="398"/>
    </row>
    <row r="33" spans="1:14" ht="13.2" hidden="1" thickBot="1" x14ac:dyDescent="0.25">
      <c r="A33" s="714" t="s">
        <v>52</v>
      </c>
      <c r="B33" s="715" t="s">
        <v>42</v>
      </c>
      <c r="C33" s="731" t="e">
        <f t="shared" ref="C33:H33" si="4">+C30+C31+C32</f>
        <v>#DIV/0!</v>
      </c>
      <c r="D33" s="731" t="e">
        <f t="shared" si="4"/>
        <v>#DIV/0!</v>
      </c>
      <c r="E33" s="731" t="e">
        <f t="shared" si="4"/>
        <v>#DIV/0!</v>
      </c>
      <c r="F33" s="731">
        <f t="shared" si="4"/>
        <v>2409209.0055173934</v>
      </c>
      <c r="G33" s="731">
        <f t="shared" si="4"/>
        <v>2538481.7919924906</v>
      </c>
      <c r="H33" s="732">
        <f t="shared" si="4"/>
        <v>2603376.292219277</v>
      </c>
      <c r="I33" s="398"/>
      <c r="J33" s="398"/>
      <c r="K33" s="398"/>
      <c r="L33" s="398"/>
      <c r="M33" s="398"/>
      <c r="N33" s="398"/>
    </row>
    <row r="34" spans="1:14" ht="13.2" hidden="1" thickBot="1" x14ac:dyDescent="0.25">
      <c r="C34" s="2"/>
      <c r="D34" s="2"/>
      <c r="E34" s="2"/>
      <c r="F34" s="2"/>
      <c r="G34" s="2"/>
      <c r="H34" s="2"/>
      <c r="I34" s="398"/>
      <c r="J34" s="398"/>
      <c r="K34" s="398"/>
      <c r="L34" s="398"/>
      <c r="M34" s="398"/>
      <c r="N34" s="398"/>
    </row>
    <row r="35" spans="1:14" ht="25.8" hidden="1" thickBot="1" x14ac:dyDescent="0.25">
      <c r="A35" s="733" t="s">
        <v>723</v>
      </c>
      <c r="B35" s="734" t="s">
        <v>42</v>
      </c>
      <c r="C35" s="735" t="e">
        <f>AVERAGE(C33:H33)</f>
        <v>#DIV/0!</v>
      </c>
      <c r="D35" s="2"/>
      <c r="E35" s="2"/>
      <c r="F35" s="2"/>
      <c r="G35" s="2"/>
      <c r="H35" s="2"/>
      <c r="I35" s="398"/>
      <c r="J35" s="398"/>
      <c r="K35" s="398"/>
      <c r="L35" s="398"/>
      <c r="M35" s="398"/>
      <c r="N35" s="398"/>
    </row>
    <row r="36" spans="1:14" ht="13.2" hidden="1" thickBot="1" x14ac:dyDescent="0.25">
      <c r="C36" s="2"/>
      <c r="D36" s="2"/>
      <c r="E36" s="2"/>
      <c r="F36" s="2"/>
      <c r="G36" s="2"/>
      <c r="H36" s="2"/>
      <c r="I36" s="398"/>
      <c r="J36" s="398"/>
      <c r="K36" s="398"/>
      <c r="L36" s="398"/>
      <c r="M36" s="398"/>
      <c r="N36" s="398"/>
    </row>
    <row r="37" spans="1:14" ht="25.8" hidden="1" thickBot="1" x14ac:dyDescent="0.25">
      <c r="A37" s="733" t="s">
        <v>722</v>
      </c>
      <c r="B37" s="734" t="s">
        <v>721</v>
      </c>
      <c r="C37" s="735" t="e">
        <f>C35/AVERAGE('Transmission Tariff_1'!B23:G23)</f>
        <v>#DIV/0!</v>
      </c>
      <c r="D37" s="2"/>
      <c r="E37" s="2"/>
      <c r="F37" s="2"/>
      <c r="G37" s="2"/>
      <c r="H37" s="2"/>
      <c r="I37" s="398"/>
      <c r="J37" s="398"/>
      <c r="K37" s="398"/>
      <c r="L37" s="398"/>
      <c r="M37" s="398"/>
      <c r="N37" s="398"/>
    </row>
    <row r="38" spans="1:14" hidden="1" x14ac:dyDescent="0.2">
      <c r="C38" s="2"/>
      <c r="D38" s="2"/>
      <c r="E38" s="2"/>
      <c r="F38" s="2"/>
      <c r="G38" s="2"/>
      <c r="H38" s="2"/>
      <c r="I38" s="398"/>
      <c r="J38" s="398"/>
      <c r="K38" s="398"/>
      <c r="L38" s="398"/>
      <c r="M38" s="398"/>
      <c r="N38" s="398"/>
    </row>
    <row r="39" spans="1:14" x14ac:dyDescent="0.2">
      <c r="C39" s="2"/>
      <c r="D39" s="2"/>
      <c r="E39" s="2"/>
      <c r="F39" s="2"/>
      <c r="G39" s="2"/>
      <c r="H39" s="2"/>
      <c r="I39" s="398"/>
      <c r="J39" s="398"/>
      <c r="K39" s="398"/>
      <c r="L39" s="398"/>
      <c r="M39" s="398"/>
      <c r="N39" s="398"/>
    </row>
    <row r="40" spans="1:14" ht="13.2" thickBot="1" x14ac:dyDescent="0.25">
      <c r="A40" s="105" t="s">
        <v>24</v>
      </c>
      <c r="B40" s="106"/>
      <c r="C40" s="52"/>
      <c r="D40" s="52"/>
      <c r="E40" s="52"/>
      <c r="F40" s="52"/>
      <c r="G40" s="52"/>
      <c r="H40" s="52"/>
      <c r="I40" s="398"/>
      <c r="J40" s="398"/>
      <c r="K40" s="398"/>
      <c r="L40" s="398"/>
      <c r="M40" s="398"/>
      <c r="N40" s="398"/>
    </row>
    <row r="41" spans="1:14" ht="30" customHeight="1" x14ac:dyDescent="0.2">
      <c r="A41" s="94" t="s">
        <v>44</v>
      </c>
      <c r="B41" s="95" t="s">
        <v>36</v>
      </c>
      <c r="C41" s="427">
        <f>C5</f>
        <v>46023</v>
      </c>
      <c r="D41" s="427">
        <f t="shared" ref="D41:H41" si="5">D5</f>
        <v>46054</v>
      </c>
      <c r="E41" s="427">
        <f t="shared" si="5"/>
        <v>46082</v>
      </c>
      <c r="F41" s="427">
        <f t="shared" si="5"/>
        <v>46113</v>
      </c>
      <c r="G41" s="427">
        <f t="shared" si="5"/>
        <v>46143</v>
      </c>
      <c r="H41" s="427">
        <f t="shared" si="5"/>
        <v>46174</v>
      </c>
    </row>
    <row r="42" spans="1:14" x14ac:dyDescent="0.2">
      <c r="A42" s="17"/>
      <c r="B42" s="8"/>
      <c r="C42" s="12"/>
      <c r="D42" s="12"/>
      <c r="E42" s="12"/>
      <c r="F42" s="12"/>
      <c r="G42" s="12"/>
      <c r="H42" s="15"/>
    </row>
    <row r="43" spans="1:14" x14ac:dyDescent="0.2">
      <c r="A43" s="17" t="s">
        <v>603</v>
      </c>
      <c r="B43" s="8"/>
      <c r="C43" s="12"/>
      <c r="D43" s="12"/>
      <c r="E43" s="12"/>
      <c r="F43" s="12"/>
      <c r="G43" s="12"/>
      <c r="H43" s="15"/>
    </row>
    <row r="44" spans="1:14" x14ac:dyDescent="0.2">
      <c r="A44" s="16" t="s">
        <v>48</v>
      </c>
      <c r="B44" s="12" t="s">
        <v>37</v>
      </c>
      <c r="C44" s="18" t="e">
        <f>'TR &amp; BSS, TLF'!C51</f>
        <v>#DIV/0!</v>
      </c>
      <c r="D44" s="18" t="e">
        <f>'TR &amp; BSS, TLF'!D51</f>
        <v>#DIV/0!</v>
      </c>
      <c r="E44" s="18" t="e">
        <f>'TR &amp; BSS, TLF'!E51</f>
        <v>#DIV/0!</v>
      </c>
      <c r="F44" s="18">
        <f>'TR &amp; BSS, TLF'!F51</f>
        <v>3.3991153846153851E-2</v>
      </c>
      <c r="G44" s="18">
        <f>'TR &amp; BSS, TLF'!G51</f>
        <v>3.3991153846153845E-2</v>
      </c>
      <c r="H44" s="19">
        <f>'TR &amp; BSS, TLF'!H51</f>
        <v>3.3991153846153845E-2</v>
      </c>
    </row>
    <row r="45" spans="1:14" x14ac:dyDescent="0.2">
      <c r="A45" s="16" t="s">
        <v>194</v>
      </c>
      <c r="B45" s="12" t="s">
        <v>88</v>
      </c>
      <c r="C45" s="702" t="e">
        <f>'Gen. Energy Cost'!E10</f>
        <v>#DIV/0!</v>
      </c>
      <c r="D45" s="702" t="e">
        <f>'Gen. Energy Cost'!N10</f>
        <v>#DIV/0!</v>
      </c>
      <c r="E45" s="702" t="e">
        <f>'Gen. Energy Cost'!T10</f>
        <v>#DIV/0!</v>
      </c>
      <c r="F45" s="702">
        <f>'Gen. Energy Cost'!Z10</f>
        <v>28.177081566807633</v>
      </c>
      <c r="G45" s="702">
        <f>'Gen. Energy Cost'!AF10</f>
        <v>22.33249940072373</v>
      </c>
      <c r="H45" s="703">
        <f>'Gen. Energy Cost'!AL10</f>
        <v>23.139323034382627</v>
      </c>
    </row>
    <row r="46" spans="1:14" x14ac:dyDescent="0.2">
      <c r="A46" s="14" t="s">
        <v>49</v>
      </c>
      <c r="B46" s="31" t="s">
        <v>88</v>
      </c>
      <c r="C46" s="704" t="e">
        <f>+(1+C44)*C45</f>
        <v>#DIV/0!</v>
      </c>
      <c r="D46" s="704" t="e">
        <f t="shared" ref="D46:H46" si="6">+(1+D44)*D45</f>
        <v>#DIV/0!</v>
      </c>
      <c r="E46" s="704" t="e">
        <f t="shared" si="6"/>
        <v>#DIV/0!</v>
      </c>
      <c r="F46" s="704">
        <f t="shared" si="6"/>
        <v>29.134853081280617</v>
      </c>
      <c r="G46" s="704">
        <f t="shared" si="6"/>
        <v>23.091606823622872</v>
      </c>
      <c r="H46" s="705">
        <f t="shared" si="6"/>
        <v>23.92585532354018</v>
      </c>
    </row>
    <row r="47" spans="1:14" x14ac:dyDescent="0.2">
      <c r="A47" s="6"/>
      <c r="B47" s="8"/>
      <c r="C47" s="702"/>
      <c r="D47" s="702"/>
      <c r="E47" s="702"/>
      <c r="F47" s="702"/>
      <c r="G47" s="702"/>
      <c r="H47" s="703"/>
    </row>
    <row r="48" spans="1:14" x14ac:dyDescent="0.2">
      <c r="A48" s="17" t="s">
        <v>32</v>
      </c>
      <c r="B48" s="8"/>
      <c r="C48" s="702"/>
      <c r="D48" s="702"/>
      <c r="E48" s="702"/>
      <c r="F48" s="702"/>
      <c r="G48" s="702"/>
      <c r="H48" s="703"/>
    </row>
    <row r="49" spans="1:9" x14ac:dyDescent="0.2">
      <c r="A49" s="16" t="s">
        <v>195</v>
      </c>
      <c r="B49" s="12" t="s">
        <v>37</v>
      </c>
      <c r="C49" s="751" t="e">
        <f>'TR &amp; BSS, TLF'!C57</f>
        <v>#DIV/0!</v>
      </c>
      <c r="D49" s="751" t="e">
        <f>'TR &amp; BSS, TLF'!D57</f>
        <v>#DIV/0!</v>
      </c>
      <c r="E49" s="751" t="e">
        <f>'TR &amp; BSS, TLF'!E57</f>
        <v>#DIV/0!</v>
      </c>
      <c r="F49" s="751">
        <f>'TR &amp; BSS, TLF'!F57</f>
        <v>4.3411923076923077E-2</v>
      </c>
      <c r="G49" s="751">
        <f>'TR &amp; BSS, TLF'!G57</f>
        <v>4.3411923076923077E-2</v>
      </c>
      <c r="H49" s="752">
        <f>'TR &amp; BSS, TLF'!H57</f>
        <v>4.3411923076923077E-2</v>
      </c>
    </row>
    <row r="50" spans="1:9" x14ac:dyDescent="0.2">
      <c r="A50" s="16" t="s">
        <v>196</v>
      </c>
      <c r="B50" s="12" t="s">
        <v>88</v>
      </c>
      <c r="C50" s="702" t="e">
        <f>'Gen. Energy Cost'!E11</f>
        <v>#DIV/0!</v>
      </c>
      <c r="D50" s="702" t="e">
        <f>'Gen. Energy Cost'!N11</f>
        <v>#DIV/0!</v>
      </c>
      <c r="E50" s="702" t="e">
        <f>'Gen. Energy Cost'!T11</f>
        <v>#DIV/0!</v>
      </c>
      <c r="F50" s="702">
        <f>'Gen. Energy Cost'!Z11</f>
        <v>36.630206036849927</v>
      </c>
      <c r="G50" s="702">
        <f>'Gen. Energy Cost'!AF11</f>
        <v>29.032249220940852</v>
      </c>
      <c r="H50" s="703">
        <f>'Gen. Energy Cost'!AL11</f>
        <v>30.08111994469742</v>
      </c>
    </row>
    <row r="51" spans="1:9" x14ac:dyDescent="0.2">
      <c r="A51" s="14" t="s">
        <v>50</v>
      </c>
      <c r="B51" s="31" t="s">
        <v>88</v>
      </c>
      <c r="C51" s="704" t="e">
        <f t="shared" ref="C51:H51" si="7">+(1+C49)*C50</f>
        <v>#DIV/0!</v>
      </c>
      <c r="D51" s="704" t="e">
        <f t="shared" si="7"/>
        <v>#DIV/0!</v>
      </c>
      <c r="E51" s="704" t="e">
        <f t="shared" si="7"/>
        <v>#DIV/0!</v>
      </c>
      <c r="F51" s="704">
        <f t="shared" si="7"/>
        <v>38.220393723613498</v>
      </c>
      <c r="G51" s="704">
        <f t="shared" si="7"/>
        <v>30.292594990870395</v>
      </c>
      <c r="H51" s="705">
        <f t="shared" si="7"/>
        <v>31.386999209804319</v>
      </c>
    </row>
    <row r="52" spans="1:9" x14ac:dyDescent="0.2">
      <c r="A52" s="6"/>
      <c r="B52" s="8"/>
      <c r="C52" s="702"/>
      <c r="D52" s="702"/>
      <c r="E52" s="702"/>
      <c r="F52" s="702"/>
      <c r="G52" s="702"/>
      <c r="H52" s="703"/>
    </row>
    <row r="53" spans="1:9" x14ac:dyDescent="0.2">
      <c r="A53" s="17" t="s">
        <v>33</v>
      </c>
      <c r="B53" s="8"/>
      <c r="C53" s="702"/>
      <c r="D53" s="702"/>
      <c r="E53" s="702"/>
      <c r="F53" s="702"/>
      <c r="G53" s="702"/>
      <c r="H53" s="703"/>
    </row>
    <row r="54" spans="1:9" x14ac:dyDescent="0.2">
      <c r="A54" s="16" t="s">
        <v>197</v>
      </c>
      <c r="B54" s="12" t="s">
        <v>37</v>
      </c>
      <c r="C54" s="751" t="e">
        <f>'TR &amp; BSS, TLF'!C63</f>
        <v>#DIV/0!</v>
      </c>
      <c r="D54" s="751" t="e">
        <f>'TR &amp; BSS, TLF'!D63</f>
        <v>#DIV/0!</v>
      </c>
      <c r="E54" s="751" t="e">
        <f>'TR &amp; BSS, TLF'!E63</f>
        <v>#DIV/0!</v>
      </c>
      <c r="F54" s="751">
        <f>'TR &amp; BSS, TLF'!F63</f>
        <v>2.4061153846153847E-2</v>
      </c>
      <c r="G54" s="751">
        <f>'TR &amp; BSS, TLF'!G63</f>
        <v>2.4061153846153843E-2</v>
      </c>
      <c r="H54" s="752">
        <f>'TR &amp; BSS, TLF'!H63</f>
        <v>2.4061153846153843E-2</v>
      </c>
    </row>
    <row r="55" spans="1:9" x14ac:dyDescent="0.2">
      <c r="A55" s="16" t="s">
        <v>198</v>
      </c>
      <c r="B55" s="12" t="s">
        <v>88</v>
      </c>
      <c r="C55" s="702" t="e">
        <f>'Gen. Energy Cost'!E12</f>
        <v>#DIV/0!</v>
      </c>
      <c r="D55" s="702" t="e">
        <f>'Gen. Energy Cost'!N12</f>
        <v>#DIV/0!</v>
      </c>
      <c r="E55" s="702" t="e">
        <f>'Gen. Energy Cost'!T12</f>
        <v>#DIV/0!</v>
      </c>
      <c r="F55" s="702">
        <f>'Gen. Energy Cost'!Z12</f>
        <v>16.906248940084581</v>
      </c>
      <c r="G55" s="702">
        <f>'Gen. Energy Cost'!AF12</f>
        <v>13.399499640434238</v>
      </c>
      <c r="H55" s="703">
        <f>'Gen. Energy Cost'!AL12</f>
        <v>13.883593820629576</v>
      </c>
    </row>
    <row r="56" spans="1:9" ht="13.2" thickBot="1" x14ac:dyDescent="0.25">
      <c r="A56" s="10" t="s">
        <v>51</v>
      </c>
      <c r="B56" s="32" t="s">
        <v>88</v>
      </c>
      <c r="C56" s="706" t="e">
        <f t="shared" ref="C56:H56" si="8">+(1+C54)*C55</f>
        <v>#DIV/0!</v>
      </c>
      <c r="D56" s="706" t="e">
        <f t="shared" si="8"/>
        <v>#DIV/0!</v>
      </c>
      <c r="E56" s="706" t="e">
        <f t="shared" si="8"/>
        <v>#DIV/0!</v>
      </c>
      <c r="F56" s="706">
        <f t="shared" si="8"/>
        <v>17.313032796793333</v>
      </c>
      <c r="G56" s="706">
        <f t="shared" si="8"/>
        <v>13.72190706274421</v>
      </c>
      <c r="H56" s="707">
        <f t="shared" si="8"/>
        <v>14.217649107485256</v>
      </c>
    </row>
    <row r="57" spans="1:9" ht="13.2" thickBot="1" x14ac:dyDescent="0.25"/>
    <row r="58" spans="1:9" ht="25.2" x14ac:dyDescent="0.2">
      <c r="A58" s="339" t="s">
        <v>199</v>
      </c>
      <c r="B58" s="340" t="s">
        <v>88</v>
      </c>
      <c r="D58" s="2282"/>
      <c r="E58" s="165"/>
      <c r="F58" s="393">
        <f>SUMPRODUCT(F46:H46,'TR &amp; BSS, TLF'!F50:H50)/SUM('TR &amp; BSS, TLF'!F50:H50)</f>
        <v>25.309379620955351</v>
      </c>
      <c r="G58" s="345" t="s">
        <v>602</v>
      </c>
    </row>
    <row r="59" spans="1:9" ht="25.2" x14ac:dyDescent="0.2">
      <c r="A59" s="341" t="s">
        <v>200</v>
      </c>
      <c r="B59" s="342" t="s">
        <v>88</v>
      </c>
      <c r="D59" s="2282"/>
      <c r="E59" s="165"/>
      <c r="F59" s="394">
        <f>SUMPRODUCT(F51:H51,'TR &amp; BSS, TLF'!F56:H56)/SUM('TR &amp; BSS, TLF'!F56:H56)</f>
        <v>33.201967805179478</v>
      </c>
      <c r="G59" s="346" t="s">
        <v>601</v>
      </c>
      <c r="I59" s="216"/>
    </row>
    <row r="60" spans="1:9" ht="25.8" thickBot="1" x14ac:dyDescent="0.25">
      <c r="A60" s="343" t="s">
        <v>201</v>
      </c>
      <c r="B60" s="344" t="s">
        <v>88</v>
      </c>
      <c r="D60" s="2282"/>
      <c r="E60" s="165"/>
      <c r="F60" s="395">
        <f>SUMPRODUCT(F56:H56,'TR &amp; BSS, TLF'!F62:H62)/SUM('TR &amp; BSS, TLF'!F62:H62)</f>
        <v>15.039791627630633</v>
      </c>
      <c r="G60" s="165"/>
      <c r="I60" s="216"/>
    </row>
    <row r="61" spans="1:9" x14ac:dyDescent="0.2">
      <c r="D61" s="165"/>
      <c r="I61" s="216"/>
    </row>
    <row r="62" spans="1:9" x14ac:dyDescent="0.2">
      <c r="D62" s="165"/>
      <c r="I62" s="216"/>
    </row>
    <row r="63" spans="1:9" ht="26.25" hidden="1" customHeight="1" thickBot="1" x14ac:dyDescent="0.25">
      <c r="A63" s="2922" t="s">
        <v>1031</v>
      </c>
      <c r="B63" s="2923"/>
      <c r="C63" s="2923"/>
      <c r="D63" s="2924"/>
      <c r="F63" s="415" t="s">
        <v>1032</v>
      </c>
      <c r="H63" s="322">
        <f>'Loss %'!C7</f>
        <v>2.6296495346279491</v>
      </c>
      <c r="I63" s="216"/>
    </row>
    <row r="64" spans="1:9" ht="13.2" hidden="1" thickBot="1" x14ac:dyDescent="0.25">
      <c r="E64" s="331"/>
      <c r="F64" s="415" t="s">
        <v>1033</v>
      </c>
      <c r="H64" s="322">
        <f>'Loss %'!C6</f>
        <v>3.54</v>
      </c>
      <c r="I64" s="216"/>
    </row>
    <row r="65" spans="1:9" ht="25.2" hidden="1" x14ac:dyDescent="0.2">
      <c r="A65" s="753" t="s">
        <v>199</v>
      </c>
      <c r="B65" s="754" t="s">
        <v>88</v>
      </c>
      <c r="C65" s="755">
        <f>F58*(1-C78)</f>
        <v>25.056285824745796</v>
      </c>
      <c r="I65" s="216"/>
    </row>
    <row r="66" spans="1:9" ht="25.2" hidden="1" x14ac:dyDescent="0.2">
      <c r="A66" s="756" t="s">
        <v>200</v>
      </c>
      <c r="B66" s="757" t="s">
        <v>88</v>
      </c>
      <c r="C66" s="758">
        <f>F59*(1-C79)</f>
        <v>32.869948127127685</v>
      </c>
      <c r="F66" s="415" t="s">
        <v>1034</v>
      </c>
      <c r="G66">
        <v>220</v>
      </c>
      <c r="H66">
        <v>132</v>
      </c>
      <c r="I66" s="216"/>
    </row>
    <row r="67" spans="1:9" ht="25.8" hidden="1" thickBot="1" x14ac:dyDescent="0.25">
      <c r="A67" s="759" t="s">
        <v>201</v>
      </c>
      <c r="B67" s="760" t="s">
        <v>88</v>
      </c>
      <c r="C67" s="761">
        <f>F60*(1-C80)</f>
        <v>14.889393711354327</v>
      </c>
      <c r="F67" s="415" t="s">
        <v>915</v>
      </c>
      <c r="I67" s="216"/>
    </row>
    <row r="68" spans="1:9" hidden="1" x14ac:dyDescent="0.2">
      <c r="F68" s="415" t="s">
        <v>916</v>
      </c>
      <c r="I68" s="216"/>
    </row>
    <row r="69" spans="1:9" ht="13.2" hidden="1" thickBot="1" x14ac:dyDescent="0.25">
      <c r="F69" s="415" t="s">
        <v>1035</v>
      </c>
      <c r="I69" s="216"/>
    </row>
    <row r="70" spans="1:9" ht="26.25" hidden="1" customHeight="1" thickBot="1" x14ac:dyDescent="0.25">
      <c r="A70" s="2922" t="s">
        <v>992</v>
      </c>
      <c r="B70" s="2923"/>
      <c r="C70" s="2923"/>
      <c r="D70" s="2924"/>
      <c r="I70" s="216"/>
    </row>
    <row r="71" spans="1:9" ht="13.2" hidden="1" thickBot="1" x14ac:dyDescent="0.25">
      <c r="I71" s="216"/>
    </row>
    <row r="72" spans="1:9" ht="25.2" hidden="1" x14ac:dyDescent="0.2">
      <c r="A72" s="753" t="s">
        <v>199</v>
      </c>
      <c r="B72" s="754" t="s">
        <v>88</v>
      </c>
      <c r="C72" s="755">
        <f>C65*(1-C85)</f>
        <v>25.056285824745796</v>
      </c>
      <c r="I72" s="216"/>
    </row>
    <row r="73" spans="1:9" ht="25.2" hidden="1" x14ac:dyDescent="0.2">
      <c r="A73" s="756" t="s">
        <v>200</v>
      </c>
      <c r="B73" s="757" t="s">
        <v>88</v>
      </c>
      <c r="C73" s="758">
        <f>C66*(1-C86)</f>
        <v>32.869948127127685</v>
      </c>
      <c r="I73" s="216"/>
    </row>
    <row r="74" spans="1:9" ht="25.8" hidden="1" thickBot="1" x14ac:dyDescent="0.25">
      <c r="A74" s="759" t="s">
        <v>201</v>
      </c>
      <c r="B74" s="760" t="s">
        <v>88</v>
      </c>
      <c r="C74" s="761">
        <f>C67*(1-C87)</f>
        <v>14.889393711354327</v>
      </c>
      <c r="I74" s="216"/>
    </row>
    <row r="75" spans="1:9" hidden="1" x14ac:dyDescent="0.2">
      <c r="I75" s="216"/>
    </row>
    <row r="76" spans="1:9" hidden="1" x14ac:dyDescent="0.2">
      <c r="I76" s="216"/>
    </row>
    <row r="77" spans="1:9" ht="13.2" hidden="1" thickBot="1" x14ac:dyDescent="0.25">
      <c r="C77" s="773" t="s">
        <v>679</v>
      </c>
      <c r="I77" s="216"/>
    </row>
    <row r="78" spans="1:9" hidden="1" x14ac:dyDescent="0.2">
      <c r="C78" s="771">
        <v>0.01</v>
      </c>
      <c r="I78" s="216"/>
    </row>
    <row r="79" spans="1:9" hidden="1" x14ac:dyDescent="0.2">
      <c r="C79" s="771">
        <v>0.01</v>
      </c>
      <c r="I79" s="216"/>
    </row>
    <row r="80" spans="1:9" ht="13.2" hidden="1" thickBot="1" x14ac:dyDescent="0.25">
      <c r="C80" s="772">
        <v>0.01</v>
      </c>
      <c r="D80" s="184"/>
      <c r="E80" s="184"/>
      <c r="I80" s="216"/>
    </row>
    <row r="81" spans="2:9" hidden="1" x14ac:dyDescent="0.2">
      <c r="C81" s="184"/>
      <c r="D81" s="184"/>
      <c r="E81" s="184"/>
      <c r="I81" s="216"/>
    </row>
    <row r="82" spans="2:9" hidden="1" x14ac:dyDescent="0.2">
      <c r="C82" s="184"/>
      <c r="D82" s="184"/>
      <c r="E82" s="184"/>
      <c r="I82" s="216"/>
    </row>
    <row r="83" spans="2:9" hidden="1" x14ac:dyDescent="0.2">
      <c r="C83" s="184"/>
      <c r="D83" s="184"/>
      <c r="E83" s="184"/>
      <c r="I83" s="216"/>
    </row>
    <row r="84" spans="2:9" x14ac:dyDescent="0.2">
      <c r="C84" s="184"/>
      <c r="D84" s="184"/>
      <c r="E84" s="184"/>
      <c r="I84" s="216"/>
    </row>
    <row r="85" spans="2:9" x14ac:dyDescent="0.2">
      <c r="D85" s="402"/>
    </row>
    <row r="86" spans="2:9" x14ac:dyDescent="0.2">
      <c r="B86" s="165"/>
      <c r="C86" s="165"/>
      <c r="D86" s="402"/>
    </row>
    <row r="87" spans="2:9" x14ac:dyDescent="0.2">
      <c r="C87" s="165"/>
      <c r="D87" s="402"/>
    </row>
    <row r="88" spans="2:9" x14ac:dyDescent="0.2">
      <c r="C88" s="165"/>
      <c r="D88" s="165"/>
    </row>
  </sheetData>
  <mergeCells count="3">
    <mergeCell ref="A63:D63"/>
    <mergeCell ref="A26:B26"/>
    <mergeCell ref="A70:D70"/>
  </mergeCells>
  <phoneticPr fontId="54" type="noConversion"/>
  <pageMargins left="0.87" right="0.19" top="1" bottom="0.33" header="0" footer="0"/>
  <pageSetup paperSize="9" scale="88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CommandButton1">
          <controlPr defaultSize="0" autoLine="0" r:id="rId5">
            <anchor moveWithCells="1">
              <from>
                <xdr:col>5</xdr:col>
                <xdr:colOff>0</xdr:colOff>
                <xdr:row>1</xdr:row>
                <xdr:rowOff>30480</xdr:rowOff>
              </from>
              <to>
                <xdr:col>5</xdr:col>
                <xdr:colOff>754380</xdr:colOff>
                <xdr:row>2</xdr:row>
                <xdr:rowOff>53340</xdr:rowOff>
              </to>
            </anchor>
          </controlPr>
        </control>
      </mc:Choice>
      <mc:Fallback>
        <control shapeId="4097" r:id="rId4" name="CommandButton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">
    <tabColor rgb="FF002060"/>
  </sheetPr>
  <dimension ref="A1:L98"/>
  <sheetViews>
    <sheetView showGridLines="0" topLeftCell="C68" zoomScale="85" zoomScaleNormal="85" workbookViewId="0">
      <selection activeCell="C84" sqref="C84:I100"/>
    </sheetView>
  </sheetViews>
  <sheetFormatPr defaultColWidth="11" defaultRowHeight="12.6" x14ac:dyDescent="0.2"/>
  <cols>
    <col min="1" max="1" width="45.453125" style="279" customWidth="1"/>
    <col min="2" max="2" width="10" style="279" customWidth="1"/>
    <col min="3" max="3" width="19.26953125" style="279" bestFit="1" customWidth="1"/>
    <col min="4" max="4" width="16.26953125" style="279" bestFit="1" customWidth="1"/>
    <col min="5" max="6" width="15.26953125" style="279" bestFit="1" customWidth="1"/>
    <col min="7" max="8" width="16.26953125" style="279" bestFit="1" customWidth="1"/>
    <col min="9" max="9" width="39.26953125" style="279" customWidth="1"/>
    <col min="10" max="10" width="12.90625" style="279" customWidth="1"/>
    <col min="11" max="16384" width="11" style="279"/>
  </cols>
  <sheetData>
    <row r="1" spans="1:10" ht="22.8" x14ac:dyDescent="0.4">
      <c r="A1" s="1406" t="s">
        <v>828</v>
      </c>
      <c r="B1" s="898"/>
      <c r="C1" s="453"/>
      <c r="D1" s="453"/>
      <c r="E1" s="453"/>
      <c r="F1" s="453"/>
      <c r="G1" s="453"/>
      <c r="H1" s="453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425">
        <f>DispatchSchedule!K3</f>
        <v>46174</v>
      </c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1344"/>
    </row>
    <row r="5" spans="1:10" x14ac:dyDescent="0.2">
      <c r="A5" s="906" t="s">
        <v>639</v>
      </c>
      <c r="B5" s="907"/>
      <c r="C5" s="908"/>
      <c r="D5" s="909"/>
      <c r="E5" s="909"/>
      <c r="F5" s="909"/>
      <c r="G5" s="909"/>
      <c r="H5" s="1407"/>
      <c r="J5" s="438"/>
    </row>
    <row r="6" spans="1:10" x14ac:dyDescent="0.2">
      <c r="A6" s="906"/>
      <c r="B6" s="911"/>
      <c r="C6" s="909"/>
      <c r="D6" s="909"/>
      <c r="E6" s="909"/>
      <c r="F6" s="909"/>
      <c r="G6" s="909"/>
      <c r="H6" s="1407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1344"/>
    </row>
    <row r="8" spans="1:10" ht="13.2" x14ac:dyDescent="0.25">
      <c r="A8" s="1408" t="s">
        <v>228</v>
      </c>
      <c r="B8" s="1409"/>
      <c r="C8" s="918"/>
      <c r="D8" s="918"/>
      <c r="E8" s="918"/>
      <c r="F8" s="918"/>
      <c r="G8" s="918"/>
      <c r="H8" s="1274"/>
    </row>
    <row r="9" spans="1:10" ht="13.2" x14ac:dyDescent="0.25">
      <c r="A9" s="912" t="s">
        <v>99</v>
      </c>
      <c r="B9" s="913"/>
      <c r="C9" s="917" t="s">
        <v>97</v>
      </c>
      <c r="D9" s="918"/>
      <c r="E9" s="918"/>
      <c r="F9" s="918"/>
      <c r="G9" s="918"/>
      <c r="H9" s="1274"/>
    </row>
    <row r="10" spans="1:10" ht="13.2" x14ac:dyDescent="0.25">
      <c r="A10" s="912" t="s">
        <v>229</v>
      </c>
      <c r="B10" s="907" t="str">
        <f>$C$9&amp;"/kWh"</f>
        <v>US$/kWh</v>
      </c>
      <c r="C10" s="530">
        <v>6.7720000000000002E-3</v>
      </c>
      <c r="D10" s="918"/>
      <c r="E10" s="918"/>
      <c r="F10" s="918"/>
      <c r="G10" s="918"/>
      <c r="H10" s="1274"/>
      <c r="I10" s="492"/>
      <c r="J10" s="490"/>
    </row>
    <row r="11" spans="1:10" x14ac:dyDescent="0.2">
      <c r="A11" s="906" t="s">
        <v>126</v>
      </c>
      <c r="B11" s="907" t="str">
        <f>$C$9&amp;"/kWh"</f>
        <v>US$/kWh</v>
      </c>
      <c r="C11" s="1410">
        <f t="shared" ref="C11:H11" si="0">$C$10</f>
        <v>6.7720000000000002E-3</v>
      </c>
      <c r="D11" s="1410">
        <f t="shared" si="0"/>
        <v>6.7720000000000002E-3</v>
      </c>
      <c r="E11" s="1410">
        <f t="shared" si="0"/>
        <v>6.7720000000000002E-3</v>
      </c>
      <c r="F11" s="1410">
        <f t="shared" si="0"/>
        <v>6.7720000000000002E-3</v>
      </c>
      <c r="G11" s="1410">
        <f t="shared" si="0"/>
        <v>6.7720000000000002E-3</v>
      </c>
      <c r="H11" s="1411">
        <f t="shared" si="0"/>
        <v>6.7720000000000002E-3</v>
      </c>
      <c r="I11" s="493"/>
      <c r="J11" s="490"/>
    </row>
    <row r="12" spans="1:10" x14ac:dyDescent="0.2">
      <c r="A12" s="1412" t="s">
        <v>241</v>
      </c>
      <c r="B12" s="907"/>
      <c r="C12" s="1410"/>
      <c r="D12" s="1410"/>
      <c r="E12" s="1410"/>
      <c r="F12" s="1410"/>
      <c r="G12" s="1410"/>
      <c r="H12" s="1411"/>
      <c r="I12" s="493"/>
      <c r="J12" s="490"/>
    </row>
    <row r="13" spans="1:10" ht="13.2" x14ac:dyDescent="0.25">
      <c r="A13" s="1413" t="s">
        <v>233</v>
      </c>
      <c r="B13" s="1409"/>
      <c r="C13" s="918"/>
      <c r="D13" s="918"/>
      <c r="E13" s="918"/>
      <c r="F13" s="918"/>
      <c r="G13" s="918"/>
      <c r="H13" s="1274"/>
      <c r="I13" s="494"/>
      <c r="J13" s="490"/>
    </row>
    <row r="14" spans="1:10" x14ac:dyDescent="0.2">
      <c r="A14" s="906" t="s">
        <v>235</v>
      </c>
      <c r="B14" s="907" t="s">
        <v>428</v>
      </c>
      <c r="C14" s="530">
        <v>1.5903E-3</v>
      </c>
      <c r="D14" s="917"/>
      <c r="E14" s="917"/>
      <c r="F14" s="917"/>
      <c r="G14" s="917"/>
      <c r="H14" s="1307"/>
      <c r="I14" s="492"/>
      <c r="J14" s="490"/>
    </row>
    <row r="15" spans="1:10" x14ac:dyDescent="0.2">
      <c r="A15" s="906" t="s">
        <v>236</v>
      </c>
      <c r="B15" s="907" t="s">
        <v>234</v>
      </c>
      <c r="C15" s="530">
        <v>3.3727000000000002E-3</v>
      </c>
      <c r="D15" s="917"/>
      <c r="E15" s="917"/>
      <c r="F15" s="917"/>
      <c r="G15" s="917"/>
      <c r="H15" s="1307"/>
      <c r="I15" s="492"/>
      <c r="J15" s="490"/>
    </row>
    <row r="16" spans="1:10" x14ac:dyDescent="0.2">
      <c r="A16" s="906" t="s">
        <v>230</v>
      </c>
      <c r="B16" s="907"/>
      <c r="C16" s="530">
        <v>23.012418419999999</v>
      </c>
      <c r="D16" s="917"/>
      <c r="E16" s="917"/>
      <c r="F16" s="917"/>
      <c r="G16" s="917"/>
      <c r="H16" s="1307"/>
      <c r="I16" s="492"/>
      <c r="J16" s="490"/>
    </row>
    <row r="17" spans="1:10" x14ac:dyDescent="0.2">
      <c r="A17" s="906" t="s">
        <v>564</v>
      </c>
      <c r="B17" s="907"/>
      <c r="C17" s="49">
        <v>134.19999999999999</v>
      </c>
      <c r="D17" s="49">
        <f>C17</f>
        <v>134.19999999999999</v>
      </c>
      <c r="E17" s="49">
        <f t="shared" ref="E17:H17" si="1">D17</f>
        <v>134.19999999999999</v>
      </c>
      <c r="F17" s="49">
        <f t="shared" si="1"/>
        <v>134.19999999999999</v>
      </c>
      <c r="G17" s="49">
        <f t="shared" si="1"/>
        <v>134.19999999999999</v>
      </c>
      <c r="H17" s="49">
        <f t="shared" si="1"/>
        <v>134.19999999999999</v>
      </c>
      <c r="I17" s="483"/>
      <c r="J17" s="490"/>
    </row>
    <row r="18" spans="1:10" x14ac:dyDescent="0.2">
      <c r="A18" s="906" t="s">
        <v>231</v>
      </c>
      <c r="B18" s="907"/>
      <c r="C18" s="530">
        <v>152.5</v>
      </c>
      <c r="D18" s="917"/>
      <c r="E18" s="917"/>
      <c r="F18" s="917"/>
      <c r="G18" s="917"/>
      <c r="H18" s="1307"/>
      <c r="I18" s="492"/>
      <c r="J18" s="490"/>
    </row>
    <row r="19" spans="1:10" x14ac:dyDescent="0.2">
      <c r="A19" s="906" t="s">
        <v>232</v>
      </c>
      <c r="B19" s="911"/>
      <c r="C19" s="1399">
        <v>256.39400000000001</v>
      </c>
      <c r="D19" s="1399">
        <f>C19</f>
        <v>256.39400000000001</v>
      </c>
      <c r="E19" s="1399">
        <f t="shared" ref="E19:H19" si="2">D19</f>
        <v>256.39400000000001</v>
      </c>
      <c r="F19" s="1399">
        <f t="shared" si="2"/>
        <v>256.39400000000001</v>
      </c>
      <c r="G19" s="1399">
        <f t="shared" si="2"/>
        <v>256.39400000000001</v>
      </c>
      <c r="H19" s="1399">
        <f t="shared" si="2"/>
        <v>256.39400000000001</v>
      </c>
      <c r="I19" s="1732"/>
      <c r="J19" s="490"/>
    </row>
    <row r="20" spans="1:10" x14ac:dyDescent="0.2">
      <c r="A20" s="906" t="s">
        <v>238</v>
      </c>
      <c r="B20" s="911" t="s">
        <v>239</v>
      </c>
      <c r="C20" s="530">
        <v>51</v>
      </c>
      <c r="D20" s="530">
        <v>51</v>
      </c>
      <c r="E20" s="530">
        <v>51</v>
      </c>
      <c r="F20" s="530">
        <v>51</v>
      </c>
      <c r="G20" s="530">
        <v>51</v>
      </c>
      <c r="H20" s="1308">
        <v>51</v>
      </c>
      <c r="I20" s="492"/>
      <c r="J20" s="490"/>
    </row>
    <row r="21" spans="1:10" x14ac:dyDescent="0.2">
      <c r="A21" s="906" t="s">
        <v>237</v>
      </c>
      <c r="B21" s="907" t="s">
        <v>214</v>
      </c>
      <c r="C21" s="1414">
        <f t="shared" ref="C21:H21" si="3">($C$14*C17/$C$16)*$C$20</f>
        <v>0.47297641913813238</v>
      </c>
      <c r="D21" s="1414">
        <f t="shared" si="3"/>
        <v>0.47297641913813238</v>
      </c>
      <c r="E21" s="1414">
        <f t="shared" si="3"/>
        <v>0.47297641913813238</v>
      </c>
      <c r="F21" s="1414">
        <f t="shared" si="3"/>
        <v>0.47297641913813238</v>
      </c>
      <c r="G21" s="1414">
        <f t="shared" si="3"/>
        <v>0.47297641913813238</v>
      </c>
      <c r="H21" s="1415">
        <f t="shared" si="3"/>
        <v>0.47297641913813238</v>
      </c>
      <c r="I21" s="496"/>
      <c r="J21" s="490"/>
    </row>
    <row r="22" spans="1:10" x14ac:dyDescent="0.2">
      <c r="A22" s="906" t="s">
        <v>240</v>
      </c>
      <c r="B22" s="911" t="s">
        <v>234</v>
      </c>
      <c r="C22" s="1414">
        <f>($C$15*C19/$C$18)</f>
        <v>5.6704265167213117E-3</v>
      </c>
      <c r="D22" s="1414">
        <f t="shared" ref="D22:H22" si="4">($C$15*D19/$C$18)</f>
        <v>5.6704265167213117E-3</v>
      </c>
      <c r="E22" s="1414">
        <f t="shared" si="4"/>
        <v>5.6704265167213117E-3</v>
      </c>
      <c r="F22" s="1414">
        <f t="shared" si="4"/>
        <v>5.6704265167213117E-3</v>
      </c>
      <c r="G22" s="1414">
        <f t="shared" si="4"/>
        <v>5.6704265167213117E-3</v>
      </c>
      <c r="H22" s="1415">
        <f t="shared" si="4"/>
        <v>5.6704265167213117E-3</v>
      </c>
      <c r="I22" s="496"/>
      <c r="J22" s="490"/>
    </row>
    <row r="23" spans="1:10" ht="13.2" x14ac:dyDescent="0.25">
      <c r="A23" s="1413" t="s">
        <v>242</v>
      </c>
      <c r="B23" s="911"/>
      <c r="C23" s="1414"/>
      <c r="D23" s="918"/>
      <c r="E23" s="918"/>
      <c r="F23" s="918"/>
      <c r="G23" s="918"/>
      <c r="H23" s="1274"/>
      <c r="I23" s="496"/>
      <c r="J23" s="490"/>
    </row>
    <row r="24" spans="1:10" ht="13.2" x14ac:dyDescent="0.25">
      <c r="A24" s="912" t="s">
        <v>244</v>
      </c>
      <c r="B24" s="911" t="s">
        <v>234</v>
      </c>
      <c r="C24" s="530">
        <v>2.4000000000000001E-4</v>
      </c>
      <c r="D24" s="918"/>
      <c r="E24" s="918"/>
      <c r="F24" s="918"/>
      <c r="G24" s="918"/>
      <c r="H24" s="1274"/>
      <c r="I24" s="492"/>
      <c r="J24" s="490"/>
    </row>
    <row r="25" spans="1:10" ht="13.2" x14ac:dyDescent="0.25">
      <c r="A25" s="912" t="s">
        <v>245</v>
      </c>
      <c r="B25" s="911" t="s">
        <v>234</v>
      </c>
      <c r="C25" s="530">
        <v>3.9399999999999998E-4</v>
      </c>
      <c r="D25" s="918"/>
      <c r="E25" s="918"/>
      <c r="F25" s="918"/>
      <c r="G25" s="918"/>
      <c r="H25" s="1274"/>
      <c r="I25" s="492"/>
      <c r="J25" s="490"/>
    </row>
    <row r="26" spans="1:10" ht="13.2" x14ac:dyDescent="0.25">
      <c r="A26" s="912" t="s">
        <v>246</v>
      </c>
      <c r="B26" s="911" t="s">
        <v>234</v>
      </c>
      <c r="C26" s="530">
        <v>5.6030000000000003E-3</v>
      </c>
      <c r="D26" s="918"/>
      <c r="E26" s="918"/>
      <c r="F26" s="918"/>
      <c r="G26" s="918"/>
      <c r="H26" s="1274"/>
      <c r="I26" s="492"/>
      <c r="J26" s="490"/>
    </row>
    <row r="27" spans="1:10" ht="13.2" x14ac:dyDescent="0.25">
      <c r="A27" s="912" t="s">
        <v>248</v>
      </c>
      <c r="B27" s="911"/>
      <c r="C27" s="530">
        <v>0.87207281000000003</v>
      </c>
      <c r="D27" s="918"/>
      <c r="E27" s="918"/>
      <c r="F27" s="918"/>
      <c r="G27" s="918"/>
      <c r="H27" s="1274"/>
      <c r="I27" s="492"/>
      <c r="J27" s="490"/>
    </row>
    <row r="28" spans="1:10" ht="13.2" x14ac:dyDescent="0.25">
      <c r="A28" s="912" t="s">
        <v>565</v>
      </c>
      <c r="B28" s="911"/>
      <c r="C28" s="49">
        <f>1/1.1107</f>
        <v>0.90033312325560455</v>
      </c>
      <c r="D28" s="49">
        <f>C28</f>
        <v>0.90033312325560455</v>
      </c>
      <c r="E28" s="49">
        <f t="shared" ref="E28:H28" si="5">D28</f>
        <v>0.90033312325560455</v>
      </c>
      <c r="F28" s="49">
        <f t="shared" si="5"/>
        <v>0.90033312325560455</v>
      </c>
      <c r="G28" s="49">
        <f t="shared" si="5"/>
        <v>0.90033312325560455</v>
      </c>
      <c r="H28" s="49">
        <f t="shared" si="5"/>
        <v>0.90033312325560455</v>
      </c>
      <c r="I28" s="495"/>
      <c r="J28" s="490"/>
    </row>
    <row r="29" spans="1:10" ht="13.2" x14ac:dyDescent="0.25">
      <c r="A29" s="912" t="s">
        <v>249</v>
      </c>
      <c r="B29" s="911"/>
      <c r="C29" s="530">
        <f>88.5433731470726*103.6/109.9</f>
        <v>83.467638380679901</v>
      </c>
      <c r="D29" s="918"/>
      <c r="E29" s="918"/>
      <c r="F29" s="918"/>
      <c r="G29" s="918"/>
      <c r="H29" s="1274"/>
      <c r="I29" s="492"/>
      <c r="J29" s="490"/>
    </row>
    <row r="30" spans="1:10" ht="13.2" x14ac:dyDescent="0.25">
      <c r="A30" s="912" t="s">
        <v>566</v>
      </c>
      <c r="B30" s="911"/>
      <c r="C30" s="49">
        <v>105.9</v>
      </c>
      <c r="D30" s="49">
        <f>C30</f>
        <v>105.9</v>
      </c>
      <c r="E30" s="49">
        <f t="shared" ref="E30:H30" si="6">D30</f>
        <v>105.9</v>
      </c>
      <c r="F30" s="49">
        <f t="shared" si="6"/>
        <v>105.9</v>
      </c>
      <c r="G30" s="49">
        <f t="shared" si="6"/>
        <v>105.9</v>
      </c>
      <c r="H30" s="49">
        <f t="shared" si="6"/>
        <v>105.9</v>
      </c>
      <c r="I30" s="495"/>
      <c r="J30" s="490"/>
    </row>
    <row r="31" spans="1:10" ht="13.2" x14ac:dyDescent="0.25">
      <c r="A31" s="912" t="s">
        <v>243</v>
      </c>
      <c r="B31" s="907" t="s">
        <v>214</v>
      </c>
      <c r="C31" s="1414">
        <f t="shared" ref="C31:H31" si="7">$C$24*C17/$C$16*$C$20</f>
        <v>7.1379199266271648E-2</v>
      </c>
      <c r="D31" s="1414">
        <f t="shared" si="7"/>
        <v>7.1379199266271648E-2</v>
      </c>
      <c r="E31" s="1414">
        <f t="shared" si="7"/>
        <v>7.1379199266271648E-2</v>
      </c>
      <c r="F31" s="1414">
        <f t="shared" si="7"/>
        <v>7.1379199266271648E-2</v>
      </c>
      <c r="G31" s="1414">
        <f t="shared" si="7"/>
        <v>7.1379199266271648E-2</v>
      </c>
      <c r="H31" s="1415">
        <f t="shared" si="7"/>
        <v>7.1379199266271648E-2</v>
      </c>
      <c r="I31" s="496"/>
      <c r="J31" s="490"/>
    </row>
    <row r="32" spans="1:10" ht="13.2" x14ac:dyDescent="0.25">
      <c r="A32" s="912" t="s">
        <v>247</v>
      </c>
      <c r="B32" s="911" t="s">
        <v>234</v>
      </c>
      <c r="C32" s="1414">
        <f t="shared" ref="C32:H32" si="8">$C$25*C19/$C$18+$C$26*($C$27/C28)*(C30/$C$29)</f>
        <v>7.5481192764421962E-3</v>
      </c>
      <c r="D32" s="1414">
        <f t="shared" si="8"/>
        <v>7.5481192764421962E-3</v>
      </c>
      <c r="E32" s="1414">
        <f t="shared" si="8"/>
        <v>7.5481192764421962E-3</v>
      </c>
      <c r="F32" s="1414">
        <f t="shared" si="8"/>
        <v>7.5481192764421962E-3</v>
      </c>
      <c r="G32" s="1414">
        <f t="shared" si="8"/>
        <v>7.5481192764421962E-3</v>
      </c>
      <c r="H32" s="1415">
        <f t="shared" si="8"/>
        <v>7.5481192764421962E-3</v>
      </c>
      <c r="I32" s="496"/>
      <c r="J32" s="490"/>
    </row>
    <row r="33" spans="1:10" x14ac:dyDescent="0.2">
      <c r="A33" s="906"/>
      <c r="B33" s="911"/>
      <c r="C33" s="1414"/>
      <c r="D33" s="918"/>
      <c r="E33" s="918"/>
      <c r="F33" s="918"/>
      <c r="G33" s="918"/>
      <c r="H33" s="1274"/>
      <c r="J33" s="490"/>
    </row>
    <row r="34" spans="1:10" ht="13.2" x14ac:dyDescent="0.25">
      <c r="A34" s="902" t="s">
        <v>24</v>
      </c>
      <c r="B34" s="903"/>
      <c r="C34" s="920"/>
      <c r="D34" s="920"/>
      <c r="E34" s="920"/>
      <c r="F34" s="920"/>
      <c r="G34" s="920"/>
      <c r="H34" s="1416"/>
    </row>
    <row r="35" spans="1:10" x14ac:dyDescent="0.2">
      <c r="A35" s="1417" t="s">
        <v>89</v>
      </c>
      <c r="B35" s="909"/>
      <c r="C35" s="917" t="s">
        <v>119</v>
      </c>
      <c r="D35" s="917"/>
      <c r="E35" s="917"/>
      <c r="F35" s="917"/>
      <c r="G35" s="917"/>
      <c r="H35" s="1307"/>
    </row>
    <row r="36" spans="1:10" x14ac:dyDescent="0.2">
      <c r="A36" s="906" t="s">
        <v>100</v>
      </c>
      <c r="B36" s="909"/>
      <c r="C36" s="917" t="s">
        <v>102</v>
      </c>
      <c r="D36" s="917"/>
      <c r="E36" s="917"/>
      <c r="F36" s="917"/>
      <c r="G36" s="917"/>
      <c r="H36" s="1307"/>
    </row>
    <row r="37" spans="1:10" x14ac:dyDescent="0.2">
      <c r="A37" s="906" t="s">
        <v>99</v>
      </c>
      <c r="B37" s="909"/>
      <c r="C37" s="917" t="s">
        <v>97</v>
      </c>
      <c r="D37" s="917"/>
      <c r="E37" s="917"/>
      <c r="F37" s="917"/>
      <c r="G37" s="917"/>
      <c r="H37" s="1307"/>
    </row>
    <row r="38" spans="1:10" x14ac:dyDescent="0.2">
      <c r="A38" s="906" t="s">
        <v>251</v>
      </c>
      <c r="B38" s="907" t="s">
        <v>225</v>
      </c>
      <c r="C38" s="530">
        <v>2.4559999999999998E-2</v>
      </c>
      <c r="D38" s="918"/>
      <c r="E38" s="918"/>
      <c r="F38" s="918"/>
      <c r="G38" s="918"/>
      <c r="H38" s="1274"/>
      <c r="J38" s="490"/>
    </row>
    <row r="39" spans="1:10" x14ac:dyDescent="0.2">
      <c r="A39" s="906" t="s">
        <v>252</v>
      </c>
      <c r="B39" s="907" t="s">
        <v>253</v>
      </c>
      <c r="C39" s="530">
        <v>5.5</v>
      </c>
      <c r="D39" s="918"/>
      <c r="E39" s="918"/>
      <c r="F39" s="918"/>
      <c r="G39" s="918"/>
      <c r="H39" s="1274"/>
      <c r="J39" s="490"/>
    </row>
    <row r="40" spans="1:10" x14ac:dyDescent="0.2">
      <c r="A40" s="906" t="s">
        <v>618</v>
      </c>
      <c r="B40" s="907" t="s">
        <v>254</v>
      </c>
      <c r="C40" s="530">
        <v>9068</v>
      </c>
      <c r="D40" s="918"/>
      <c r="E40" s="918"/>
      <c r="F40" s="918"/>
      <c r="G40" s="918"/>
      <c r="H40" s="1274"/>
      <c r="J40" s="490"/>
    </row>
    <row r="41" spans="1:10" x14ac:dyDescent="0.2">
      <c r="A41" s="906" t="s">
        <v>255</v>
      </c>
      <c r="B41" s="907" t="s">
        <v>256</v>
      </c>
      <c r="C41" s="49">
        <v>1.8471575605546475E-3</v>
      </c>
      <c r="D41" s="49">
        <f>C41</f>
        <v>1.8471575605546475E-3</v>
      </c>
      <c r="E41" s="49">
        <f t="shared" ref="E41:H41" si="9">D41</f>
        <v>1.8471575605546475E-3</v>
      </c>
      <c r="F41" s="49">
        <f t="shared" si="9"/>
        <v>1.8471575605546475E-3</v>
      </c>
      <c r="G41" s="49">
        <f t="shared" si="9"/>
        <v>1.8471575605546475E-3</v>
      </c>
      <c r="H41" s="49">
        <f t="shared" si="9"/>
        <v>1.8471575605546475E-3</v>
      </c>
      <c r="J41" s="491"/>
    </row>
    <row r="42" spans="1:10" x14ac:dyDescent="0.2">
      <c r="A42" s="906" t="s">
        <v>87</v>
      </c>
      <c r="B42" s="907" t="s">
        <v>584</v>
      </c>
      <c r="C42" s="1418">
        <f>Inputs!C53</f>
        <v>0</v>
      </c>
      <c r="D42" s="1418">
        <f>Inputs!D53</f>
        <v>0</v>
      </c>
      <c r="E42" s="1418">
        <f>Inputs!E53</f>
        <v>0</v>
      </c>
      <c r="F42" s="1418">
        <f>Inputs!F53</f>
        <v>0</v>
      </c>
      <c r="G42" s="1418">
        <f>Inputs!G53</f>
        <v>0</v>
      </c>
      <c r="H42" s="1418">
        <f>Inputs!H53</f>
        <v>0</v>
      </c>
      <c r="J42" s="490"/>
    </row>
    <row r="43" spans="1:10" x14ac:dyDescent="0.2">
      <c r="A43" s="906" t="s">
        <v>25</v>
      </c>
      <c r="B43" s="907" t="str">
        <f>+C37&amp;"/kWh"</f>
        <v>US$/kWh</v>
      </c>
      <c r="C43" s="530">
        <v>1</v>
      </c>
      <c r="D43" s="917"/>
      <c r="E43" s="917"/>
      <c r="F43" s="917"/>
      <c r="G43" s="917"/>
      <c r="H43" s="1307"/>
      <c r="J43" s="490"/>
    </row>
    <row r="44" spans="1:10" x14ac:dyDescent="0.2">
      <c r="A44" s="906" t="s">
        <v>144</v>
      </c>
      <c r="B44" s="911" t="s">
        <v>88</v>
      </c>
      <c r="C44" s="1418">
        <f t="shared" ref="C44:H44" si="10">C41*$C$40</f>
        <v>16.750024759109543</v>
      </c>
      <c r="D44" s="1418">
        <f t="shared" si="10"/>
        <v>16.750024759109543</v>
      </c>
      <c r="E44" s="1418">
        <f t="shared" si="10"/>
        <v>16.750024759109543</v>
      </c>
      <c r="F44" s="1418">
        <f t="shared" si="10"/>
        <v>16.750024759109543</v>
      </c>
      <c r="G44" s="1418">
        <f t="shared" si="10"/>
        <v>16.750024759109543</v>
      </c>
      <c r="H44" s="1419">
        <f t="shared" si="10"/>
        <v>16.750024759109543</v>
      </c>
      <c r="J44" s="491"/>
    </row>
    <row r="45" spans="1:10" x14ac:dyDescent="0.2">
      <c r="A45" s="906"/>
      <c r="B45" s="911"/>
      <c r="C45" s="917"/>
      <c r="D45" s="918"/>
      <c r="E45" s="918"/>
      <c r="F45" s="918"/>
      <c r="G45" s="918"/>
      <c r="H45" s="1274"/>
      <c r="J45" s="490"/>
    </row>
    <row r="46" spans="1:10" x14ac:dyDescent="0.2">
      <c r="A46" s="1417" t="s">
        <v>90</v>
      </c>
      <c r="B46" s="909"/>
      <c r="C46" s="917" t="s">
        <v>117</v>
      </c>
      <c r="D46" s="917"/>
      <c r="E46" s="917"/>
      <c r="F46" s="917"/>
      <c r="G46" s="917"/>
      <c r="H46" s="1307"/>
      <c r="J46" s="490"/>
    </row>
    <row r="47" spans="1:10" x14ac:dyDescent="0.2">
      <c r="A47" s="906" t="s">
        <v>100</v>
      </c>
      <c r="B47" s="909"/>
      <c r="C47" s="917"/>
      <c r="D47" s="917"/>
      <c r="E47" s="917"/>
      <c r="F47" s="917"/>
      <c r="G47" s="917"/>
      <c r="H47" s="1307"/>
      <c r="J47" s="490"/>
    </row>
    <row r="48" spans="1:10" x14ac:dyDescent="0.2">
      <c r="A48" s="906" t="s">
        <v>99</v>
      </c>
      <c r="B48" s="909"/>
      <c r="C48" s="917" t="s">
        <v>94</v>
      </c>
      <c r="D48" s="917"/>
      <c r="E48" s="917"/>
      <c r="F48" s="917"/>
      <c r="G48" s="917"/>
      <c r="H48" s="1307"/>
      <c r="J48" s="490"/>
    </row>
    <row r="49" spans="1:10" x14ac:dyDescent="0.2">
      <c r="A49" s="906" t="s">
        <v>250</v>
      </c>
      <c r="B49" s="907" t="s">
        <v>225</v>
      </c>
      <c r="C49" s="555">
        <v>1.9400000000000001E-3</v>
      </c>
      <c r="D49" s="918"/>
      <c r="E49" s="918"/>
      <c r="F49" s="918"/>
      <c r="G49" s="918"/>
      <c r="H49" s="1274"/>
      <c r="J49" s="491"/>
    </row>
    <row r="50" spans="1:10" x14ac:dyDescent="0.2">
      <c r="A50" s="906" t="s">
        <v>259</v>
      </c>
      <c r="B50" s="907" t="s">
        <v>260</v>
      </c>
      <c r="C50" s="530">
        <v>54</v>
      </c>
      <c r="D50" s="918"/>
      <c r="E50" s="918"/>
      <c r="F50" s="918"/>
      <c r="G50" s="918"/>
      <c r="H50" s="1274"/>
      <c r="J50" s="490"/>
    </row>
    <row r="51" spans="1:10" x14ac:dyDescent="0.2">
      <c r="A51" s="906" t="s">
        <v>257</v>
      </c>
      <c r="B51" s="907" t="s">
        <v>258</v>
      </c>
      <c r="C51" s="125">
        <v>924.82389603365391</v>
      </c>
      <c r="D51" s="125">
        <f>C51</f>
        <v>924.82389603365391</v>
      </c>
      <c r="E51" s="125">
        <f t="shared" ref="E51:H51" si="11">D51</f>
        <v>924.82389603365391</v>
      </c>
      <c r="F51" s="125">
        <f t="shared" si="11"/>
        <v>924.82389603365391</v>
      </c>
      <c r="G51" s="125">
        <f t="shared" si="11"/>
        <v>924.82389603365391</v>
      </c>
      <c r="H51" s="125">
        <f t="shared" si="11"/>
        <v>924.82389603365391</v>
      </c>
      <c r="J51" s="490"/>
    </row>
    <row r="52" spans="1:10" x14ac:dyDescent="0.2">
      <c r="A52" s="906" t="s">
        <v>130</v>
      </c>
      <c r="B52" s="907" t="str">
        <f>C48&amp;"/"&amp;C47</f>
        <v>SLR/</v>
      </c>
      <c r="C52" s="1309">
        <v>1.1688019012520032</v>
      </c>
      <c r="D52" s="1309">
        <v>1.1688019012520032</v>
      </c>
      <c r="E52" s="1309">
        <v>1.1688019012520032</v>
      </c>
      <c r="F52" s="1309">
        <v>1.1688019012520032</v>
      </c>
      <c r="G52" s="1309">
        <v>1.1688019012520032</v>
      </c>
      <c r="H52" s="1309">
        <v>1.1688019012520032</v>
      </c>
      <c r="J52" s="490"/>
    </row>
    <row r="53" spans="1:10" x14ac:dyDescent="0.2">
      <c r="A53" s="906" t="s">
        <v>131</v>
      </c>
      <c r="B53" s="907" t="str">
        <f>+C48&amp;"/kWh"</f>
        <v>SLR/kWh</v>
      </c>
      <c r="C53" s="917">
        <f>($C$49*C51)/($C$50/$C$20)</f>
        <v>1.694482893954995</v>
      </c>
      <c r="D53" s="917">
        <f t="shared" ref="D53:H53" si="12">($C$49*D51)/($C$50/$C$20)</f>
        <v>1.694482893954995</v>
      </c>
      <c r="E53" s="917">
        <f t="shared" si="12"/>
        <v>1.694482893954995</v>
      </c>
      <c r="F53" s="917">
        <f t="shared" si="12"/>
        <v>1.694482893954995</v>
      </c>
      <c r="G53" s="917">
        <f t="shared" si="12"/>
        <v>1.694482893954995</v>
      </c>
      <c r="H53" s="1307">
        <f t="shared" si="12"/>
        <v>1.694482893954995</v>
      </c>
      <c r="J53" s="490"/>
    </row>
    <row r="54" spans="1:10" x14ac:dyDescent="0.2">
      <c r="A54" s="906"/>
      <c r="B54" s="911"/>
      <c r="C54" s="918"/>
      <c r="D54" s="918"/>
      <c r="E54" s="918"/>
      <c r="F54" s="918"/>
      <c r="G54" s="918"/>
      <c r="H54" s="1274"/>
      <c r="J54" s="490"/>
    </row>
    <row r="55" spans="1:10" x14ac:dyDescent="0.2">
      <c r="A55" s="906" t="s">
        <v>429</v>
      </c>
      <c r="B55" s="453"/>
      <c r="C55" s="918"/>
      <c r="D55" s="918"/>
      <c r="E55" s="918"/>
      <c r="F55" s="918"/>
      <c r="G55" s="918"/>
      <c r="H55" s="1274"/>
      <c r="J55" s="490"/>
    </row>
    <row r="56" spans="1:10" ht="27" customHeight="1" x14ac:dyDescent="0.2">
      <c r="A56" s="1420" t="s">
        <v>470</v>
      </c>
      <c r="B56" s="1421" t="s">
        <v>471</v>
      </c>
      <c r="C56" s="530">
        <v>6451</v>
      </c>
      <c r="D56" s="918"/>
      <c r="E56" s="918"/>
      <c r="F56" s="918">
        <v>227</v>
      </c>
      <c r="G56" s="918">
        <v>182</v>
      </c>
      <c r="H56" s="1274">
        <v>316</v>
      </c>
      <c r="J56" s="490"/>
    </row>
    <row r="57" spans="1:10" x14ac:dyDescent="0.2">
      <c r="A57" s="906" t="s">
        <v>521</v>
      </c>
      <c r="B57" s="453"/>
      <c r="C57" s="1447">
        <v>0</v>
      </c>
      <c r="D57" s="1447">
        <v>36</v>
      </c>
      <c r="E57" s="1447">
        <v>145</v>
      </c>
      <c r="F57" s="1447">
        <v>126</v>
      </c>
      <c r="G57" s="1447">
        <v>163</v>
      </c>
      <c r="H57" s="1447">
        <v>108</v>
      </c>
      <c r="J57" s="490"/>
    </row>
    <row r="58" spans="1:10" x14ac:dyDescent="0.2">
      <c r="A58" s="906" t="s">
        <v>472</v>
      </c>
      <c r="B58" s="907" t="s">
        <v>258</v>
      </c>
      <c r="C58" s="530">
        <v>11.7</v>
      </c>
      <c r="D58" s="1310"/>
      <c r="E58" s="1310"/>
      <c r="F58" s="1310"/>
      <c r="G58" s="1310"/>
      <c r="H58" s="1311"/>
      <c r="J58" s="490"/>
    </row>
    <row r="59" spans="1:10" x14ac:dyDescent="0.2">
      <c r="A59" s="906" t="s">
        <v>473</v>
      </c>
      <c r="B59" s="907" t="s">
        <v>258</v>
      </c>
      <c r="C59" s="1260">
        <v>104.17878787878787</v>
      </c>
      <c r="D59" s="1260">
        <v>104.17878787878787</v>
      </c>
      <c r="E59" s="1260">
        <v>104.17878787878787</v>
      </c>
      <c r="F59" s="1260">
        <v>104.17878787878787</v>
      </c>
      <c r="G59" s="1260">
        <v>104.17878787878787</v>
      </c>
      <c r="H59" s="1260">
        <v>104.17878787878787</v>
      </c>
      <c r="J59" s="490"/>
    </row>
    <row r="60" spans="1:10" x14ac:dyDescent="0.2">
      <c r="A60" s="906" t="s">
        <v>474</v>
      </c>
      <c r="B60" s="907" t="s">
        <v>60</v>
      </c>
      <c r="C60" s="1422">
        <f t="shared" ref="C60:H60" si="13">$C$56*(C59/$C$58)*C57/1000000</f>
        <v>0</v>
      </c>
      <c r="D60" s="1422">
        <f t="shared" si="13"/>
        <v>2.0678688018648019</v>
      </c>
      <c r="E60" s="1422">
        <f t="shared" si="13"/>
        <v>8.3289160075110082</v>
      </c>
      <c r="F60" s="1422">
        <f t="shared" si="13"/>
        <v>7.2375408065268072</v>
      </c>
      <c r="G60" s="1422">
        <f t="shared" si="13"/>
        <v>9.3628504084434105</v>
      </c>
      <c r="H60" s="1423">
        <f t="shared" si="13"/>
        <v>6.2036064055944058</v>
      </c>
      <c r="J60" s="490"/>
    </row>
    <row r="61" spans="1:10" ht="12.75" customHeight="1" x14ac:dyDescent="0.3">
      <c r="A61" s="1424"/>
      <c r="B61" s="1425"/>
      <c r="C61" s="918"/>
      <c r="D61" s="918"/>
      <c r="E61" s="918"/>
      <c r="F61" s="918"/>
      <c r="G61" s="918"/>
      <c r="H61" s="1274"/>
    </row>
    <row r="62" spans="1:10" ht="12.75" customHeight="1" x14ac:dyDescent="0.25">
      <c r="A62" s="902" t="s">
        <v>189</v>
      </c>
      <c r="B62" s="903"/>
      <c r="C62" s="920"/>
      <c r="D62" s="920"/>
      <c r="E62" s="920"/>
      <c r="F62" s="920"/>
      <c r="G62" s="920"/>
      <c r="H62" s="1416"/>
    </row>
    <row r="63" spans="1:10" ht="12.75" customHeight="1" x14ac:dyDescent="0.25">
      <c r="A63" s="912" t="s">
        <v>190</v>
      </c>
      <c r="B63" s="907" t="s">
        <v>60</v>
      </c>
      <c r="C63" s="1426"/>
      <c r="D63" s="1426"/>
      <c r="E63" s="1426"/>
      <c r="F63" s="1426"/>
      <c r="G63" s="1426"/>
      <c r="H63" s="930"/>
    </row>
    <row r="64" spans="1:10" ht="12.75" customHeight="1" x14ac:dyDescent="0.25">
      <c r="A64" s="912" t="s">
        <v>191</v>
      </c>
      <c r="B64" s="907" t="s">
        <v>60</v>
      </c>
      <c r="C64" s="1312">
        <v>5</v>
      </c>
      <c r="D64" s="1312">
        <v>5</v>
      </c>
      <c r="E64" s="1312">
        <v>5</v>
      </c>
      <c r="F64" s="1312">
        <v>5</v>
      </c>
      <c r="G64" s="1312">
        <v>5</v>
      </c>
      <c r="H64" s="1313">
        <v>5</v>
      </c>
    </row>
    <row r="65" spans="1:12" ht="12.75" customHeight="1" x14ac:dyDescent="0.25">
      <c r="A65" s="912"/>
      <c r="B65" s="907"/>
      <c r="C65" s="1427"/>
      <c r="D65" s="1427"/>
      <c r="E65" s="1427"/>
      <c r="F65" s="1427"/>
      <c r="G65" s="1428"/>
      <c r="H65" s="930"/>
    </row>
    <row r="66" spans="1:12" ht="12.75" customHeight="1" x14ac:dyDescent="0.25">
      <c r="A66" s="902" t="s">
        <v>145</v>
      </c>
      <c r="B66" s="931" t="s">
        <v>97</v>
      </c>
      <c r="C66" s="932">
        <f>Inputs!C21</f>
        <v>313.51760000000002</v>
      </c>
      <c r="D66" s="932">
        <f>Inputs!D21</f>
        <v>313.51760000000002</v>
      </c>
      <c r="E66" s="932">
        <f>Inputs!E21</f>
        <v>313.51760000000002</v>
      </c>
      <c r="F66" s="932">
        <f>Inputs!F21</f>
        <v>313.51760000000002</v>
      </c>
      <c r="G66" s="932">
        <f>Inputs!G21</f>
        <v>313.51760000000002</v>
      </c>
      <c r="H66" s="932">
        <f>Inputs!H21</f>
        <v>313.51760000000002</v>
      </c>
      <c r="I66" s="451"/>
    </row>
    <row r="67" spans="1:12" ht="13.2" thickBot="1" x14ac:dyDescent="0.25">
      <c r="A67" s="1429"/>
      <c r="B67" s="1430"/>
      <c r="C67" s="1431"/>
      <c r="D67" s="1431"/>
      <c r="E67" s="1431"/>
      <c r="F67" s="1431"/>
      <c r="G67" s="1431"/>
      <c r="H67" s="1432"/>
    </row>
    <row r="68" spans="1:12" x14ac:dyDescent="0.2">
      <c r="A68" s="933" t="s">
        <v>148</v>
      </c>
      <c r="B68" s="934" t="s">
        <v>60</v>
      </c>
      <c r="C68" s="1433">
        <f t="shared" ref="C68:H68" si="14">($C$10*C66+C21+C22*C66)*330000000/(12*1000000)</f>
        <v>120.28214326801636</v>
      </c>
      <c r="D68" s="1433">
        <f t="shared" si="14"/>
        <v>120.28214326801636</v>
      </c>
      <c r="E68" s="1433">
        <f t="shared" si="14"/>
        <v>120.28214326801636</v>
      </c>
      <c r="F68" s="1433">
        <f t="shared" si="14"/>
        <v>120.28214326801636</v>
      </c>
      <c r="G68" s="1433">
        <f t="shared" si="14"/>
        <v>120.28214326801636</v>
      </c>
      <c r="H68" s="1433">
        <f t="shared" si="14"/>
        <v>120.28214326801636</v>
      </c>
      <c r="I68" s="450"/>
    </row>
    <row r="69" spans="1:12" x14ac:dyDescent="0.2">
      <c r="A69" s="906" t="s">
        <v>149</v>
      </c>
      <c r="B69" s="907" t="s">
        <v>60</v>
      </c>
      <c r="C69" s="1434">
        <f t="shared" ref="C69:H69" si="15">((C44+C53+C31+C32*C66)*C71)+(C60+C64)</f>
        <v>5</v>
      </c>
      <c r="D69" s="1434">
        <f t="shared" si="15"/>
        <v>7.0678688018648019</v>
      </c>
      <c r="E69" s="1434">
        <f t="shared" si="15"/>
        <v>13.328916007511008</v>
      </c>
      <c r="F69" s="1434">
        <f t="shared" si="15"/>
        <v>12.237540806526807</v>
      </c>
      <c r="G69" s="1434">
        <f t="shared" si="15"/>
        <v>14.362850408443411</v>
      </c>
      <c r="H69" s="1434">
        <f t="shared" si="15"/>
        <v>11.203606405594407</v>
      </c>
      <c r="I69" s="435"/>
    </row>
    <row r="70" spans="1:12" x14ac:dyDescent="0.2">
      <c r="A70" s="906" t="s">
        <v>150</v>
      </c>
      <c r="B70" s="907" t="s">
        <v>39</v>
      </c>
      <c r="C70" s="915">
        <v>51</v>
      </c>
      <c r="D70" s="915">
        <v>51</v>
      </c>
      <c r="E70" s="915">
        <v>51</v>
      </c>
      <c r="F70" s="915">
        <v>51</v>
      </c>
      <c r="G70" s="915">
        <v>51</v>
      </c>
      <c r="H70" s="915">
        <v>51</v>
      </c>
    </row>
    <row r="71" spans="1:12" x14ac:dyDescent="0.2">
      <c r="A71" s="938" t="s">
        <v>516</v>
      </c>
      <c r="B71" s="907" t="s">
        <v>56</v>
      </c>
      <c r="C71" s="1435">
        <f>DispatchSchedule!F47</f>
        <v>0</v>
      </c>
      <c r="D71" s="1435">
        <f>DispatchSchedule!G47</f>
        <v>0</v>
      </c>
      <c r="E71" s="1435">
        <f>DispatchSchedule!H47</f>
        <v>0</v>
      </c>
      <c r="F71" s="1435">
        <f>DispatchSchedule!I47</f>
        <v>0</v>
      </c>
      <c r="G71" s="1435">
        <f>DispatchSchedule!J47</f>
        <v>0</v>
      </c>
      <c r="H71" s="1435">
        <f>DispatchSchedule!K47</f>
        <v>0</v>
      </c>
      <c r="I71" s="1050"/>
    </row>
    <row r="72" spans="1:12" ht="13.8" thickBot="1" x14ac:dyDescent="0.3">
      <c r="A72" s="940" t="s">
        <v>135</v>
      </c>
      <c r="B72" s="941" t="s">
        <v>88</v>
      </c>
      <c r="C72" s="1436">
        <f>IF(C71=0,0,C69/C71)</f>
        <v>0</v>
      </c>
      <c r="D72" s="1436">
        <f t="shared" ref="D72:H72" si="16">IF(D71=0,0,D69/D71)</f>
        <v>0</v>
      </c>
      <c r="E72" s="1436">
        <f t="shared" si="16"/>
        <v>0</v>
      </c>
      <c r="F72" s="1436">
        <f t="shared" si="16"/>
        <v>0</v>
      </c>
      <c r="G72" s="1436">
        <f t="shared" si="16"/>
        <v>0</v>
      </c>
      <c r="H72" s="1437">
        <f t="shared" si="16"/>
        <v>0</v>
      </c>
    </row>
    <row r="73" spans="1:12" x14ac:dyDescent="0.2">
      <c r="A73" s="484" t="s">
        <v>806</v>
      </c>
      <c r="B73" s="1749" t="s">
        <v>88</v>
      </c>
      <c r="C73" s="1753" t="e">
        <f>C68/C71</f>
        <v>#DIV/0!</v>
      </c>
      <c r="D73" s="1753" t="e">
        <f t="shared" ref="D73:H73" si="17">D68/D71</f>
        <v>#DIV/0!</v>
      </c>
      <c r="E73" s="1753" t="e">
        <f t="shared" si="17"/>
        <v>#DIV/0!</v>
      </c>
      <c r="F73" s="1753" t="e">
        <f t="shared" si="17"/>
        <v>#DIV/0!</v>
      </c>
      <c r="G73" s="1753" t="e">
        <f t="shared" si="17"/>
        <v>#DIV/0!</v>
      </c>
      <c r="H73" s="1753" t="e">
        <f t="shared" si="17"/>
        <v>#DIV/0!</v>
      </c>
    </row>
    <row r="74" spans="1:12" x14ac:dyDescent="0.2">
      <c r="A74" s="484" t="s">
        <v>806</v>
      </c>
      <c r="B74" s="1754" t="s">
        <v>1055</v>
      </c>
      <c r="C74" s="1753">
        <f>C68*1000/C70</f>
        <v>2358.4733974120854</v>
      </c>
      <c r="D74" s="1753">
        <f t="shared" ref="D74:H74" si="18">D68*1000/D70</f>
        <v>2358.4733974120854</v>
      </c>
      <c r="E74" s="1753">
        <f t="shared" si="18"/>
        <v>2358.4733974120854</v>
      </c>
      <c r="F74" s="1753">
        <f t="shared" si="18"/>
        <v>2358.4733974120854</v>
      </c>
      <c r="G74" s="1753">
        <f t="shared" si="18"/>
        <v>2358.4733974120854</v>
      </c>
      <c r="H74" s="1753">
        <f t="shared" si="18"/>
        <v>2358.4733974120854</v>
      </c>
    </row>
    <row r="75" spans="1:12" x14ac:dyDescent="0.2">
      <c r="A75" s="453"/>
      <c r="B75" s="453"/>
      <c r="C75" s="453"/>
      <c r="D75" s="453"/>
      <c r="E75" s="453"/>
      <c r="F75" s="453"/>
      <c r="G75" s="453"/>
      <c r="H75" s="453"/>
      <c r="I75" s="438"/>
      <c r="J75" s="438"/>
      <c r="K75" s="438"/>
      <c r="L75" s="438"/>
    </row>
    <row r="76" spans="1:12" x14ac:dyDescent="0.2">
      <c r="A76" s="453" t="s">
        <v>467</v>
      </c>
      <c r="B76" s="453"/>
      <c r="C76" s="453"/>
      <c r="D76" s="453"/>
      <c r="E76" s="453"/>
      <c r="F76" s="453"/>
      <c r="G76" s="453"/>
      <c r="H76" s="453"/>
      <c r="I76" s="438"/>
      <c r="J76" s="438"/>
      <c r="K76" s="438"/>
      <c r="L76" s="438"/>
    </row>
    <row r="77" spans="1:12" x14ac:dyDescent="0.2">
      <c r="A77" s="439" t="e">
        <f>#REF!</f>
        <v>#REF!</v>
      </c>
      <c r="B77" s="453"/>
      <c r="C77" s="453"/>
      <c r="D77" s="453"/>
      <c r="E77" s="453"/>
      <c r="F77" s="453"/>
      <c r="G77" s="453"/>
      <c r="H77" s="453"/>
      <c r="I77" s="438"/>
      <c r="J77" s="438"/>
      <c r="K77" s="438"/>
      <c r="L77" s="438"/>
    </row>
    <row r="78" spans="1:12" x14ac:dyDescent="0.2">
      <c r="A78" s="439" t="e">
        <f>#REF!</f>
        <v>#REF!</v>
      </c>
      <c r="B78" s="453"/>
      <c r="C78" s="453"/>
      <c r="D78" s="453"/>
      <c r="E78" s="453"/>
      <c r="F78" s="453"/>
      <c r="G78" s="453"/>
      <c r="H78" s="453"/>
      <c r="I78" s="438"/>
      <c r="J78" s="438"/>
      <c r="K78" s="438"/>
      <c r="L78" s="438"/>
    </row>
    <row r="79" spans="1:12" x14ac:dyDescent="0.2">
      <c r="A79" s="439" t="str">
        <f>[13]DEMB!A75</f>
        <v>Forecast of the no. of startups are to be obtained from System Control Branch.</v>
      </c>
      <c r="B79" s="453"/>
      <c r="C79" s="453"/>
      <c r="D79" s="453"/>
      <c r="E79" s="453"/>
      <c r="F79" s="453"/>
      <c r="G79" s="453"/>
      <c r="H79" s="453"/>
      <c r="I79" s="438"/>
      <c r="J79" s="438"/>
      <c r="K79" s="438"/>
      <c r="L79" s="438"/>
    </row>
    <row r="80" spans="1:12" x14ac:dyDescent="0.2">
      <c r="A80" s="439" t="str">
        <f>[13]DEMB!A76</f>
        <v>Settlements = Estimated value of Tax Reimbursibles and Delay Interests</v>
      </c>
      <c r="B80" s="453"/>
      <c r="C80" s="453"/>
      <c r="D80" s="453"/>
      <c r="E80" s="453"/>
      <c r="F80" s="453"/>
      <c r="G80" s="453"/>
      <c r="H80" s="453"/>
      <c r="I80" s="438"/>
      <c r="J80" s="438"/>
      <c r="K80" s="438"/>
      <c r="L80" s="438"/>
    </row>
    <row r="81" spans="1:11" x14ac:dyDescent="0.2">
      <c r="A81" s="439" t="s">
        <v>1141</v>
      </c>
      <c r="B81" s="453"/>
      <c r="C81" s="453"/>
      <c r="D81" s="453"/>
      <c r="E81" s="453"/>
      <c r="F81" s="453"/>
      <c r="G81" s="453"/>
      <c r="H81" s="453"/>
      <c r="I81" s="438"/>
      <c r="J81" s="438"/>
      <c r="K81" s="438"/>
    </row>
    <row r="82" spans="1:11" x14ac:dyDescent="0.2">
      <c r="C82" s="1050"/>
      <c r="D82" s="1050"/>
      <c r="E82" s="1050"/>
      <c r="F82" s="1050"/>
      <c r="G82" s="1050"/>
      <c r="H82" s="1050"/>
    </row>
    <row r="84" spans="1:11" x14ac:dyDescent="0.2">
      <c r="A84" s="451"/>
    </row>
    <row r="86" spans="1:11" x14ac:dyDescent="0.2">
      <c r="C86" s="435"/>
      <c r="D86" s="435"/>
      <c r="E86" s="435"/>
      <c r="F86" s="435"/>
      <c r="G86" s="435"/>
      <c r="H86" s="435"/>
    </row>
    <row r="87" spans="1:11" x14ac:dyDescent="0.2">
      <c r="C87" s="435"/>
      <c r="D87" s="435"/>
      <c r="E87" s="435"/>
      <c r="F87" s="435"/>
      <c r="G87" s="435"/>
      <c r="H87" s="435"/>
    </row>
    <row r="88" spans="1:11" x14ac:dyDescent="0.2">
      <c r="C88" s="435"/>
      <c r="D88" s="435"/>
      <c r="E88" s="435"/>
      <c r="F88" s="435"/>
      <c r="G88" s="435"/>
      <c r="H88" s="435"/>
      <c r="I88" s="435"/>
    </row>
    <row r="89" spans="1:11" x14ac:dyDescent="0.2">
      <c r="C89" s="435"/>
      <c r="D89" s="435"/>
      <c r="E89" s="435"/>
      <c r="F89" s="435"/>
      <c r="G89" s="435"/>
      <c r="H89" s="435"/>
      <c r="I89" s="435"/>
    </row>
    <row r="90" spans="1:11" x14ac:dyDescent="0.2">
      <c r="C90" s="435"/>
      <c r="D90" s="435"/>
      <c r="E90" s="435"/>
      <c r="F90" s="435"/>
      <c r="G90" s="435"/>
      <c r="H90" s="435"/>
      <c r="I90" s="435"/>
    </row>
    <row r="91" spans="1:11" x14ac:dyDescent="0.2">
      <c r="C91" s="435"/>
      <c r="D91" s="435"/>
      <c r="E91" s="435"/>
      <c r="F91" s="435"/>
      <c r="G91" s="435"/>
      <c r="H91" s="435"/>
      <c r="I91" s="435"/>
    </row>
    <row r="92" spans="1:11" x14ac:dyDescent="0.2">
      <c r="C92" s="435"/>
      <c r="D92" s="435"/>
      <c r="E92" s="435"/>
      <c r="F92" s="435"/>
      <c r="G92" s="435"/>
      <c r="H92" s="435"/>
      <c r="I92" s="435"/>
    </row>
    <row r="93" spans="1:11" x14ac:dyDescent="0.2">
      <c r="C93" s="435"/>
      <c r="D93" s="435"/>
      <c r="E93" s="435"/>
      <c r="F93" s="435"/>
      <c r="G93" s="435"/>
      <c r="H93" s="435"/>
    </row>
    <row r="94" spans="1:11" x14ac:dyDescent="0.2">
      <c r="C94" s="435"/>
      <c r="D94" s="435"/>
      <c r="E94" s="435"/>
      <c r="F94" s="435"/>
      <c r="G94" s="435"/>
      <c r="H94" s="435"/>
    </row>
    <row r="95" spans="1:11" x14ac:dyDescent="0.2">
      <c r="C95" s="435"/>
      <c r="D95" s="435"/>
      <c r="E95" s="435"/>
      <c r="F95" s="435"/>
      <c r="G95" s="435"/>
      <c r="H95" s="435"/>
      <c r="I95" s="435"/>
    </row>
    <row r="96" spans="1:11" x14ac:dyDescent="0.2">
      <c r="C96" s="435"/>
      <c r="D96" s="435"/>
      <c r="E96" s="435"/>
      <c r="F96" s="435"/>
      <c r="G96" s="435"/>
      <c r="H96" s="435"/>
      <c r="I96" s="435"/>
    </row>
    <row r="97" spans="3:8" x14ac:dyDescent="0.2">
      <c r="C97" s="435"/>
      <c r="D97" s="435"/>
      <c r="E97" s="435"/>
      <c r="F97" s="435"/>
      <c r="G97" s="435"/>
      <c r="H97" s="435"/>
    </row>
    <row r="98" spans="3:8" x14ac:dyDescent="0.2">
      <c r="C98" s="435"/>
      <c r="D98" s="435"/>
      <c r="E98" s="435"/>
      <c r="F98" s="435"/>
      <c r="G98" s="435"/>
      <c r="H98" s="435"/>
    </row>
  </sheetData>
  <phoneticPr fontId="54" type="noConversion"/>
  <dataValidations disablePrompts="1" count="3">
    <dataValidation type="list" allowBlank="1" showInputMessage="1" showErrorMessage="1" sqref="B66 C48 C9 C37" xr:uid="{00000000-0002-0000-1D00-000000000000}">
      <formula1>Currency</formula1>
    </dataValidation>
    <dataValidation type="list" allowBlank="1" showInputMessage="1" showErrorMessage="1" sqref="C47 C36" xr:uid="{00000000-0002-0000-1D00-000001000000}">
      <formula1>Units</formula1>
    </dataValidation>
    <dataValidation type="list" allowBlank="1" showInputMessage="1" showErrorMessage="1" sqref="C46 C35" xr:uid="{00000000-0002-0000-1D00-000002000000}">
      <formula1>Combustible</formula1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6">
    <tabColor rgb="FF002060"/>
  </sheetPr>
  <dimension ref="A1:K62"/>
  <sheetViews>
    <sheetView showGridLines="0" topLeftCell="A22" zoomScale="85" workbookViewId="0">
      <selection activeCell="C49" sqref="C49:H53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826</v>
      </c>
      <c r="B1" s="1393" t="s">
        <v>861</v>
      </c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[13]DispatchSchedule!F3</f>
        <v>44013</v>
      </c>
      <c r="D3" s="425">
        <f>[13]DispatchSchedule!G3</f>
        <v>44044</v>
      </c>
      <c r="E3" s="425">
        <f>[13]DispatchSchedule!H3</f>
        <v>44075</v>
      </c>
      <c r="F3" s="425">
        <f>[13]DispatchSchedule!I3</f>
        <v>44105</v>
      </c>
      <c r="G3" s="425">
        <f>[13]DispatchSchedule!J3</f>
        <v>44136</v>
      </c>
      <c r="H3" s="425">
        <f>[13]DispatchSchedule!K3</f>
        <v>44166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394">
        <v>10</v>
      </c>
      <c r="D9" s="1394">
        <v>10</v>
      </c>
      <c r="E9" s="1394"/>
      <c r="F9" s="1394"/>
      <c r="G9" s="1394"/>
      <c r="H9" s="1394"/>
      <c r="J9" s="1256"/>
    </row>
    <row r="10" spans="1:10" x14ac:dyDescent="0.2">
      <c r="A10" s="916" t="s">
        <v>432</v>
      </c>
      <c r="B10" s="1395"/>
      <c r="C10" s="1396">
        <v>31</v>
      </c>
      <c r="D10" s="1396">
        <v>19</v>
      </c>
      <c r="E10" s="1396">
        <v>0</v>
      </c>
      <c r="F10" s="1396">
        <v>0</v>
      </c>
      <c r="G10" s="1396">
        <v>0</v>
      </c>
      <c r="H10" s="1379">
        <v>0</v>
      </c>
      <c r="J10" s="1256"/>
    </row>
    <row r="11" spans="1:10" x14ac:dyDescent="0.2">
      <c r="A11" s="916" t="s">
        <v>433</v>
      </c>
      <c r="B11" s="907"/>
      <c r="C11" s="1397">
        <v>607.03</v>
      </c>
      <c r="D11" s="1397">
        <v>607.03</v>
      </c>
      <c r="E11" s="1397">
        <v>607.03</v>
      </c>
      <c r="F11" s="1397">
        <v>607.03</v>
      </c>
      <c r="G11" s="1397">
        <v>607.03</v>
      </c>
      <c r="H11" s="1397">
        <v>607.03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7">
        <v>1</v>
      </c>
      <c r="E15" s="917">
        <v>0</v>
      </c>
      <c r="F15" s="917">
        <v>0</v>
      </c>
      <c r="G15" s="917">
        <v>0</v>
      </c>
      <c r="H15" s="917">
        <v>0</v>
      </c>
    </row>
    <row r="16" spans="1:10" x14ac:dyDescent="0.2">
      <c r="A16" s="927" t="s">
        <v>434</v>
      </c>
      <c r="B16" s="908"/>
      <c r="C16" s="1397">
        <v>4.5999999999999999E-3</v>
      </c>
      <c r="D16" s="1397">
        <v>4.5999999999999999E-3</v>
      </c>
      <c r="E16" s="1397">
        <v>4.5999999999999999E-3</v>
      </c>
      <c r="F16" s="1397">
        <v>4.5999999999999999E-3</v>
      </c>
      <c r="G16" s="1397">
        <v>4.5999999999999999E-3</v>
      </c>
      <c r="H16" s="1397">
        <v>4.5999999999999999E-3</v>
      </c>
    </row>
    <row r="17" spans="1:9" x14ac:dyDescent="0.2">
      <c r="A17" s="927" t="s">
        <v>435</v>
      </c>
      <c r="B17" s="909"/>
      <c r="C17" s="917">
        <f>C16*C15</f>
        <v>4.5999999999999999E-3</v>
      </c>
      <c r="D17" s="917">
        <f t="shared" ref="D17:H17" si="0">D16*D15</f>
        <v>4.5999999999999999E-3</v>
      </c>
      <c r="E17" s="917">
        <f t="shared" si="0"/>
        <v>0</v>
      </c>
      <c r="F17" s="917">
        <f t="shared" si="0"/>
        <v>0</v>
      </c>
      <c r="G17" s="917">
        <f t="shared" si="0"/>
        <v>0</v>
      </c>
      <c r="H17" s="917">
        <f t="shared" si="0"/>
        <v>0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>
        <v>1</v>
      </c>
      <c r="D20" s="917">
        <v>1</v>
      </c>
      <c r="E20" s="917">
        <v>0</v>
      </c>
      <c r="F20" s="917">
        <v>0</v>
      </c>
      <c r="G20" s="917">
        <v>0</v>
      </c>
      <c r="H20" s="917">
        <v>0</v>
      </c>
    </row>
    <row r="21" spans="1:9" x14ac:dyDescent="0.2">
      <c r="A21" s="927" t="s">
        <v>436</v>
      </c>
      <c r="B21" s="908"/>
      <c r="C21" s="1397">
        <v>0</v>
      </c>
      <c r="D21" s="1397">
        <v>0</v>
      </c>
      <c r="E21" s="1397">
        <v>0</v>
      </c>
      <c r="F21" s="1397">
        <v>0</v>
      </c>
      <c r="G21" s="1397">
        <v>0</v>
      </c>
      <c r="H21" s="1397">
        <v>0</v>
      </c>
    </row>
    <row r="22" spans="1:9" x14ac:dyDescent="0.2">
      <c r="A22" s="1259" t="s">
        <v>442</v>
      </c>
      <c r="B22" s="909"/>
      <c r="C22" s="1399">
        <f>Inputs!C21</f>
        <v>313.51760000000002</v>
      </c>
      <c r="D22" s="1399">
        <f>Inputs!D21</f>
        <v>313.51760000000002</v>
      </c>
      <c r="E22" s="1399">
        <f>Inputs!E21</f>
        <v>313.51760000000002</v>
      </c>
      <c r="F22" s="1399">
        <f>Inputs!F21</f>
        <v>313.51760000000002</v>
      </c>
      <c r="G22" s="1399">
        <f>Inputs!G21</f>
        <v>313.51760000000002</v>
      </c>
      <c r="H22" s="1399">
        <f>Inputs!H21</f>
        <v>313.51760000000002</v>
      </c>
    </row>
    <row r="23" spans="1:9" x14ac:dyDescent="0.2">
      <c r="A23" s="927" t="s">
        <v>437</v>
      </c>
      <c r="B23" s="909"/>
      <c r="C23" s="917">
        <f>C21*C22*C20</f>
        <v>0</v>
      </c>
      <c r="D23" s="917">
        <f t="shared" ref="D23:H23" si="1">D21*D22*D20</f>
        <v>0</v>
      </c>
      <c r="E23" s="917">
        <f t="shared" si="1"/>
        <v>0</v>
      </c>
      <c r="F23" s="917">
        <f t="shared" si="1"/>
        <v>0</v>
      </c>
      <c r="G23" s="917">
        <f t="shared" si="1"/>
        <v>0</v>
      </c>
      <c r="H23" s="917">
        <f t="shared" si="1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7">
        <v>1</v>
      </c>
      <c r="E26" s="917">
        <v>0</v>
      </c>
      <c r="F26" s="917">
        <v>0</v>
      </c>
      <c r="G26" s="917">
        <v>0</v>
      </c>
      <c r="H26" s="917">
        <v>0</v>
      </c>
    </row>
    <row r="27" spans="1:9" ht="13.2" x14ac:dyDescent="0.25">
      <c r="A27" s="922" t="s">
        <v>438</v>
      </c>
      <c r="B27" s="926"/>
      <c r="C27" s="1397">
        <v>0.249</v>
      </c>
      <c r="D27" s="1397">
        <v>0.249</v>
      </c>
      <c r="E27" s="1397">
        <v>0.249</v>
      </c>
      <c r="F27" s="1397">
        <v>0.249</v>
      </c>
      <c r="G27" s="1397">
        <v>0.249</v>
      </c>
      <c r="H27" s="1397">
        <v>0.249</v>
      </c>
    </row>
    <row r="28" spans="1:9" ht="13.2" x14ac:dyDescent="0.25">
      <c r="A28" s="928" t="s">
        <v>530</v>
      </c>
      <c r="B28" s="926"/>
      <c r="C28" s="1396">
        <v>106.2598</v>
      </c>
      <c r="D28" s="1396">
        <v>106.2598</v>
      </c>
      <c r="E28" s="1396">
        <v>106.2598</v>
      </c>
      <c r="F28" s="1396">
        <v>106.2598</v>
      </c>
      <c r="G28" s="1396">
        <v>106.2598</v>
      </c>
      <c r="H28" s="1396">
        <v>106.2598</v>
      </c>
    </row>
    <row r="29" spans="1:9" ht="13.2" x14ac:dyDescent="0.25">
      <c r="A29" s="922" t="s">
        <v>440</v>
      </c>
      <c r="B29" s="926"/>
      <c r="C29" s="897">
        <f>C27*C28*C26</f>
        <v>26.458690199999999</v>
      </c>
      <c r="D29" s="897">
        <f t="shared" ref="D29:H29" si="2">D27*D28*D26</f>
        <v>26.458690199999999</v>
      </c>
      <c r="E29" s="897">
        <f t="shared" si="2"/>
        <v>0</v>
      </c>
      <c r="F29" s="897">
        <f t="shared" si="2"/>
        <v>0</v>
      </c>
      <c r="G29" s="897">
        <f t="shared" si="2"/>
        <v>0</v>
      </c>
      <c r="H29" s="897">
        <f t="shared" si="2"/>
        <v>0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s="1263" customFormat="1" ht="12.75" customHeight="1" x14ac:dyDescent="0.25">
      <c r="A31" s="1261" t="s">
        <v>493</v>
      </c>
      <c r="B31" s="1262"/>
      <c r="C31" s="1398">
        <v>0.2</v>
      </c>
      <c r="D31" s="1398">
        <v>0.2</v>
      </c>
      <c r="E31" s="1398">
        <v>0</v>
      </c>
      <c r="F31" s="1398">
        <v>0</v>
      </c>
      <c r="G31" s="1398">
        <v>0</v>
      </c>
      <c r="H31" s="1398">
        <v>0</v>
      </c>
    </row>
    <row r="32" spans="1:9" ht="12.75" customHeight="1" x14ac:dyDescent="0.25">
      <c r="A32" s="902" t="s">
        <v>145</v>
      </c>
      <c r="B32" s="931" t="s">
        <v>97</v>
      </c>
      <c r="C32" s="1400">
        <f>Inputs!C21</f>
        <v>313.51760000000002</v>
      </c>
      <c r="D32" s="1400">
        <f>Inputs!D21</f>
        <v>313.51760000000002</v>
      </c>
      <c r="E32" s="1400">
        <f>Inputs!E21</f>
        <v>313.51760000000002</v>
      </c>
      <c r="F32" s="1400">
        <f>Inputs!F21</f>
        <v>313.51760000000002</v>
      </c>
      <c r="G32" s="1400">
        <f>Inputs!G21</f>
        <v>313.51760000000002</v>
      </c>
      <c r="H32" s="1400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58.997522505680003</v>
      </c>
      <c r="D34" s="1265">
        <f t="shared" ref="D34:H34" si="3">(D9*D10*D11*D32/1000000)</f>
        <v>36.159771858319999</v>
      </c>
      <c r="E34" s="1265">
        <f t="shared" si="3"/>
        <v>0</v>
      </c>
      <c r="F34" s="1265">
        <f t="shared" si="3"/>
        <v>0</v>
      </c>
      <c r="G34" s="1265">
        <f t="shared" si="3"/>
        <v>0</v>
      </c>
      <c r="H34" s="1265">
        <f t="shared" si="3"/>
        <v>0</v>
      </c>
      <c r="I34" s="450"/>
    </row>
    <row r="35" spans="1:9" x14ac:dyDescent="0.2">
      <c r="A35" s="906" t="s">
        <v>149</v>
      </c>
      <c r="B35" s="907" t="s">
        <v>60</v>
      </c>
      <c r="C35" s="1266">
        <f t="shared" ref="C35:H35" si="4">((C29+C23+C17*C32)*C37)+C31</f>
        <v>0.2</v>
      </c>
      <c r="D35" s="1266">
        <f t="shared" si="4"/>
        <v>0.2</v>
      </c>
      <c r="E35" s="1266">
        <f t="shared" si="4"/>
        <v>0</v>
      </c>
      <c r="F35" s="1266">
        <f t="shared" si="4"/>
        <v>0</v>
      </c>
      <c r="G35" s="1266">
        <f t="shared" si="4"/>
        <v>0</v>
      </c>
      <c r="H35" s="1267">
        <f t="shared" si="4"/>
        <v>0</v>
      </c>
    </row>
    <row r="36" spans="1:9" x14ac:dyDescent="0.2">
      <c r="A36" s="906" t="s">
        <v>150</v>
      </c>
      <c r="B36" s="907" t="s">
        <v>39</v>
      </c>
      <c r="C36" s="1268">
        <v>10</v>
      </c>
      <c r="D36" s="1268">
        <v>10</v>
      </c>
      <c r="E36" s="1268">
        <v>10</v>
      </c>
      <c r="F36" s="1268">
        <v>10</v>
      </c>
      <c r="G36" s="1268">
        <v>10</v>
      </c>
      <c r="H36" s="1268">
        <v>10</v>
      </c>
    </row>
    <row r="37" spans="1:9" x14ac:dyDescent="0.2">
      <c r="A37" s="938" t="s">
        <v>516</v>
      </c>
      <c r="B37" s="907" t="s">
        <v>56</v>
      </c>
      <c r="C37" s="1269">
        <f>DispatchSchedule!F56</f>
        <v>0</v>
      </c>
      <c r="D37" s="1269">
        <f>DispatchSchedule!G56</f>
        <v>0</v>
      </c>
      <c r="E37" s="1269">
        <f>DispatchSchedule!H56</f>
        <v>0</v>
      </c>
      <c r="F37" s="1269">
        <f>DispatchSchedule!I56</f>
        <v>0</v>
      </c>
      <c r="G37" s="1269">
        <f>DispatchSchedule!J56</f>
        <v>0</v>
      </c>
      <c r="H37" s="1269">
        <f>DispatchSchedule!K56</f>
        <v>0</v>
      </c>
    </row>
    <row r="38" spans="1:9" ht="13.8" thickBot="1" x14ac:dyDescent="0.3">
      <c r="A38" s="940" t="s">
        <v>135</v>
      </c>
      <c r="B38" s="941" t="s">
        <v>88</v>
      </c>
      <c r="C38" s="1248">
        <f>IF(C37=0,0,(C35/C37))</f>
        <v>0</v>
      </c>
      <c r="D38" s="1248">
        <f t="shared" ref="D38:H38" si="5">IF(D37=0,0,(D35/D37))</f>
        <v>0</v>
      </c>
      <c r="E38" s="1248">
        <f t="shared" si="5"/>
        <v>0</v>
      </c>
      <c r="F38" s="1248">
        <f t="shared" si="5"/>
        <v>0</v>
      </c>
      <c r="G38" s="1248">
        <f t="shared" si="5"/>
        <v>0</v>
      </c>
      <c r="H38" s="1249">
        <f t="shared" si="5"/>
        <v>0</v>
      </c>
    </row>
    <row r="40" spans="1:9" ht="17.399999999999999" x14ac:dyDescent="0.3">
      <c r="C40" s="942"/>
      <c r="D40" s="942"/>
      <c r="E40" s="942"/>
      <c r="F40" s="942"/>
      <c r="G40" s="1033"/>
      <c r="H40" s="942"/>
    </row>
    <row r="41" spans="1:9" x14ac:dyDescent="0.2">
      <c r="A41" s="453" t="s">
        <v>467</v>
      </c>
    </row>
    <row r="42" spans="1:9" x14ac:dyDescent="0.2">
      <c r="A42" s="454" t="s">
        <v>743</v>
      </c>
    </row>
    <row r="43" spans="1:9" x14ac:dyDescent="0.2">
      <c r="A43" s="439" t="str">
        <f>[13]DMAT!A80</f>
        <v>Settlements = Estimated value of Tax Reimbursibles and Delay Interests</v>
      </c>
    </row>
    <row r="44" spans="1:9" x14ac:dyDescent="0.2">
      <c r="A44" s="439" t="str">
        <f>[13]DMAT!A77</f>
        <v>* Energy Sent out is based on Energy Dispatch Forcast July 2020 to December 2020  issued by System Control Branch</v>
      </c>
    </row>
    <row r="45" spans="1:9" x14ac:dyDescent="0.2">
      <c r="A45" s="439" t="str">
        <f>[13]DMAT!A81</f>
        <v>Exchange Rate as at 2020-07-22 was considered.</v>
      </c>
    </row>
    <row r="49" spans="3:11" x14ac:dyDescent="0.2">
      <c r="C49" s="453">
        <v>35.385235571999999</v>
      </c>
      <c r="D49" s="453">
        <v>21.687725027999996</v>
      </c>
      <c r="E49" s="453">
        <v>0</v>
      </c>
      <c r="F49" s="453">
        <v>0</v>
      </c>
      <c r="G49" s="453">
        <v>0</v>
      </c>
      <c r="H49" s="453">
        <v>0</v>
      </c>
    </row>
    <row r="50" spans="3:11" ht="17.399999999999999" x14ac:dyDescent="0.3">
      <c r="C50" s="453">
        <v>12.703859787403999</v>
      </c>
      <c r="D50" s="453">
        <v>6.719975137604</v>
      </c>
      <c r="E50" s="453">
        <v>0</v>
      </c>
      <c r="F50" s="1033">
        <v>0</v>
      </c>
      <c r="G50" s="453">
        <v>0</v>
      </c>
      <c r="H50" s="453">
        <v>0</v>
      </c>
    </row>
    <row r="51" spans="3:11" x14ac:dyDescent="0.2">
      <c r="C51" s="453">
        <v>10</v>
      </c>
      <c r="D51" s="453">
        <v>10</v>
      </c>
      <c r="E51" s="453">
        <v>10</v>
      </c>
      <c r="F51" s="453">
        <v>10</v>
      </c>
      <c r="G51" s="453">
        <v>10</v>
      </c>
      <c r="H51" s="453">
        <v>10</v>
      </c>
    </row>
    <row r="52" spans="3:11" x14ac:dyDescent="0.2">
      <c r="C52" s="942">
        <v>0.45762000000000003</v>
      </c>
      <c r="D52" s="942">
        <v>0.23862</v>
      </c>
      <c r="E52" s="942">
        <v>0</v>
      </c>
      <c r="F52" s="942">
        <v>0</v>
      </c>
      <c r="G52" s="942">
        <v>0</v>
      </c>
      <c r="H52" s="942">
        <v>0</v>
      </c>
    </row>
    <row r="53" spans="3:11" x14ac:dyDescent="0.2">
      <c r="C53" s="942">
        <v>27.760718035496698</v>
      </c>
      <c r="D53" s="942">
        <v>28.161826911424022</v>
      </c>
      <c r="E53" s="942">
        <v>0</v>
      </c>
      <c r="F53" s="942">
        <v>0</v>
      </c>
      <c r="G53" s="942">
        <v>0</v>
      </c>
      <c r="H53" s="942">
        <v>0</v>
      </c>
    </row>
    <row r="54" spans="3:11" x14ac:dyDescent="0.2">
      <c r="C54" s="942"/>
      <c r="D54" s="942"/>
      <c r="E54" s="942"/>
      <c r="F54" s="942"/>
      <c r="G54" s="942"/>
      <c r="H54" s="942"/>
    </row>
    <row r="55" spans="3:11" x14ac:dyDescent="0.2">
      <c r="C55" s="942"/>
      <c r="D55" s="942"/>
      <c r="E55" s="942"/>
      <c r="F55" s="942"/>
      <c r="G55" s="942"/>
      <c r="H55" s="942"/>
      <c r="I55" s="942"/>
    </row>
    <row r="56" spans="3:11" x14ac:dyDescent="0.2">
      <c r="C56" s="942"/>
      <c r="D56" s="942"/>
      <c r="E56" s="942"/>
      <c r="F56" s="942"/>
      <c r="G56" s="942"/>
      <c r="H56" s="942"/>
      <c r="I56" s="942"/>
      <c r="J56" s="942"/>
    </row>
    <row r="57" spans="3:11" x14ac:dyDescent="0.2">
      <c r="C57" s="942">
        <f>C49-C34</f>
        <v>-23.612286933680004</v>
      </c>
      <c r="D57" s="942">
        <f t="shared" ref="D57:H57" si="6">D49-D34</f>
        <v>-14.472046830320004</v>
      </c>
      <c r="E57" s="942">
        <f t="shared" si="6"/>
        <v>0</v>
      </c>
      <c r="F57" s="942">
        <f t="shared" si="6"/>
        <v>0</v>
      </c>
      <c r="G57" s="942">
        <f t="shared" si="6"/>
        <v>0</v>
      </c>
      <c r="H57" s="942">
        <f t="shared" si="6"/>
        <v>0</v>
      </c>
    </row>
    <row r="58" spans="3:11" x14ac:dyDescent="0.2">
      <c r="C58" s="942">
        <f t="shared" ref="C58:H61" si="7">C50-C35</f>
        <v>12.503859787404</v>
      </c>
      <c r="D58" s="942">
        <f t="shared" si="7"/>
        <v>6.5199751376039998</v>
      </c>
      <c r="E58" s="942">
        <f t="shared" si="7"/>
        <v>0</v>
      </c>
      <c r="F58" s="942">
        <f t="shared" si="7"/>
        <v>0</v>
      </c>
      <c r="G58" s="942">
        <f t="shared" si="7"/>
        <v>0</v>
      </c>
      <c r="H58" s="942">
        <f t="shared" si="7"/>
        <v>0</v>
      </c>
      <c r="I58" s="942"/>
      <c r="J58" s="942"/>
    </row>
    <row r="59" spans="3:11" x14ac:dyDescent="0.2">
      <c r="C59" s="942">
        <f t="shared" si="7"/>
        <v>0</v>
      </c>
      <c r="D59" s="942">
        <f t="shared" si="7"/>
        <v>0</v>
      </c>
      <c r="E59" s="942">
        <f t="shared" si="7"/>
        <v>0</v>
      </c>
      <c r="F59" s="942">
        <f t="shared" si="7"/>
        <v>0</v>
      </c>
      <c r="G59" s="942">
        <f t="shared" si="7"/>
        <v>0</v>
      </c>
      <c r="H59" s="942">
        <f t="shared" si="7"/>
        <v>0</v>
      </c>
      <c r="I59" s="942"/>
      <c r="J59" s="942"/>
      <c r="K59" s="942"/>
    </row>
    <row r="60" spans="3:11" x14ac:dyDescent="0.2">
      <c r="C60" s="942">
        <f t="shared" si="7"/>
        <v>0.45762000000000003</v>
      </c>
      <c r="D60" s="942">
        <f t="shared" si="7"/>
        <v>0.23862</v>
      </c>
      <c r="E60" s="942">
        <f t="shared" si="7"/>
        <v>0</v>
      </c>
      <c r="F60" s="942">
        <f t="shared" si="7"/>
        <v>0</v>
      </c>
      <c r="G60" s="942">
        <f t="shared" si="7"/>
        <v>0</v>
      </c>
      <c r="H60" s="942">
        <f t="shared" si="7"/>
        <v>0</v>
      </c>
    </row>
    <row r="61" spans="3:11" x14ac:dyDescent="0.2">
      <c r="C61" s="942">
        <f t="shared" si="7"/>
        <v>27.760718035496698</v>
      </c>
      <c r="D61" s="942">
        <f t="shared" si="7"/>
        <v>28.161826911424022</v>
      </c>
      <c r="E61" s="942">
        <f t="shared" si="7"/>
        <v>0</v>
      </c>
      <c r="F61" s="942">
        <f t="shared" si="7"/>
        <v>0</v>
      </c>
      <c r="G61" s="942">
        <f t="shared" si="7"/>
        <v>0</v>
      </c>
      <c r="H61" s="942">
        <f t="shared" si="7"/>
        <v>0</v>
      </c>
    </row>
    <row r="62" spans="3:11" x14ac:dyDescent="0.2">
      <c r="C62" s="942"/>
      <c r="D62" s="942"/>
      <c r="E62" s="942"/>
      <c r="F62" s="942"/>
      <c r="G62" s="942"/>
      <c r="H62" s="942"/>
    </row>
  </sheetData>
  <dataValidations count="1">
    <dataValidation type="list" allowBlank="1" showInputMessage="1" showErrorMessage="1" sqref="B32 C25 C8 C19 C14" xr:uid="{00000000-0002-0000-1E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7">
    <tabColor rgb="FF002060"/>
  </sheetPr>
  <dimension ref="A1:K72"/>
  <sheetViews>
    <sheetView showGridLines="0" topLeftCell="B16" zoomScaleNormal="100" workbookViewId="0">
      <selection activeCell="F55" sqref="F55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827</v>
      </c>
      <c r="B1" s="899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[13]DispatchSchedule!F3</f>
        <v>44013</v>
      </c>
      <c r="D3" s="425">
        <f>[13]DispatchSchedule!G3</f>
        <v>44044</v>
      </c>
      <c r="E3" s="425">
        <f>[13]DispatchSchedule!H3</f>
        <v>44075</v>
      </c>
      <c r="F3" s="425">
        <f>[13]DispatchSchedule!I3</f>
        <v>44105</v>
      </c>
      <c r="G3" s="425">
        <f>[13]DispatchSchedule!J3</f>
        <v>44136</v>
      </c>
      <c r="H3" s="425">
        <f>[13]DispatchSchedule!K3</f>
        <v>44166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394">
        <v>8</v>
      </c>
      <c r="D9" s="1394">
        <v>8</v>
      </c>
      <c r="E9" s="1394">
        <v>8</v>
      </c>
      <c r="F9" s="1394">
        <v>8</v>
      </c>
      <c r="G9" s="1394">
        <v>8</v>
      </c>
      <c r="H9" s="1394">
        <v>8</v>
      </c>
      <c r="J9" s="1256"/>
    </row>
    <row r="10" spans="1:10" x14ac:dyDescent="0.2">
      <c r="A10" s="916" t="s">
        <v>432</v>
      </c>
      <c r="B10" s="907"/>
      <c r="C10" s="1396">
        <v>31</v>
      </c>
      <c r="D10" s="1396">
        <v>19</v>
      </c>
      <c r="E10" s="1396">
        <v>0</v>
      </c>
      <c r="F10" s="1396">
        <v>0</v>
      </c>
      <c r="G10" s="1396">
        <v>0</v>
      </c>
      <c r="H10" s="1379">
        <v>0</v>
      </c>
      <c r="J10" s="1256"/>
    </row>
    <row r="11" spans="1:10" x14ac:dyDescent="0.2">
      <c r="A11" s="916" t="s">
        <v>433</v>
      </c>
      <c r="B11" s="907"/>
      <c r="C11" s="1397">
        <v>618.12</v>
      </c>
      <c r="D11" s="1397">
        <v>618.12</v>
      </c>
      <c r="E11" s="1397">
        <v>618.12</v>
      </c>
      <c r="F11" s="1397">
        <v>618.12</v>
      </c>
      <c r="G11" s="1397">
        <v>618.12</v>
      </c>
      <c r="H11" s="1397">
        <v>618.12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7">
        <v>1</v>
      </c>
      <c r="E15" s="917">
        <v>0</v>
      </c>
      <c r="F15" s="917">
        <v>0</v>
      </c>
      <c r="G15" s="917">
        <v>0</v>
      </c>
      <c r="H15" s="917">
        <v>0</v>
      </c>
    </row>
    <row r="16" spans="1:10" x14ac:dyDescent="0.2">
      <c r="A16" s="927" t="s">
        <v>434</v>
      </c>
      <c r="B16" s="908"/>
      <c r="C16" s="1397">
        <v>4.4000000000000003E-3</v>
      </c>
      <c r="D16" s="1397">
        <v>4.4000000000000003E-3</v>
      </c>
      <c r="E16" s="1397">
        <v>4.4000000000000003E-3</v>
      </c>
      <c r="F16" s="1397">
        <v>4.4000000000000003E-3</v>
      </c>
      <c r="G16" s="1397">
        <v>4.4000000000000003E-3</v>
      </c>
      <c r="H16" s="1397">
        <v>4.4000000000000003E-3</v>
      </c>
    </row>
    <row r="17" spans="1:9" x14ac:dyDescent="0.2">
      <c r="A17" s="927" t="s">
        <v>435</v>
      </c>
      <c r="B17" s="909"/>
      <c r="C17" s="917">
        <f>C16*C15</f>
        <v>4.4000000000000003E-3</v>
      </c>
      <c r="D17" s="917">
        <f t="shared" ref="D17:H17" si="0">D16*D15</f>
        <v>4.4000000000000003E-3</v>
      </c>
      <c r="E17" s="917">
        <f t="shared" si="0"/>
        <v>0</v>
      </c>
      <c r="F17" s="917">
        <f t="shared" si="0"/>
        <v>0</v>
      </c>
      <c r="G17" s="917">
        <f t="shared" si="0"/>
        <v>0</v>
      </c>
      <c r="H17" s="917">
        <f t="shared" si="0"/>
        <v>0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>
        <v>1</v>
      </c>
      <c r="D20" s="917">
        <v>1</v>
      </c>
      <c r="E20" s="917">
        <v>0</v>
      </c>
      <c r="F20" s="917">
        <v>0</v>
      </c>
      <c r="G20" s="917">
        <v>0</v>
      </c>
      <c r="H20" s="917">
        <v>0</v>
      </c>
    </row>
    <row r="21" spans="1:9" x14ac:dyDescent="0.2">
      <c r="A21" s="927" t="s">
        <v>436</v>
      </c>
      <c r="B21" s="908"/>
      <c r="C21" s="1397">
        <v>0</v>
      </c>
      <c r="D21" s="1397">
        <v>0</v>
      </c>
      <c r="E21" s="1397">
        <v>0</v>
      </c>
      <c r="F21" s="1397">
        <v>0</v>
      </c>
      <c r="G21" s="1397">
        <v>0</v>
      </c>
      <c r="H21" s="1397">
        <v>0</v>
      </c>
    </row>
    <row r="22" spans="1:9" x14ac:dyDescent="0.2">
      <c r="A22" s="1259" t="s">
        <v>442</v>
      </c>
      <c r="B22" s="909"/>
      <c r="C22" s="1399">
        <f>Inputs!C21</f>
        <v>313.51760000000002</v>
      </c>
      <c r="D22" s="1399">
        <f>Inputs!D21</f>
        <v>313.51760000000002</v>
      </c>
      <c r="E22" s="1399">
        <f>Inputs!E21</f>
        <v>313.51760000000002</v>
      </c>
      <c r="F22" s="1399">
        <f>Inputs!F21</f>
        <v>313.51760000000002</v>
      </c>
      <c r="G22" s="1399">
        <f>Inputs!G21</f>
        <v>313.51760000000002</v>
      </c>
      <c r="H22" s="1399">
        <f>Inputs!H21</f>
        <v>313.51760000000002</v>
      </c>
    </row>
    <row r="23" spans="1:9" x14ac:dyDescent="0.2">
      <c r="A23" s="927" t="s">
        <v>437</v>
      </c>
      <c r="B23" s="909"/>
      <c r="C23" s="917">
        <f>C20*C21*C22</f>
        <v>0</v>
      </c>
      <c r="D23" s="917">
        <f t="shared" ref="D23:H23" si="1">D20*D21*D22</f>
        <v>0</v>
      </c>
      <c r="E23" s="917">
        <f t="shared" si="1"/>
        <v>0</v>
      </c>
      <c r="F23" s="917">
        <f t="shared" si="1"/>
        <v>0</v>
      </c>
      <c r="G23" s="917">
        <f t="shared" si="1"/>
        <v>0</v>
      </c>
      <c r="H23" s="917">
        <f t="shared" si="1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7">
        <v>1</v>
      </c>
      <c r="E26" s="917">
        <v>1</v>
      </c>
      <c r="F26" s="917">
        <v>1</v>
      </c>
      <c r="G26" s="917">
        <v>1</v>
      </c>
      <c r="H26" s="917">
        <v>1</v>
      </c>
    </row>
    <row r="27" spans="1:9" ht="13.2" x14ac:dyDescent="0.25">
      <c r="A27" s="922" t="s">
        <v>438</v>
      </c>
      <c r="B27" s="926"/>
      <c r="C27" s="1397">
        <v>0.249</v>
      </c>
      <c r="D27" s="1397">
        <v>0.249</v>
      </c>
      <c r="E27" s="1397">
        <v>0.249</v>
      </c>
      <c r="F27" s="1397">
        <v>0.249</v>
      </c>
      <c r="G27" s="1397">
        <v>0.249</v>
      </c>
      <c r="H27" s="1397">
        <v>0.249</v>
      </c>
    </row>
    <row r="28" spans="1:9" ht="13.2" x14ac:dyDescent="0.25">
      <c r="A28" s="928" t="s">
        <v>530</v>
      </c>
      <c r="B28" s="926"/>
      <c r="C28" s="1396">
        <v>106.2714</v>
      </c>
      <c r="D28" s="1396">
        <v>106.2714</v>
      </c>
      <c r="E28" s="1396">
        <v>106.2714</v>
      </c>
      <c r="F28" s="1396">
        <v>106.2714</v>
      </c>
      <c r="G28" s="1396">
        <v>106.2714</v>
      </c>
      <c r="H28" s="1396">
        <v>106.2714</v>
      </c>
    </row>
    <row r="29" spans="1:9" ht="13.2" x14ac:dyDescent="0.25">
      <c r="A29" s="922" t="s">
        <v>440</v>
      </c>
      <c r="B29" s="926"/>
      <c r="C29" s="897">
        <f>C27*C28*C26</f>
        <v>26.461578599999999</v>
      </c>
      <c r="D29" s="897">
        <f t="shared" ref="D29:H29" si="2">D27*D28*D26</f>
        <v>26.461578599999999</v>
      </c>
      <c r="E29" s="897">
        <f t="shared" si="2"/>
        <v>26.461578599999999</v>
      </c>
      <c r="F29" s="897">
        <f t="shared" si="2"/>
        <v>26.461578599999999</v>
      </c>
      <c r="G29" s="897">
        <f t="shared" si="2"/>
        <v>26.461578599999999</v>
      </c>
      <c r="H29" s="897">
        <f t="shared" si="2"/>
        <v>26.461578599999999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ht="12.75" customHeight="1" x14ac:dyDescent="0.25">
      <c r="A31" s="1270" t="s">
        <v>493</v>
      </c>
      <c r="B31" s="1271"/>
      <c r="C31" s="1396">
        <v>0.2</v>
      </c>
      <c r="D31" s="1396">
        <v>0.2</v>
      </c>
      <c r="E31" s="1396">
        <v>0</v>
      </c>
      <c r="F31" s="1396">
        <v>0</v>
      </c>
      <c r="G31" s="1396">
        <v>0</v>
      </c>
      <c r="H31" s="1396">
        <v>0</v>
      </c>
    </row>
    <row r="32" spans="1:9" ht="12.75" customHeight="1" x14ac:dyDescent="0.25">
      <c r="A32" s="902" t="s">
        <v>145</v>
      </c>
      <c r="B32" s="931" t="s">
        <v>97</v>
      </c>
      <c r="C32" s="1400">
        <f>Inputs!C21</f>
        <v>313.51760000000002</v>
      </c>
      <c r="D32" s="1400">
        <f>Inputs!D21</f>
        <v>313.51760000000002</v>
      </c>
      <c r="E32" s="1400">
        <f>Inputs!E21</f>
        <v>313.51760000000002</v>
      </c>
      <c r="F32" s="1400">
        <f>Inputs!F21</f>
        <v>313.51760000000002</v>
      </c>
      <c r="G32" s="1400">
        <f>Inputs!G21</f>
        <v>313.51760000000002</v>
      </c>
      <c r="H32" s="1400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48.060291730176004</v>
      </c>
      <c r="D34" s="1265">
        <f t="shared" ref="D34:H34" si="3">(D9*D10*D11*D32/1000000)</f>
        <v>29.456307834624003</v>
      </c>
      <c r="E34" s="1265">
        <f t="shared" si="3"/>
        <v>0</v>
      </c>
      <c r="F34" s="1265">
        <f t="shared" si="3"/>
        <v>0</v>
      </c>
      <c r="G34" s="1265">
        <f t="shared" si="3"/>
        <v>0</v>
      </c>
      <c r="H34" s="1265">
        <f t="shared" si="3"/>
        <v>0</v>
      </c>
      <c r="I34" s="450"/>
    </row>
    <row r="35" spans="1:9" x14ac:dyDescent="0.2">
      <c r="A35" s="906" t="s">
        <v>149</v>
      </c>
      <c r="B35" s="907" t="s">
        <v>60</v>
      </c>
      <c r="C35" s="1266">
        <f t="shared" ref="C35:H35" si="4">((C29+C23+C17*C32)*C37)+C31</f>
        <v>0.2</v>
      </c>
      <c r="D35" s="1266">
        <f t="shared" si="4"/>
        <v>0.2</v>
      </c>
      <c r="E35" s="1266">
        <f t="shared" si="4"/>
        <v>0</v>
      </c>
      <c r="F35" s="1266">
        <f t="shared" si="4"/>
        <v>0</v>
      </c>
      <c r="G35" s="1266">
        <f t="shared" si="4"/>
        <v>0</v>
      </c>
      <c r="H35" s="1267">
        <f t="shared" si="4"/>
        <v>0</v>
      </c>
    </row>
    <row r="36" spans="1:9" x14ac:dyDescent="0.2">
      <c r="A36" s="906" t="s">
        <v>150</v>
      </c>
      <c r="B36" s="907" t="s">
        <v>39</v>
      </c>
      <c r="C36" s="1268">
        <v>8</v>
      </c>
      <c r="D36" s="1268">
        <v>8</v>
      </c>
      <c r="E36" s="1268">
        <v>8</v>
      </c>
      <c r="F36" s="1268">
        <v>8</v>
      </c>
      <c r="G36" s="1268">
        <v>8</v>
      </c>
      <c r="H36" s="1268">
        <v>8</v>
      </c>
    </row>
    <row r="37" spans="1:9" x14ac:dyDescent="0.2">
      <c r="A37" s="938" t="s">
        <v>516</v>
      </c>
      <c r="B37" s="907" t="s">
        <v>56</v>
      </c>
      <c r="C37" s="1269">
        <f>DispatchSchedule!F57</f>
        <v>0</v>
      </c>
      <c r="D37" s="1269">
        <f>DispatchSchedule!G57</f>
        <v>0</v>
      </c>
      <c r="E37" s="1269">
        <f>DispatchSchedule!H57</f>
        <v>0</v>
      </c>
      <c r="F37" s="1269">
        <f>DispatchSchedule!I57</f>
        <v>0</v>
      </c>
      <c r="G37" s="1269">
        <f>DispatchSchedule!J57</f>
        <v>0</v>
      </c>
      <c r="H37" s="1269">
        <f>DispatchSchedule!K57</f>
        <v>0</v>
      </c>
    </row>
    <row r="38" spans="1:9" ht="13.8" thickBot="1" x14ac:dyDescent="0.3">
      <c r="A38" s="940" t="s">
        <v>135</v>
      </c>
      <c r="B38" s="941" t="s">
        <v>88</v>
      </c>
      <c r="C38" s="1248">
        <f t="shared" ref="C38:H38" si="5">IF(C37=0,0,(C35/C37))</f>
        <v>0</v>
      </c>
      <c r="D38" s="1248">
        <f t="shared" si="5"/>
        <v>0</v>
      </c>
      <c r="E38" s="1248">
        <f t="shared" si="5"/>
        <v>0</v>
      </c>
      <c r="F38" s="1248">
        <f t="shared" si="5"/>
        <v>0</v>
      </c>
      <c r="G38" s="1248">
        <f t="shared" si="5"/>
        <v>0</v>
      </c>
      <c r="H38" s="1249">
        <f t="shared" si="5"/>
        <v>0</v>
      </c>
    </row>
    <row r="40" spans="1:9" ht="17.399999999999999" x14ac:dyDescent="0.3">
      <c r="C40" s="942"/>
      <c r="D40" s="942"/>
      <c r="E40" s="942"/>
      <c r="F40" s="942"/>
      <c r="G40" s="1033"/>
      <c r="H40" s="942"/>
    </row>
    <row r="41" spans="1:9" x14ac:dyDescent="0.2">
      <c r="A41" s="453" t="s">
        <v>467</v>
      </c>
    </row>
    <row r="42" spans="1:9" x14ac:dyDescent="0.2">
      <c r="A42" s="454" t="str">
        <f>'[13]ALTQ-M'!A42</f>
        <v># APC (GPC was taken), Fuel Price and Indexes(US PI, CCPI ) are based on the Most recently available figures</v>
      </c>
    </row>
    <row r="43" spans="1:9" x14ac:dyDescent="0.2">
      <c r="A43" s="454" t="str">
        <f>'[13]ALTQ-M'!A43</f>
        <v>Settlements = Estimated value of Tax Reimbursibles and Delay Interests</v>
      </c>
    </row>
    <row r="44" spans="1:9" x14ac:dyDescent="0.2">
      <c r="A44" s="454" t="str">
        <f>'[13]ALTQ-M'!A44</f>
        <v>* Energy Sent out is based on Energy Dispatch Forcast July 2020 to December 2020  issued by System Control Branch</v>
      </c>
    </row>
    <row r="45" spans="1:9" x14ac:dyDescent="0.2">
      <c r="A45" s="454" t="str">
        <f>'[13]ALTQ-M'!A45</f>
        <v>Exchange Rate as at 2020-07-22 was considered.</v>
      </c>
    </row>
    <row r="49" spans="3:11" x14ac:dyDescent="0.2">
      <c r="C49" s="453">
        <v>28.8253586304</v>
      </c>
      <c r="D49" s="453">
        <v>17.6671552896</v>
      </c>
      <c r="E49" s="453">
        <v>0</v>
      </c>
      <c r="F49" s="453">
        <v>0</v>
      </c>
      <c r="G49" s="453">
        <v>0</v>
      </c>
      <c r="H49" s="453">
        <v>0</v>
      </c>
    </row>
    <row r="50" spans="3:11" ht="17.399999999999999" x14ac:dyDescent="0.3">
      <c r="C50" s="453">
        <v>10.689055479601999</v>
      </c>
      <c r="D50" s="453">
        <v>5.7374746674320001</v>
      </c>
      <c r="E50" s="453">
        <v>0</v>
      </c>
      <c r="F50" s="1033">
        <v>0</v>
      </c>
      <c r="G50" s="453">
        <v>0</v>
      </c>
      <c r="H50" s="453">
        <v>0</v>
      </c>
    </row>
    <row r="51" spans="3:11" x14ac:dyDescent="0.2">
      <c r="C51" s="453">
        <v>8</v>
      </c>
      <c r="D51" s="453">
        <v>8</v>
      </c>
      <c r="E51" s="453">
        <v>8</v>
      </c>
      <c r="F51" s="453">
        <v>8</v>
      </c>
      <c r="G51" s="453">
        <v>8</v>
      </c>
      <c r="H51" s="453">
        <v>8</v>
      </c>
    </row>
    <row r="52" spans="3:11" x14ac:dyDescent="0.2">
      <c r="C52" s="942">
        <v>0.38436999999999999</v>
      </c>
      <c r="D52" s="942">
        <v>0.20291999999999999</v>
      </c>
      <c r="E52" s="942">
        <v>0</v>
      </c>
      <c r="F52" s="942">
        <v>0</v>
      </c>
      <c r="G52" s="942">
        <v>0</v>
      </c>
      <c r="H52" s="942">
        <v>0</v>
      </c>
    </row>
    <row r="53" spans="3:11" x14ac:dyDescent="0.2">
      <c r="C53" s="942">
        <v>27.809286571798005</v>
      </c>
      <c r="D53" s="942">
        <v>28.274564692647349</v>
      </c>
      <c r="E53" s="942">
        <v>0</v>
      </c>
      <c r="F53" s="942">
        <v>0</v>
      </c>
      <c r="G53" s="942">
        <v>0</v>
      </c>
      <c r="H53" s="942">
        <v>0</v>
      </c>
    </row>
    <row r="54" spans="3:11" x14ac:dyDescent="0.2">
      <c r="C54" s="942"/>
      <c r="D54" s="942"/>
      <c r="E54" s="942"/>
      <c r="F54" s="942"/>
      <c r="G54" s="942"/>
      <c r="H54" s="942"/>
    </row>
    <row r="55" spans="3:11" x14ac:dyDescent="0.2">
      <c r="C55" s="942">
        <f>C49-C34</f>
        <v>-19.234933099776004</v>
      </c>
      <c r="D55" s="942">
        <f t="shared" ref="D55:H55" si="6">D49-D34</f>
        <v>-11.789152545024002</v>
      </c>
      <c r="E55" s="942">
        <f t="shared" si="6"/>
        <v>0</v>
      </c>
      <c r="F55" s="942">
        <f t="shared" si="6"/>
        <v>0</v>
      </c>
      <c r="G55" s="942">
        <f t="shared" si="6"/>
        <v>0</v>
      </c>
      <c r="H55" s="942">
        <f t="shared" si="6"/>
        <v>0</v>
      </c>
      <c r="I55" s="942"/>
    </row>
    <row r="56" spans="3:11" x14ac:dyDescent="0.2">
      <c r="C56" s="942">
        <f t="shared" ref="C56:H59" si="7">C50-C35</f>
        <v>10.489055479601999</v>
      </c>
      <c r="D56" s="942">
        <f t="shared" si="7"/>
        <v>5.5374746674319999</v>
      </c>
      <c r="E56" s="942">
        <f t="shared" si="7"/>
        <v>0</v>
      </c>
      <c r="F56" s="942">
        <f t="shared" si="7"/>
        <v>0</v>
      </c>
      <c r="G56" s="942">
        <f t="shared" si="7"/>
        <v>0</v>
      </c>
      <c r="H56" s="942">
        <f t="shared" si="7"/>
        <v>0</v>
      </c>
      <c r="I56" s="942"/>
      <c r="J56" s="942"/>
    </row>
    <row r="57" spans="3:11" x14ac:dyDescent="0.2">
      <c r="C57" s="942">
        <f t="shared" si="7"/>
        <v>0</v>
      </c>
      <c r="D57" s="942">
        <f t="shared" si="7"/>
        <v>0</v>
      </c>
      <c r="E57" s="942">
        <f t="shared" si="7"/>
        <v>0</v>
      </c>
      <c r="F57" s="942">
        <f t="shared" si="7"/>
        <v>0</v>
      </c>
      <c r="G57" s="942">
        <f t="shared" si="7"/>
        <v>0</v>
      </c>
      <c r="H57" s="942">
        <f t="shared" si="7"/>
        <v>0</v>
      </c>
      <c r="I57" s="942"/>
    </row>
    <row r="58" spans="3:11" x14ac:dyDescent="0.2">
      <c r="C58" s="942">
        <f t="shared" si="7"/>
        <v>0.38436999999999999</v>
      </c>
      <c r="D58" s="942">
        <f t="shared" si="7"/>
        <v>0.20291999999999999</v>
      </c>
      <c r="E58" s="942">
        <f t="shared" si="7"/>
        <v>0</v>
      </c>
      <c r="F58" s="942">
        <f t="shared" si="7"/>
        <v>0</v>
      </c>
      <c r="G58" s="942">
        <f t="shared" si="7"/>
        <v>0</v>
      </c>
      <c r="H58" s="942">
        <f t="shared" si="7"/>
        <v>0</v>
      </c>
      <c r="I58" s="942"/>
      <c r="J58" s="942"/>
    </row>
    <row r="59" spans="3:11" x14ac:dyDescent="0.2">
      <c r="C59" s="942">
        <f t="shared" si="7"/>
        <v>27.809286571798005</v>
      </c>
      <c r="D59" s="942">
        <f t="shared" si="7"/>
        <v>28.274564692647349</v>
      </c>
      <c r="E59" s="942">
        <f t="shared" si="7"/>
        <v>0</v>
      </c>
      <c r="F59" s="942">
        <f t="shared" si="7"/>
        <v>0</v>
      </c>
      <c r="G59" s="942">
        <f t="shared" si="7"/>
        <v>0</v>
      </c>
      <c r="H59" s="942">
        <f t="shared" si="7"/>
        <v>0</v>
      </c>
      <c r="I59" s="942"/>
      <c r="J59" s="942"/>
      <c r="K59" s="942"/>
    </row>
    <row r="60" spans="3:11" x14ac:dyDescent="0.2">
      <c r="C60" s="942"/>
      <c r="D60" s="942"/>
      <c r="E60" s="942"/>
      <c r="F60" s="942"/>
      <c r="G60" s="942"/>
      <c r="H60" s="942"/>
    </row>
    <row r="61" spans="3:11" x14ac:dyDescent="0.2">
      <c r="C61" s="942"/>
      <c r="D61" s="942"/>
      <c r="E61" s="942"/>
      <c r="F61" s="942"/>
      <c r="G61" s="942"/>
      <c r="H61" s="942"/>
    </row>
    <row r="62" spans="3:11" x14ac:dyDescent="0.2">
      <c r="C62" s="942"/>
      <c r="D62" s="942"/>
      <c r="E62" s="942"/>
      <c r="F62" s="942"/>
      <c r="G62" s="942"/>
      <c r="H62" s="942"/>
    </row>
    <row r="70" spans="3:3" x14ac:dyDescent="0.2">
      <c r="C70" s="1275"/>
    </row>
    <row r="72" spans="3:3" x14ac:dyDescent="0.2">
      <c r="C72" s="1276"/>
    </row>
  </sheetData>
  <dataValidations count="1">
    <dataValidation type="list" allowBlank="1" showInputMessage="1" showErrorMessage="1" sqref="B32 C25 C8 C19 C14" xr:uid="{00000000-0002-0000-1F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8">
    <tabColor rgb="FF002060"/>
  </sheetPr>
  <dimension ref="A1:K78"/>
  <sheetViews>
    <sheetView showGridLines="0" topLeftCell="A22" zoomScale="85" workbookViewId="0">
      <selection activeCell="C49" sqref="C49:H53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842</v>
      </c>
      <c r="B1" s="899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[13]DispatchSchedule!F3</f>
        <v>44013</v>
      </c>
      <c r="D3" s="425">
        <f>[13]DispatchSchedule!G3</f>
        <v>44044</v>
      </c>
      <c r="E3" s="425">
        <f>[13]DispatchSchedule!H3</f>
        <v>44075</v>
      </c>
      <c r="F3" s="425">
        <f>[13]DispatchSchedule!I3</f>
        <v>44105</v>
      </c>
      <c r="G3" s="425">
        <f>[13]DispatchSchedule!J3</f>
        <v>44136</v>
      </c>
      <c r="H3" s="425">
        <f>[13]DispatchSchedule!K3</f>
        <v>44166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255">
        <v>10</v>
      </c>
      <c r="D9" s="1255">
        <v>10</v>
      </c>
      <c r="E9" s="1255">
        <v>10</v>
      </c>
      <c r="F9" s="1255">
        <v>10</v>
      </c>
      <c r="G9" s="1255">
        <v>10</v>
      </c>
      <c r="H9" s="1255">
        <v>10</v>
      </c>
      <c r="J9" s="1256"/>
    </row>
    <row r="10" spans="1:10" x14ac:dyDescent="0.2">
      <c r="A10" s="916" t="s">
        <v>432</v>
      </c>
      <c r="B10" s="907"/>
      <c r="C10" s="1257">
        <v>31</v>
      </c>
      <c r="D10" s="1257">
        <v>31</v>
      </c>
      <c r="E10" s="1257">
        <v>30</v>
      </c>
      <c r="F10" s="1257">
        <v>31</v>
      </c>
      <c r="G10" s="1257">
        <v>30</v>
      </c>
      <c r="H10" s="1258">
        <v>31</v>
      </c>
      <c r="J10" s="1256"/>
    </row>
    <row r="11" spans="1:10" x14ac:dyDescent="0.2">
      <c r="A11" s="916" t="s">
        <v>433</v>
      </c>
      <c r="B11" s="907"/>
      <c r="C11" s="1257">
        <v>655.20000000000005</v>
      </c>
      <c r="D11" s="1257">
        <f>C11</f>
        <v>655.20000000000005</v>
      </c>
      <c r="E11" s="1257">
        <f t="shared" ref="E11:H11" si="0">D11</f>
        <v>655.20000000000005</v>
      </c>
      <c r="F11" s="1257">
        <f t="shared" si="0"/>
        <v>655.20000000000005</v>
      </c>
      <c r="G11" s="1257">
        <f t="shared" si="0"/>
        <v>655.20000000000005</v>
      </c>
      <c r="H11" s="1257">
        <f t="shared" si="0"/>
        <v>655.20000000000005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10" x14ac:dyDescent="0.2">
      <c r="A16" s="927" t="s">
        <v>434</v>
      </c>
      <c r="B16" s="908"/>
      <c r="C16" s="1257">
        <v>5.0000000000000001E-4</v>
      </c>
      <c r="D16" s="918"/>
      <c r="E16" s="918"/>
      <c r="F16" s="918"/>
      <c r="G16" s="918"/>
      <c r="H16" s="919"/>
    </row>
    <row r="17" spans="1:9" x14ac:dyDescent="0.2">
      <c r="A17" s="927" t="s">
        <v>435</v>
      </c>
      <c r="B17" s="909"/>
      <c r="C17" s="917">
        <f>$C$16</f>
        <v>5.0000000000000001E-4</v>
      </c>
      <c r="D17" s="917">
        <f t="shared" ref="D17:H17" si="1">$C$16</f>
        <v>5.0000000000000001E-4</v>
      </c>
      <c r="E17" s="917">
        <f t="shared" si="1"/>
        <v>5.0000000000000001E-4</v>
      </c>
      <c r="F17" s="917">
        <f t="shared" si="1"/>
        <v>5.0000000000000001E-4</v>
      </c>
      <c r="G17" s="917">
        <f t="shared" si="1"/>
        <v>5.0000000000000001E-4</v>
      </c>
      <c r="H17" s="917">
        <f t="shared" si="1"/>
        <v>5.0000000000000001E-4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/>
      <c r="D20" s="918"/>
      <c r="E20" s="918"/>
      <c r="F20" s="918"/>
      <c r="G20" s="918"/>
      <c r="H20" s="919"/>
    </row>
    <row r="21" spans="1:9" x14ac:dyDescent="0.2">
      <c r="A21" s="927" t="s">
        <v>436</v>
      </c>
      <c r="B21" s="908"/>
      <c r="C21" s="1257">
        <v>0</v>
      </c>
      <c r="D21" s="918"/>
      <c r="E21" s="918"/>
      <c r="F21" s="918"/>
      <c r="G21" s="918"/>
      <c r="H21" s="919"/>
    </row>
    <row r="22" spans="1:9" x14ac:dyDescent="0.2">
      <c r="A22" s="1259" t="s">
        <v>442</v>
      </c>
      <c r="B22" s="909"/>
      <c r="C22" s="1260"/>
      <c r="D22" s="918"/>
      <c r="E22" s="918"/>
      <c r="F22" s="918"/>
      <c r="G22" s="918"/>
      <c r="H22" s="919"/>
    </row>
    <row r="23" spans="1:9" x14ac:dyDescent="0.2">
      <c r="A23" s="927" t="s">
        <v>437</v>
      </c>
      <c r="B23" s="909"/>
      <c r="C23" s="917">
        <f>C21</f>
        <v>0</v>
      </c>
      <c r="D23" s="917">
        <f t="shared" ref="D23:H23" si="2">D21</f>
        <v>0</v>
      </c>
      <c r="E23" s="917">
        <f t="shared" si="2"/>
        <v>0</v>
      </c>
      <c r="F23" s="917">
        <f t="shared" si="2"/>
        <v>0</v>
      </c>
      <c r="G23" s="917">
        <f t="shared" si="2"/>
        <v>0</v>
      </c>
      <c r="H23" s="917">
        <f t="shared" si="2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8"/>
      <c r="E26" s="918"/>
      <c r="F26" s="918"/>
      <c r="G26" s="918"/>
      <c r="H26" s="919"/>
    </row>
    <row r="27" spans="1:9" ht="13.2" x14ac:dyDescent="0.25">
      <c r="A27" s="922" t="s">
        <v>438</v>
      </c>
      <c r="B27" s="926"/>
      <c r="C27" s="1257">
        <v>0.249</v>
      </c>
      <c r="D27" s="918"/>
      <c r="E27" s="918"/>
      <c r="F27" s="918"/>
      <c r="G27" s="918"/>
      <c r="H27" s="919"/>
    </row>
    <row r="28" spans="1:9" ht="14.4" x14ac:dyDescent="0.3">
      <c r="A28" s="928" t="s">
        <v>530</v>
      </c>
      <c r="B28" s="926"/>
      <c r="C28" s="1277">
        <v>105.3345752</v>
      </c>
      <c r="D28" s="1277">
        <v>105.3345752</v>
      </c>
      <c r="E28" s="1277">
        <v>105.3345752</v>
      </c>
      <c r="F28" s="1277">
        <v>105.3345752</v>
      </c>
      <c r="G28" s="1277">
        <v>105.3345752</v>
      </c>
      <c r="H28" s="1277">
        <v>105.3345752</v>
      </c>
    </row>
    <row r="29" spans="1:9" ht="13.2" x14ac:dyDescent="0.25">
      <c r="A29" s="922" t="s">
        <v>440</v>
      </c>
      <c r="B29" s="926"/>
      <c r="C29" s="917">
        <f t="shared" ref="C29:H29" si="3">$C$27*C28*$C$26</f>
        <v>26.2283092248</v>
      </c>
      <c r="D29" s="917">
        <f t="shared" si="3"/>
        <v>26.2283092248</v>
      </c>
      <c r="E29" s="917">
        <f>$C$27*E28*$C$26</f>
        <v>26.2283092248</v>
      </c>
      <c r="F29" s="917">
        <f t="shared" si="3"/>
        <v>26.2283092248</v>
      </c>
      <c r="G29" s="917">
        <f t="shared" si="3"/>
        <v>26.2283092248</v>
      </c>
      <c r="H29" s="930">
        <f t="shared" si="3"/>
        <v>26.2283092248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ht="12.75" customHeight="1" x14ac:dyDescent="0.25">
      <c r="A31" s="1270" t="s">
        <v>493</v>
      </c>
      <c r="B31" s="1271"/>
      <c r="C31" s="1272">
        <v>0.2</v>
      </c>
      <c r="D31" s="1272">
        <v>0.2</v>
      </c>
      <c r="E31" s="1272">
        <v>0.2</v>
      </c>
      <c r="F31" s="1272">
        <v>0.2</v>
      </c>
      <c r="G31" s="1272">
        <v>0</v>
      </c>
      <c r="H31" s="1272">
        <v>0</v>
      </c>
    </row>
    <row r="32" spans="1:9" ht="12.75" customHeight="1" x14ac:dyDescent="0.25">
      <c r="A32" s="902" t="s">
        <v>145</v>
      </c>
      <c r="B32" s="931" t="s">
        <v>97</v>
      </c>
      <c r="C32" s="1264">
        <f>Inputs!C21</f>
        <v>313.51760000000002</v>
      </c>
      <c r="D32" s="1264">
        <f>Inputs!D21</f>
        <v>313.51760000000002</v>
      </c>
      <c r="E32" s="1264">
        <f>Inputs!E21</f>
        <v>313.51760000000002</v>
      </c>
      <c r="F32" s="1264">
        <f>Inputs!F21</f>
        <v>313.51760000000002</v>
      </c>
      <c r="G32" s="1264">
        <f>Inputs!G21</f>
        <v>313.51760000000002</v>
      </c>
      <c r="H32" s="1264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63.679186771200001</v>
      </c>
      <c r="D34" s="1265">
        <f t="shared" ref="D34:H34" si="4">(D9*D10*D11*D32/1000000)</f>
        <v>63.679186771200001</v>
      </c>
      <c r="E34" s="1265">
        <f t="shared" si="4"/>
        <v>61.625019455999997</v>
      </c>
      <c r="F34" s="1265">
        <f t="shared" si="4"/>
        <v>63.679186771200001</v>
      </c>
      <c r="G34" s="1265">
        <f t="shared" si="4"/>
        <v>61.625019455999997</v>
      </c>
      <c r="H34" s="1265">
        <f t="shared" si="4"/>
        <v>63.679186771200001</v>
      </c>
      <c r="I34" s="450"/>
    </row>
    <row r="35" spans="1:9" x14ac:dyDescent="0.2">
      <c r="A35" s="906" t="s">
        <v>149</v>
      </c>
      <c r="B35" s="907" t="s">
        <v>60</v>
      </c>
      <c r="C35" s="1266">
        <f>((C29+C23+C17*C32)*C37)+C31</f>
        <v>0.2</v>
      </c>
      <c r="D35" s="1266">
        <f t="shared" ref="D35:H35" si="5">((D29+D23+D17*D32)*D37)+D31</f>
        <v>0.2</v>
      </c>
      <c r="E35" s="1266">
        <f t="shared" si="5"/>
        <v>0.2</v>
      </c>
      <c r="F35" s="1266">
        <f t="shared" si="5"/>
        <v>0.2</v>
      </c>
      <c r="G35" s="1266">
        <f>((G29+G23+G17*G32)*G37)+G31</f>
        <v>0</v>
      </c>
      <c r="H35" s="1267">
        <f t="shared" si="5"/>
        <v>0</v>
      </c>
    </row>
    <row r="36" spans="1:9" x14ac:dyDescent="0.2">
      <c r="A36" s="906" t="s">
        <v>150</v>
      </c>
      <c r="B36" s="907" t="s">
        <v>39</v>
      </c>
      <c r="C36" s="1268">
        <f>C9</f>
        <v>10</v>
      </c>
      <c r="D36" s="1268">
        <f t="shared" ref="D36:H36" si="6">D9</f>
        <v>10</v>
      </c>
      <c r="E36" s="1268">
        <f t="shared" si="6"/>
        <v>10</v>
      </c>
      <c r="F36" s="1268">
        <f t="shared" si="6"/>
        <v>10</v>
      </c>
      <c r="G36" s="1268">
        <f t="shared" si="6"/>
        <v>10</v>
      </c>
      <c r="H36" s="1268">
        <f t="shared" si="6"/>
        <v>10</v>
      </c>
    </row>
    <row r="37" spans="1:9" x14ac:dyDescent="0.2">
      <c r="A37" s="938" t="s">
        <v>516</v>
      </c>
      <c r="B37" s="907" t="s">
        <v>56</v>
      </c>
      <c r="C37" s="1269">
        <f>DispatchSchedule!F54</f>
        <v>0</v>
      </c>
      <c r="D37" s="1269">
        <f>DispatchSchedule!G54</f>
        <v>0</v>
      </c>
      <c r="E37" s="1269">
        <f>DispatchSchedule!H54</f>
        <v>0</v>
      </c>
      <c r="F37" s="1269">
        <f>DispatchSchedule!I54</f>
        <v>0</v>
      </c>
      <c r="G37" s="1269">
        <f>DispatchSchedule!J54</f>
        <v>0</v>
      </c>
      <c r="H37" s="1269">
        <f>DispatchSchedule!K54</f>
        <v>0</v>
      </c>
    </row>
    <row r="38" spans="1:9" ht="13.8" thickBot="1" x14ac:dyDescent="0.3">
      <c r="A38" s="940" t="s">
        <v>135</v>
      </c>
      <c r="B38" s="941" t="s">
        <v>88</v>
      </c>
      <c r="C38" s="1248">
        <f t="shared" ref="C38:H38" si="7">IF(C37=0,0,(C35/C37))</f>
        <v>0</v>
      </c>
      <c r="D38" s="1248">
        <f t="shared" si="7"/>
        <v>0</v>
      </c>
      <c r="E38" s="1248">
        <f t="shared" si="7"/>
        <v>0</v>
      </c>
      <c r="F38" s="1248">
        <f t="shared" si="7"/>
        <v>0</v>
      </c>
      <c r="G38" s="1248">
        <f t="shared" si="7"/>
        <v>0</v>
      </c>
      <c r="H38" s="1249">
        <f t="shared" si="7"/>
        <v>0</v>
      </c>
    </row>
    <row r="40" spans="1:9" ht="17.399999999999999" x14ac:dyDescent="0.3">
      <c r="C40" s="942"/>
      <c r="D40" s="942"/>
      <c r="E40" s="942"/>
      <c r="F40" s="942"/>
      <c r="G40" s="1033"/>
      <c r="H40" s="942"/>
    </row>
    <row r="41" spans="1:9" hidden="1" x14ac:dyDescent="0.2"/>
    <row r="42" spans="1:9" hidden="1" x14ac:dyDescent="0.2">
      <c r="A42" s="454"/>
    </row>
    <row r="43" spans="1:9" hidden="1" x14ac:dyDescent="0.2">
      <c r="A43" s="454"/>
    </row>
    <row r="44" spans="1:9" hidden="1" x14ac:dyDescent="0.2">
      <c r="A44" s="439"/>
    </row>
    <row r="45" spans="1:9" hidden="1" x14ac:dyDescent="0.2">
      <c r="A45" s="415"/>
    </row>
    <row r="46" spans="1:9" hidden="1" x14ac:dyDescent="0.2">
      <c r="C46" s="1278">
        <f t="shared" ref="C46:G46" si="8">C34*1000000</f>
        <v>63679186.771200001</v>
      </c>
      <c r="D46" s="1278">
        <f t="shared" si="8"/>
        <v>63679186.771200001</v>
      </c>
      <c r="E46" s="1278">
        <f t="shared" si="8"/>
        <v>61625019.456</v>
      </c>
      <c r="F46" s="1278">
        <f t="shared" si="8"/>
        <v>63679186.771200001</v>
      </c>
      <c r="G46" s="1278">
        <f t="shared" si="8"/>
        <v>61625019.456</v>
      </c>
      <c r="H46" s="942"/>
    </row>
    <row r="47" spans="1:9" hidden="1" x14ac:dyDescent="0.2">
      <c r="C47" s="1278"/>
      <c r="D47" s="1278"/>
      <c r="E47" s="1278"/>
      <c r="F47" s="1278"/>
      <c r="G47" s="1278"/>
      <c r="H47" s="942"/>
    </row>
    <row r="48" spans="1:9" hidden="1" x14ac:dyDescent="0.2">
      <c r="C48" s="1278"/>
      <c r="D48" s="1278"/>
      <c r="E48" s="1279"/>
      <c r="F48" s="1279"/>
      <c r="G48" s="1279"/>
      <c r="H48" s="1276"/>
    </row>
    <row r="49" spans="1:11" hidden="1" x14ac:dyDescent="0.2">
      <c r="C49" s="1278"/>
      <c r="D49" s="1278"/>
      <c r="E49" s="904"/>
      <c r="F49" s="904"/>
      <c r="G49" s="904"/>
    </row>
    <row r="50" spans="1:11" hidden="1" x14ac:dyDescent="0.2">
      <c r="C50" s="1278">
        <f t="shared" ref="C50:G50" si="9">C35*1000000</f>
        <v>200000</v>
      </c>
      <c r="D50" s="1278">
        <f t="shared" si="9"/>
        <v>200000</v>
      </c>
      <c r="E50" s="1278">
        <f t="shared" si="9"/>
        <v>200000</v>
      </c>
      <c r="F50" s="1278">
        <f t="shared" si="9"/>
        <v>200000</v>
      </c>
      <c r="G50" s="1278">
        <f t="shared" si="9"/>
        <v>0</v>
      </c>
      <c r="H50" s="942"/>
    </row>
    <row r="51" spans="1:11" hidden="1" x14ac:dyDescent="0.2">
      <c r="C51" s="1278"/>
      <c r="D51" s="1278"/>
      <c r="E51" s="1279"/>
      <c r="F51" s="1279"/>
      <c r="G51" s="1279"/>
      <c r="H51" s="1276"/>
    </row>
    <row r="52" spans="1:11" hidden="1" x14ac:dyDescent="0.2">
      <c r="C52" s="942"/>
      <c r="D52" s="942"/>
      <c r="E52" s="942"/>
      <c r="F52" s="942"/>
      <c r="G52" s="942"/>
      <c r="H52" s="942"/>
    </row>
    <row r="53" spans="1:11" x14ac:dyDescent="0.2">
      <c r="A53" s="453" t="str">
        <f>'[13]ALTQ-M'!A41</f>
        <v>Note</v>
      </c>
      <c r="C53" s="942"/>
      <c r="D53" s="942"/>
      <c r="E53" s="942"/>
      <c r="F53" s="942"/>
      <c r="G53" s="942"/>
      <c r="H53" s="942"/>
    </row>
    <row r="54" spans="1:11" x14ac:dyDescent="0.2">
      <c r="A54" s="453" t="str">
        <f>'[13]ALTQ-M'!A42</f>
        <v># APC (GPC was taken), Fuel Price and Indexes(US PI, CCPI ) are based on the Most recently available figures</v>
      </c>
      <c r="C54" s="942"/>
      <c r="D54" s="942"/>
      <c r="E54" s="942"/>
      <c r="F54" s="942"/>
      <c r="G54" s="942"/>
      <c r="H54" s="942"/>
    </row>
    <row r="55" spans="1:11" x14ac:dyDescent="0.2">
      <c r="A55" s="453" t="str">
        <f>'[13]ALTQ-M'!A43</f>
        <v>Settlements = Estimated value of Tax Reimbursibles and Delay Interests</v>
      </c>
      <c r="C55" s="1280"/>
      <c r="D55" s="1280"/>
      <c r="E55" s="1280"/>
      <c r="F55" s="1280"/>
      <c r="G55" s="1280"/>
      <c r="H55" s="1280"/>
      <c r="I55" s="942"/>
    </row>
    <row r="56" spans="1:11" x14ac:dyDescent="0.2">
      <c r="A56" s="453" t="str">
        <f>'[13]ALTQ-M'!A44</f>
        <v>* Energy Sent out is based on Energy Dispatch Forcast July 2020 to December 2020  issued by System Control Branch</v>
      </c>
      <c r="C56" s="942"/>
      <c r="D56" s="942"/>
      <c r="E56" s="942"/>
      <c r="F56" s="942"/>
      <c r="G56" s="942"/>
      <c r="H56" s="942"/>
      <c r="I56" s="942"/>
      <c r="J56" s="942"/>
    </row>
    <row r="57" spans="1:11" x14ac:dyDescent="0.2">
      <c r="A57" s="453" t="str">
        <f>'[13]ALTQ-M'!A45</f>
        <v>Exchange Rate as at 2020-07-22 was considered.</v>
      </c>
      <c r="C57" s="942"/>
      <c r="D57" s="942"/>
      <c r="E57" s="942"/>
      <c r="F57" s="942"/>
      <c r="G57" s="942"/>
      <c r="H57" s="942"/>
    </row>
    <row r="58" spans="1:11" x14ac:dyDescent="0.2">
      <c r="A58" s="453">
        <f>'[13]ALTQ-M'!A46</f>
        <v>0</v>
      </c>
      <c r="C58" s="942"/>
      <c r="D58" s="942"/>
      <c r="E58" s="942"/>
      <c r="F58" s="942"/>
      <c r="G58" s="942"/>
      <c r="H58" s="942"/>
      <c r="I58" s="942"/>
      <c r="J58" s="942"/>
    </row>
    <row r="59" spans="1:11" x14ac:dyDescent="0.2">
      <c r="C59" s="942"/>
      <c r="D59" s="942"/>
      <c r="E59" s="942"/>
      <c r="F59" s="942"/>
      <c r="G59" s="942"/>
      <c r="H59" s="942"/>
      <c r="I59" s="942"/>
      <c r="J59" s="942"/>
      <c r="K59" s="942"/>
    </row>
    <row r="60" spans="1:11" x14ac:dyDescent="0.2">
      <c r="C60" s="942"/>
      <c r="D60" s="942"/>
      <c r="E60" s="942"/>
      <c r="F60" s="942"/>
      <c r="G60" s="942"/>
      <c r="H60" s="942"/>
    </row>
    <row r="61" spans="1:11" x14ac:dyDescent="0.2">
      <c r="C61" s="942"/>
      <c r="D61" s="942"/>
      <c r="E61" s="942"/>
      <c r="F61" s="942"/>
      <c r="G61" s="942"/>
      <c r="H61" s="942"/>
    </row>
    <row r="62" spans="1:11" x14ac:dyDescent="0.2">
      <c r="C62" s="942">
        <v>38.193180479999995</v>
      </c>
      <c r="D62" s="942">
        <v>38.193180479999995</v>
      </c>
      <c r="E62" s="942">
        <v>36.9611424</v>
      </c>
      <c r="F62" s="942">
        <v>38.193180479999995</v>
      </c>
      <c r="G62" s="942">
        <v>36.9611424</v>
      </c>
      <c r="H62" s="942">
        <v>38.193180479999995</v>
      </c>
    </row>
    <row r="63" spans="1:11" x14ac:dyDescent="0.2">
      <c r="C63" s="942">
        <v>13.697300756600693</v>
      </c>
      <c r="D63" s="942">
        <v>11.644422300358544</v>
      </c>
      <c r="E63" s="453">
        <v>27.567325695024561</v>
      </c>
      <c r="F63" s="453">
        <v>14.456173508151679</v>
      </c>
      <c r="G63" s="453">
        <v>27.277829775660241</v>
      </c>
      <c r="H63" s="453">
        <v>44.516323184981765</v>
      </c>
    </row>
    <row r="64" spans="1:11" x14ac:dyDescent="0.2">
      <c r="C64" s="942">
        <v>10</v>
      </c>
      <c r="D64" s="942">
        <v>10</v>
      </c>
      <c r="E64" s="453">
        <v>10</v>
      </c>
      <c r="F64" s="453">
        <v>10</v>
      </c>
      <c r="G64" s="453">
        <v>10</v>
      </c>
      <c r="H64" s="453">
        <v>10</v>
      </c>
    </row>
    <row r="65" spans="3:8" x14ac:dyDescent="0.2">
      <c r="C65" s="942">
        <v>0.51276999999999995</v>
      </c>
      <c r="D65" s="942">
        <v>0.43478</v>
      </c>
      <c r="E65" s="942">
        <v>1.0397000000000001</v>
      </c>
      <c r="F65" s="942">
        <v>0.54159999999999997</v>
      </c>
      <c r="G65" s="942">
        <v>1.0363</v>
      </c>
      <c r="H65" s="942">
        <v>1.6912</v>
      </c>
    </row>
    <row r="66" spans="3:8" x14ac:dyDescent="0.2">
      <c r="C66" s="942">
        <v>26.712367643584248</v>
      </c>
      <c r="D66" s="942">
        <v>26.782331984816558</v>
      </c>
      <c r="E66" s="942">
        <v>26.514692406487026</v>
      </c>
      <c r="F66" s="942">
        <v>26.691605443411522</v>
      </c>
      <c r="G66" s="942">
        <v>26.322329224800001</v>
      </c>
      <c r="H66" s="1283">
        <v>26.322329224800001</v>
      </c>
    </row>
    <row r="67" spans="3:8" x14ac:dyDescent="0.2">
      <c r="C67" s="942"/>
      <c r="D67" s="942"/>
      <c r="E67" s="942"/>
      <c r="F67" s="942"/>
      <c r="G67" s="942"/>
      <c r="H67" s="942"/>
    </row>
    <row r="68" spans="3:8" x14ac:dyDescent="0.2">
      <c r="C68" s="942"/>
      <c r="D68" s="942"/>
      <c r="E68" s="942"/>
      <c r="F68" s="942"/>
      <c r="G68" s="942"/>
      <c r="H68" s="942"/>
    </row>
    <row r="69" spans="3:8" x14ac:dyDescent="0.2">
      <c r="C69" s="942">
        <f>C62-C34</f>
        <v>-25.486006291200006</v>
      </c>
      <c r="D69" s="942">
        <f t="shared" ref="D69:H69" si="10">D62-D34</f>
        <v>-25.486006291200006</v>
      </c>
      <c r="E69" s="942">
        <f t="shared" si="10"/>
        <v>-24.663877055999997</v>
      </c>
      <c r="F69" s="942">
        <f t="shared" si="10"/>
        <v>-25.486006291200006</v>
      </c>
      <c r="G69" s="942">
        <f t="shared" si="10"/>
        <v>-24.663877055999997</v>
      </c>
      <c r="H69" s="942">
        <f t="shared" si="10"/>
        <v>-25.486006291200006</v>
      </c>
    </row>
    <row r="70" spans="3:8" x14ac:dyDescent="0.2">
      <c r="C70" s="942">
        <f t="shared" ref="C70:H73" si="11">C63-C35</f>
        <v>13.497300756600694</v>
      </c>
      <c r="D70" s="942">
        <f t="shared" si="11"/>
        <v>11.444422300358545</v>
      </c>
      <c r="E70" s="942">
        <f t="shared" si="11"/>
        <v>27.367325695024562</v>
      </c>
      <c r="F70" s="942">
        <f t="shared" si="11"/>
        <v>14.256173508151679</v>
      </c>
      <c r="G70" s="942">
        <f t="shared" si="11"/>
        <v>27.277829775660241</v>
      </c>
      <c r="H70" s="942">
        <f t="shared" si="11"/>
        <v>44.516323184981765</v>
      </c>
    </row>
    <row r="71" spans="3:8" x14ac:dyDescent="0.2">
      <c r="C71" s="942">
        <f t="shared" si="11"/>
        <v>0</v>
      </c>
      <c r="D71" s="942">
        <f t="shared" si="11"/>
        <v>0</v>
      </c>
      <c r="E71" s="942">
        <f t="shared" si="11"/>
        <v>0</v>
      </c>
      <c r="F71" s="942">
        <f t="shared" si="11"/>
        <v>0</v>
      </c>
      <c r="G71" s="942">
        <f t="shared" si="11"/>
        <v>0</v>
      </c>
      <c r="H71" s="942">
        <f t="shared" si="11"/>
        <v>0</v>
      </c>
    </row>
    <row r="72" spans="3:8" x14ac:dyDescent="0.2">
      <c r="C72" s="942">
        <f t="shared" si="11"/>
        <v>0.51276999999999995</v>
      </c>
      <c r="D72" s="942">
        <f t="shared" si="11"/>
        <v>0.43478</v>
      </c>
      <c r="E72" s="942">
        <f t="shared" si="11"/>
        <v>1.0397000000000001</v>
      </c>
      <c r="F72" s="942">
        <f t="shared" si="11"/>
        <v>0.54159999999999997</v>
      </c>
      <c r="G72" s="942">
        <f t="shared" si="11"/>
        <v>1.0363</v>
      </c>
      <c r="H72" s="942">
        <f t="shared" si="11"/>
        <v>1.6912</v>
      </c>
    </row>
    <row r="73" spans="3:8" x14ac:dyDescent="0.2">
      <c r="C73" s="942">
        <f t="shared" si="11"/>
        <v>26.712367643584248</v>
      </c>
      <c r="D73" s="942">
        <f t="shared" si="11"/>
        <v>26.782331984816558</v>
      </c>
      <c r="E73" s="942">
        <f t="shared" si="11"/>
        <v>26.514692406487026</v>
      </c>
      <c r="F73" s="942">
        <f t="shared" si="11"/>
        <v>26.691605443411522</v>
      </c>
      <c r="G73" s="942">
        <f t="shared" si="11"/>
        <v>26.322329224800001</v>
      </c>
      <c r="H73" s="942">
        <f t="shared" si="11"/>
        <v>26.322329224800001</v>
      </c>
    </row>
    <row r="74" spans="3:8" x14ac:dyDescent="0.2">
      <c r="C74" s="942"/>
      <c r="D74" s="942"/>
    </row>
    <row r="75" spans="3:8" x14ac:dyDescent="0.2">
      <c r="C75" s="942"/>
      <c r="D75" s="942"/>
    </row>
    <row r="76" spans="3:8" x14ac:dyDescent="0.2">
      <c r="C76" s="942"/>
      <c r="D76" s="942"/>
    </row>
    <row r="77" spans="3:8" x14ac:dyDescent="0.2">
      <c r="C77" s="942"/>
      <c r="D77" s="942"/>
    </row>
    <row r="78" spans="3:8" x14ac:dyDescent="0.2">
      <c r="C78" s="942"/>
      <c r="D78" s="942"/>
    </row>
  </sheetData>
  <dataValidations count="1">
    <dataValidation type="list" allowBlank="1" showInputMessage="1" showErrorMessage="1" sqref="B32 C25 C8 C19 C14" xr:uid="{00000000-0002-0000-20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9">
    <tabColor rgb="FF002060"/>
  </sheetPr>
  <dimension ref="A1:K72"/>
  <sheetViews>
    <sheetView showGridLines="0" topLeftCell="A27" zoomScale="85" workbookViewId="0">
      <selection activeCell="C49" sqref="C49:H53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849</v>
      </c>
      <c r="B1" s="899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[13]DNOR!C3</f>
        <v>44013</v>
      </c>
      <c r="D3" s="425">
        <f>[13]DNOR!D3</f>
        <v>44044</v>
      </c>
      <c r="E3" s="425">
        <f>[13]DNOR!E3</f>
        <v>44075</v>
      </c>
      <c r="F3" s="425">
        <f>[13]DNOR!F3</f>
        <v>44105</v>
      </c>
      <c r="G3" s="425">
        <f>[13]DNOR!G3</f>
        <v>44136</v>
      </c>
      <c r="H3" s="425">
        <f>[13]DNOR!H3</f>
        <v>44166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255">
        <v>24</v>
      </c>
      <c r="D9" s="1255">
        <v>24</v>
      </c>
      <c r="E9" s="1255">
        <v>24</v>
      </c>
      <c r="F9" s="1255">
        <v>24</v>
      </c>
      <c r="G9" s="1255">
        <v>24</v>
      </c>
      <c r="H9" s="1255">
        <v>24</v>
      </c>
      <c r="J9" s="1256"/>
    </row>
    <row r="10" spans="1:10" x14ac:dyDescent="0.2">
      <c r="A10" s="916" t="s">
        <v>432</v>
      </c>
      <c r="B10" s="907"/>
      <c r="C10" s="1257">
        <v>31</v>
      </c>
      <c r="D10" s="1257">
        <v>31</v>
      </c>
      <c r="E10" s="1257">
        <v>30</v>
      </c>
      <c r="F10" s="1257">
        <v>31</v>
      </c>
      <c r="G10" s="1257">
        <v>28</v>
      </c>
      <c r="H10" s="1258">
        <v>0</v>
      </c>
      <c r="J10" s="1256"/>
    </row>
    <row r="11" spans="1:10" x14ac:dyDescent="0.2">
      <c r="A11" s="916" t="s">
        <v>433</v>
      </c>
      <c r="B11" s="907"/>
      <c r="C11" s="1257">
        <v>655.20000000000005</v>
      </c>
      <c r="D11" s="1257">
        <f>C11</f>
        <v>655.20000000000005</v>
      </c>
      <c r="E11" s="1257">
        <f t="shared" ref="E11:H11" si="0">D11</f>
        <v>655.20000000000005</v>
      </c>
      <c r="F11" s="1257">
        <f t="shared" si="0"/>
        <v>655.20000000000005</v>
      </c>
      <c r="G11" s="1257">
        <f t="shared" si="0"/>
        <v>655.20000000000005</v>
      </c>
      <c r="H11" s="1257">
        <f t="shared" si="0"/>
        <v>655.20000000000005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10" x14ac:dyDescent="0.2">
      <c r="A16" s="927" t="s">
        <v>434</v>
      </c>
      <c r="B16" s="908"/>
      <c r="C16" s="1257">
        <v>5.0000000000000001E-4</v>
      </c>
      <c r="D16" s="918"/>
      <c r="E16" s="918"/>
      <c r="F16" s="918"/>
      <c r="G16" s="918"/>
      <c r="H16" s="919"/>
    </row>
    <row r="17" spans="1:9" x14ac:dyDescent="0.2">
      <c r="A17" s="927" t="s">
        <v>435</v>
      </c>
      <c r="B17" s="909"/>
      <c r="C17" s="917">
        <f>$C$16</f>
        <v>5.0000000000000001E-4</v>
      </c>
      <c r="D17" s="917">
        <f t="shared" ref="D17:H17" si="1">$C$16</f>
        <v>5.0000000000000001E-4</v>
      </c>
      <c r="E17" s="917">
        <f t="shared" si="1"/>
        <v>5.0000000000000001E-4</v>
      </c>
      <c r="F17" s="917">
        <f t="shared" si="1"/>
        <v>5.0000000000000001E-4</v>
      </c>
      <c r="G17" s="917">
        <f t="shared" si="1"/>
        <v>5.0000000000000001E-4</v>
      </c>
      <c r="H17" s="917">
        <f t="shared" si="1"/>
        <v>5.0000000000000001E-4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/>
      <c r="D20" s="918"/>
      <c r="E20" s="918"/>
      <c r="F20" s="918"/>
      <c r="G20" s="918"/>
      <c r="H20" s="919"/>
    </row>
    <row r="21" spans="1:9" x14ac:dyDescent="0.2">
      <c r="A21" s="927" t="s">
        <v>436</v>
      </c>
      <c r="B21" s="908"/>
      <c r="C21" s="1257">
        <v>0</v>
      </c>
      <c r="D21" s="918"/>
      <c r="E21" s="918"/>
      <c r="F21" s="918"/>
      <c r="G21" s="918"/>
      <c r="H21" s="919"/>
    </row>
    <row r="22" spans="1:9" x14ac:dyDescent="0.2">
      <c r="A22" s="1259" t="s">
        <v>442</v>
      </c>
      <c r="B22" s="909"/>
      <c r="C22" s="1260"/>
      <c r="D22" s="918"/>
      <c r="E22" s="918"/>
      <c r="F22" s="918"/>
      <c r="G22" s="918"/>
      <c r="H22" s="919"/>
    </row>
    <row r="23" spans="1:9" x14ac:dyDescent="0.2">
      <c r="A23" s="927" t="s">
        <v>437</v>
      </c>
      <c r="B23" s="909"/>
      <c r="C23" s="917">
        <f>C21</f>
        <v>0</v>
      </c>
      <c r="D23" s="917">
        <f t="shared" ref="D23:H23" si="2">D21</f>
        <v>0</v>
      </c>
      <c r="E23" s="917">
        <f t="shared" si="2"/>
        <v>0</v>
      </c>
      <c r="F23" s="917">
        <f t="shared" si="2"/>
        <v>0</v>
      </c>
      <c r="G23" s="917">
        <f t="shared" si="2"/>
        <v>0</v>
      </c>
      <c r="H23" s="917">
        <f t="shared" si="2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8"/>
      <c r="E26" s="918"/>
      <c r="F26" s="918"/>
      <c r="G26" s="918"/>
      <c r="H26" s="919"/>
    </row>
    <row r="27" spans="1:9" ht="13.2" x14ac:dyDescent="0.25">
      <c r="A27" s="922" t="s">
        <v>438</v>
      </c>
      <c r="B27" s="926"/>
      <c r="C27" s="1257">
        <v>0.249</v>
      </c>
      <c r="D27" s="918"/>
      <c r="E27" s="918"/>
      <c r="F27" s="918"/>
      <c r="G27" s="918"/>
      <c r="H27" s="919"/>
    </row>
    <row r="28" spans="1:9" ht="14.4" x14ac:dyDescent="0.3">
      <c r="A28" s="928" t="s">
        <v>530</v>
      </c>
      <c r="B28" s="926"/>
      <c r="C28" s="1281">
        <v>105.39147</v>
      </c>
      <c r="D28" s="1281">
        <v>105.39147</v>
      </c>
      <c r="E28" s="1281">
        <v>105.39147</v>
      </c>
      <c r="F28" s="1281">
        <v>105.39147</v>
      </c>
      <c r="G28" s="1281">
        <v>105.39147</v>
      </c>
      <c r="H28" s="1281">
        <v>105.39147</v>
      </c>
    </row>
    <row r="29" spans="1:9" ht="13.2" x14ac:dyDescent="0.25">
      <c r="A29" s="922" t="s">
        <v>440</v>
      </c>
      <c r="B29" s="926"/>
      <c r="C29" s="917">
        <f t="shared" ref="C29:H29" si="3">$C$27*C28*$C$26</f>
        <v>26.242476029999999</v>
      </c>
      <c r="D29" s="917">
        <f t="shared" si="3"/>
        <v>26.242476029999999</v>
      </c>
      <c r="E29" s="917">
        <f>$C$27*E28*$C$26</f>
        <v>26.242476029999999</v>
      </c>
      <c r="F29" s="917">
        <f t="shared" si="3"/>
        <v>26.242476029999999</v>
      </c>
      <c r="G29" s="917">
        <f t="shared" si="3"/>
        <v>26.242476029999999</v>
      </c>
      <c r="H29" s="930">
        <f t="shared" si="3"/>
        <v>26.242476029999999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ht="12.75" customHeight="1" x14ac:dyDescent="0.25">
      <c r="A31" s="1270" t="s">
        <v>493</v>
      </c>
      <c r="B31" s="1271"/>
      <c r="C31" s="1272">
        <v>0.2</v>
      </c>
      <c r="D31" s="1272">
        <v>0.2</v>
      </c>
      <c r="E31" s="1272">
        <v>0.2</v>
      </c>
      <c r="F31" s="1272">
        <v>0.2</v>
      </c>
      <c r="G31" s="1272">
        <v>0</v>
      </c>
      <c r="H31" s="1272">
        <v>0</v>
      </c>
    </row>
    <row r="32" spans="1:9" ht="12.75" customHeight="1" x14ac:dyDescent="0.25">
      <c r="A32" s="902" t="s">
        <v>145</v>
      </c>
      <c r="B32" s="931" t="s">
        <v>97</v>
      </c>
      <c r="C32" s="1264">
        <f>Inputs!C21</f>
        <v>313.51760000000002</v>
      </c>
      <c r="D32" s="1264">
        <f>Inputs!D21</f>
        <v>313.51760000000002</v>
      </c>
      <c r="E32" s="1264">
        <f>Inputs!E21</f>
        <v>313.51760000000002</v>
      </c>
      <c r="F32" s="1264">
        <f>Inputs!F21</f>
        <v>313.51760000000002</v>
      </c>
      <c r="G32" s="1264">
        <f>Inputs!G21</f>
        <v>313.51760000000002</v>
      </c>
      <c r="H32" s="1264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152.83004825088003</v>
      </c>
      <c r="D34" s="1265">
        <f t="shared" ref="D34:H34" si="4">(D9*D10*D11*D32/1000000)</f>
        <v>152.83004825088003</v>
      </c>
      <c r="E34" s="1265">
        <f t="shared" si="4"/>
        <v>147.9000466944</v>
      </c>
      <c r="F34" s="1265">
        <f t="shared" si="4"/>
        <v>152.83004825088003</v>
      </c>
      <c r="G34" s="1265">
        <f t="shared" si="4"/>
        <v>138.04004358143999</v>
      </c>
      <c r="H34" s="1265">
        <f t="shared" si="4"/>
        <v>0</v>
      </c>
      <c r="I34" s="450"/>
    </row>
    <row r="35" spans="1:9" x14ac:dyDescent="0.2">
      <c r="A35" s="906" t="s">
        <v>149</v>
      </c>
      <c r="B35" s="907" t="s">
        <v>60</v>
      </c>
      <c r="C35" s="1266">
        <f>((C29+C23+C17*C32)*C37)+C31</f>
        <v>0.2</v>
      </c>
      <c r="D35" s="1266">
        <f t="shared" ref="D35:H35" si="5">((D29+D23+D17*D32)*D37)+D31</f>
        <v>0.2</v>
      </c>
      <c r="E35" s="1266">
        <f t="shared" si="5"/>
        <v>0.2</v>
      </c>
      <c r="F35" s="1266">
        <f t="shared" si="5"/>
        <v>0.2</v>
      </c>
      <c r="G35" s="1266">
        <f t="shared" si="5"/>
        <v>0</v>
      </c>
      <c r="H35" s="1267">
        <f t="shared" si="5"/>
        <v>0</v>
      </c>
    </row>
    <row r="36" spans="1:9" x14ac:dyDescent="0.2">
      <c r="A36" s="906" t="s">
        <v>150</v>
      </c>
      <c r="B36" s="907" t="s">
        <v>39</v>
      </c>
      <c r="C36" s="1268">
        <f>C9</f>
        <v>24</v>
      </c>
      <c r="D36" s="1268">
        <f t="shared" ref="D36:H36" si="6">D9</f>
        <v>24</v>
      </c>
      <c r="E36" s="1268">
        <f t="shared" si="6"/>
        <v>24</v>
      </c>
      <c r="F36" s="1268">
        <f t="shared" si="6"/>
        <v>24</v>
      </c>
      <c r="G36" s="1268">
        <f t="shared" si="6"/>
        <v>24</v>
      </c>
      <c r="H36" s="1268">
        <f t="shared" si="6"/>
        <v>24</v>
      </c>
    </row>
    <row r="37" spans="1:9" x14ac:dyDescent="0.2">
      <c r="A37" s="938" t="s">
        <v>516</v>
      </c>
      <c r="B37" s="907" t="s">
        <v>56</v>
      </c>
      <c r="C37" s="1269">
        <f>DispatchSchedule!F55</f>
        <v>0</v>
      </c>
      <c r="D37" s="1269">
        <f>DispatchSchedule!G55</f>
        <v>0</v>
      </c>
      <c r="E37" s="1269">
        <f>DispatchSchedule!H55</f>
        <v>0</v>
      </c>
      <c r="F37" s="1269">
        <f>DispatchSchedule!I55</f>
        <v>0</v>
      </c>
      <c r="G37" s="1269">
        <f>DispatchSchedule!J55</f>
        <v>0</v>
      </c>
      <c r="H37" s="1269">
        <f>DispatchSchedule!K55</f>
        <v>0</v>
      </c>
    </row>
    <row r="38" spans="1:9" ht="13.8" thickBot="1" x14ac:dyDescent="0.3">
      <c r="A38" s="940" t="s">
        <v>135</v>
      </c>
      <c r="B38" s="941" t="s">
        <v>88</v>
      </c>
      <c r="C38" s="1248">
        <f t="shared" ref="C38:H38" si="7">IF(C37=0,0,(C35/C37))</f>
        <v>0</v>
      </c>
      <c r="D38" s="1248">
        <f t="shared" si="7"/>
        <v>0</v>
      </c>
      <c r="E38" s="1248">
        <f t="shared" si="7"/>
        <v>0</v>
      </c>
      <c r="F38" s="1248">
        <f t="shared" si="7"/>
        <v>0</v>
      </c>
      <c r="G38" s="1248">
        <f t="shared" si="7"/>
        <v>0</v>
      </c>
      <c r="H38" s="1249">
        <f t="shared" si="7"/>
        <v>0</v>
      </c>
    </row>
    <row r="40" spans="1:9" ht="17.399999999999999" x14ac:dyDescent="0.3">
      <c r="A40" s="453" t="str">
        <f>'[13]ALTQ-M'!A41</f>
        <v>Note</v>
      </c>
      <c r="C40" s="942"/>
      <c r="D40" s="942"/>
      <c r="E40" s="942"/>
      <c r="F40" s="942"/>
      <c r="G40" s="1033"/>
      <c r="H40" s="942"/>
    </row>
    <row r="41" spans="1:9" x14ac:dyDescent="0.2">
      <c r="A41" s="453" t="str">
        <f>'[13]ALTQ-M'!A42</f>
        <v># APC (GPC was taken), Fuel Price and Indexes(US PI, CCPI ) are based on the Most recently available figures</v>
      </c>
    </row>
    <row r="42" spans="1:9" x14ac:dyDescent="0.2">
      <c r="A42" s="453" t="str">
        <f>'[13]ALTQ-M'!A43</f>
        <v>Settlements = Estimated value of Tax Reimbursibles and Delay Interests</v>
      </c>
    </row>
    <row r="43" spans="1:9" x14ac:dyDescent="0.2">
      <c r="A43" s="453" t="str">
        <f>'[13]ALTQ-M'!A44</f>
        <v>* Energy Sent out is based on Energy Dispatch Forcast July 2020 to December 2020  issued by System Control Branch</v>
      </c>
    </row>
    <row r="44" spans="1:9" x14ac:dyDescent="0.2">
      <c r="A44" s="453" t="str">
        <f>'[13]ALTQ-M'!A45</f>
        <v>Exchange Rate as at 2020-07-22 was considered.</v>
      </c>
    </row>
    <row r="45" spans="1:9" x14ac:dyDescent="0.2">
      <c r="A45" s="415"/>
    </row>
    <row r="46" spans="1:9" x14ac:dyDescent="0.2">
      <c r="C46" s="942"/>
      <c r="D46" s="942"/>
      <c r="E46" s="942"/>
      <c r="F46" s="942"/>
      <c r="G46" s="942"/>
      <c r="H46" s="942"/>
    </row>
    <row r="47" spans="1:9" x14ac:dyDescent="0.2">
      <c r="C47" s="942"/>
      <c r="D47" s="942"/>
      <c r="E47" s="942"/>
      <c r="F47" s="942"/>
      <c r="G47" s="942"/>
      <c r="H47" s="942"/>
    </row>
    <row r="48" spans="1:9" x14ac:dyDescent="0.2">
      <c r="C48" s="942">
        <v>91.663633152000017</v>
      </c>
      <c r="D48" s="942">
        <v>91.663633152000017</v>
      </c>
      <c r="E48" s="942">
        <v>88.70674176</v>
      </c>
      <c r="F48" s="942">
        <v>91.663633152000017</v>
      </c>
      <c r="G48" s="942">
        <v>82.792958975999994</v>
      </c>
      <c r="H48" s="942">
        <v>0</v>
      </c>
    </row>
    <row r="49" spans="3:11" x14ac:dyDescent="0.2">
      <c r="C49" s="1280">
        <v>35.569914168289998</v>
      </c>
      <c r="D49" s="1280">
        <v>30.708197001152001</v>
      </c>
      <c r="E49" s="1280">
        <v>68.743364567678</v>
      </c>
      <c r="F49" s="1280">
        <v>41.458754680597998</v>
      </c>
      <c r="G49" s="1280">
        <v>75.633149298953995</v>
      </c>
      <c r="H49" s="1280">
        <v>0</v>
      </c>
      <c r="I49" s="942"/>
    </row>
    <row r="50" spans="3:11" x14ac:dyDescent="0.2">
      <c r="C50" s="942">
        <v>24</v>
      </c>
      <c r="D50" s="942">
        <v>24</v>
      </c>
      <c r="E50" s="942">
        <v>24</v>
      </c>
      <c r="F50" s="942">
        <v>24</v>
      </c>
      <c r="G50" s="942">
        <v>24</v>
      </c>
      <c r="H50" s="942">
        <v>24</v>
      </c>
      <c r="I50" s="942"/>
      <c r="J50" s="942"/>
    </row>
    <row r="51" spans="3:11" x14ac:dyDescent="0.2">
      <c r="C51" s="942">
        <v>1.343</v>
      </c>
      <c r="D51" s="942">
        <v>1.1584000000000001</v>
      </c>
      <c r="E51" s="942">
        <v>2.6025999999999998</v>
      </c>
      <c r="F51" s="942">
        <v>1.5666</v>
      </c>
      <c r="G51" s="942">
        <v>2.8717999999999999</v>
      </c>
      <c r="H51" s="942">
        <v>0</v>
      </c>
    </row>
    <row r="52" spans="3:11" x14ac:dyDescent="0.2">
      <c r="C52" s="942">
        <v>26.485416357624718</v>
      </c>
      <c r="D52" s="942">
        <v>26.509147963701658</v>
      </c>
      <c r="E52" s="942">
        <v>26.413342260692385</v>
      </c>
      <c r="F52" s="942">
        <v>26.464161037021576</v>
      </c>
      <c r="G52" s="942">
        <v>26.336496029999999</v>
      </c>
      <c r="H52" s="942">
        <v>0</v>
      </c>
      <c r="I52" s="942"/>
      <c r="J52" s="942"/>
    </row>
    <row r="53" spans="3:11" x14ac:dyDescent="0.2">
      <c r="C53" s="942"/>
      <c r="D53" s="942"/>
      <c r="E53" s="942"/>
      <c r="F53" s="942"/>
      <c r="G53" s="942"/>
      <c r="H53" s="942"/>
      <c r="I53" s="942"/>
      <c r="J53" s="942"/>
      <c r="K53" s="942"/>
    </row>
    <row r="54" spans="3:11" x14ac:dyDescent="0.2">
      <c r="C54" s="942">
        <f>C48-C34</f>
        <v>-61.166415098880009</v>
      </c>
      <c r="D54" s="942">
        <f t="shared" ref="D54:H54" si="8">D48-D34</f>
        <v>-61.166415098880009</v>
      </c>
      <c r="E54" s="942">
        <f t="shared" si="8"/>
        <v>-59.193304934400004</v>
      </c>
      <c r="F54" s="942">
        <f t="shared" si="8"/>
        <v>-61.166415098880009</v>
      </c>
      <c r="G54" s="942">
        <f t="shared" si="8"/>
        <v>-55.247084605439994</v>
      </c>
      <c r="H54" s="942">
        <f t="shared" si="8"/>
        <v>0</v>
      </c>
    </row>
    <row r="55" spans="3:11" x14ac:dyDescent="0.2">
      <c r="C55" s="942">
        <f t="shared" ref="C55:H58" si="9">C49-C35</f>
        <v>35.369914168289995</v>
      </c>
      <c r="D55" s="942">
        <f t="shared" si="9"/>
        <v>30.508197001152002</v>
      </c>
      <c r="E55" s="942">
        <f t="shared" si="9"/>
        <v>68.543364567677997</v>
      </c>
      <c r="F55" s="942">
        <f t="shared" si="9"/>
        <v>41.258754680597995</v>
      </c>
      <c r="G55" s="942">
        <f t="shared" si="9"/>
        <v>75.633149298953995</v>
      </c>
      <c r="H55" s="942">
        <f t="shared" si="9"/>
        <v>0</v>
      </c>
      <c r="I55" s="942"/>
    </row>
    <row r="56" spans="3:11" x14ac:dyDescent="0.2">
      <c r="C56" s="942">
        <f t="shared" si="9"/>
        <v>0</v>
      </c>
      <c r="D56" s="942">
        <f t="shared" si="9"/>
        <v>0</v>
      </c>
      <c r="E56" s="942">
        <f t="shared" si="9"/>
        <v>0</v>
      </c>
      <c r="F56" s="942">
        <f t="shared" si="9"/>
        <v>0</v>
      </c>
      <c r="G56" s="942">
        <f t="shared" si="9"/>
        <v>0</v>
      </c>
      <c r="H56" s="942">
        <f t="shared" si="9"/>
        <v>0</v>
      </c>
      <c r="I56" s="942"/>
    </row>
    <row r="57" spans="3:11" x14ac:dyDescent="0.2">
      <c r="C57" s="942">
        <f t="shared" si="9"/>
        <v>1.343</v>
      </c>
      <c r="D57" s="942">
        <f t="shared" si="9"/>
        <v>1.1584000000000001</v>
      </c>
      <c r="E57" s="942">
        <f t="shared" si="9"/>
        <v>2.6025999999999998</v>
      </c>
      <c r="F57" s="942">
        <f t="shared" si="9"/>
        <v>1.5666</v>
      </c>
      <c r="G57" s="942">
        <f t="shared" si="9"/>
        <v>2.8717999999999999</v>
      </c>
      <c r="H57" s="942">
        <f t="shared" si="9"/>
        <v>0</v>
      </c>
      <c r="I57" s="942"/>
    </row>
    <row r="58" spans="3:11" x14ac:dyDescent="0.2">
      <c r="C58" s="942">
        <f t="shared" si="9"/>
        <v>26.485416357624718</v>
      </c>
      <c r="D58" s="942">
        <f t="shared" si="9"/>
        <v>26.509147963701658</v>
      </c>
      <c r="E58" s="942">
        <f t="shared" si="9"/>
        <v>26.413342260692385</v>
      </c>
      <c r="F58" s="942">
        <f t="shared" si="9"/>
        <v>26.464161037021576</v>
      </c>
      <c r="G58" s="942">
        <f t="shared" si="9"/>
        <v>26.336496029999999</v>
      </c>
      <c r="H58" s="942">
        <f t="shared" si="9"/>
        <v>0</v>
      </c>
      <c r="I58" s="942"/>
    </row>
    <row r="59" spans="3:11" x14ac:dyDescent="0.2">
      <c r="C59" s="942"/>
      <c r="D59" s="942"/>
      <c r="E59" s="942"/>
      <c r="F59" s="942"/>
      <c r="G59" s="942"/>
      <c r="H59" s="942"/>
      <c r="I59" s="942"/>
    </row>
    <row r="60" spans="3:11" x14ac:dyDescent="0.2">
      <c r="C60" s="942"/>
      <c r="D60" s="942"/>
      <c r="E60" s="942"/>
      <c r="F60" s="942"/>
      <c r="G60" s="942"/>
      <c r="H60" s="942"/>
      <c r="I60" s="942"/>
    </row>
    <row r="61" spans="3:11" x14ac:dyDescent="0.2">
      <c r="C61" s="942"/>
      <c r="D61" s="942"/>
      <c r="E61" s="942"/>
      <c r="F61" s="942"/>
      <c r="G61" s="942"/>
      <c r="H61" s="942"/>
      <c r="I61" s="942"/>
    </row>
    <row r="62" spans="3:11" x14ac:dyDescent="0.2">
      <c r="C62" s="942"/>
      <c r="D62" s="942"/>
    </row>
    <row r="63" spans="3:11" x14ac:dyDescent="0.2">
      <c r="C63" s="942"/>
      <c r="D63" s="942"/>
    </row>
    <row r="64" spans="3:11" x14ac:dyDescent="0.2">
      <c r="C64" s="942"/>
      <c r="D64" s="942"/>
    </row>
    <row r="65" spans="3:4" x14ac:dyDescent="0.2">
      <c r="C65" s="942"/>
      <c r="D65" s="942"/>
    </row>
    <row r="66" spans="3:4" x14ac:dyDescent="0.2">
      <c r="C66" s="942"/>
      <c r="D66" s="942"/>
    </row>
    <row r="67" spans="3:4" x14ac:dyDescent="0.2">
      <c r="C67" s="942"/>
      <c r="D67" s="942"/>
    </row>
    <row r="68" spans="3:4" x14ac:dyDescent="0.2">
      <c r="C68" s="942"/>
      <c r="D68" s="942"/>
    </row>
    <row r="69" spans="3:4" x14ac:dyDescent="0.2">
      <c r="C69" s="942"/>
      <c r="D69" s="942"/>
    </row>
    <row r="70" spans="3:4" x14ac:dyDescent="0.2">
      <c r="C70" s="942"/>
      <c r="D70" s="942"/>
    </row>
    <row r="71" spans="3:4" x14ac:dyDescent="0.2">
      <c r="C71" s="942"/>
      <c r="D71" s="942"/>
    </row>
    <row r="72" spans="3:4" x14ac:dyDescent="0.2">
      <c r="C72" s="942"/>
      <c r="D72" s="942"/>
    </row>
  </sheetData>
  <dataValidations count="1">
    <dataValidation type="list" allowBlank="1" showInputMessage="1" showErrorMessage="1" sqref="B32 C25 C8 C19 C14" xr:uid="{00000000-0002-0000-21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tabColor rgb="FF002060"/>
  </sheetPr>
  <dimension ref="A1:K78"/>
  <sheetViews>
    <sheetView showGridLines="0" zoomScale="85" workbookViewId="0">
      <selection activeCell="C49" sqref="C49:H53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829</v>
      </c>
      <c r="B1" s="899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[13]DispatchSchedule!F3</f>
        <v>44013</v>
      </c>
      <c r="D3" s="425">
        <f>[13]DispatchSchedule!G3</f>
        <v>44044</v>
      </c>
      <c r="E3" s="425">
        <f>[13]DispatchSchedule!H3</f>
        <v>44075</v>
      </c>
      <c r="F3" s="425">
        <f>[13]DispatchSchedule!I3</f>
        <v>44105</v>
      </c>
      <c r="G3" s="425">
        <f>[13]DispatchSchedule!J3</f>
        <v>44136</v>
      </c>
      <c r="H3" s="425">
        <f>[13]DispatchSchedule!K3</f>
        <v>44166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255">
        <v>24</v>
      </c>
      <c r="D9" s="1255">
        <v>24</v>
      </c>
      <c r="E9" s="1255">
        <v>24</v>
      </c>
      <c r="F9" s="1255">
        <v>24</v>
      </c>
      <c r="G9" s="1255">
        <v>24</v>
      </c>
      <c r="H9" s="1255">
        <v>24</v>
      </c>
      <c r="J9" s="1256"/>
    </row>
    <row r="10" spans="1:10" x14ac:dyDescent="0.2">
      <c r="A10" s="916" t="s">
        <v>432</v>
      </c>
      <c r="B10" s="907"/>
      <c r="C10" s="1257">
        <v>31</v>
      </c>
      <c r="D10" s="1257">
        <v>20</v>
      </c>
      <c r="E10" s="1257">
        <v>0</v>
      </c>
      <c r="F10" s="1257">
        <v>0</v>
      </c>
      <c r="G10" s="1257">
        <v>0</v>
      </c>
      <c r="H10" s="1258">
        <v>0</v>
      </c>
      <c r="J10" s="1256"/>
    </row>
    <row r="11" spans="1:10" x14ac:dyDescent="0.2">
      <c r="A11" s="916" t="s">
        <v>433</v>
      </c>
      <c r="B11" s="907"/>
      <c r="C11" s="1257">
        <v>461.4</v>
      </c>
      <c r="D11" s="1257">
        <f>C11</f>
        <v>461.4</v>
      </c>
      <c r="E11" s="1257">
        <f t="shared" ref="E11:H11" si="0">D11</f>
        <v>461.4</v>
      </c>
      <c r="F11" s="1257">
        <f t="shared" si="0"/>
        <v>461.4</v>
      </c>
      <c r="G11" s="1257">
        <f t="shared" si="0"/>
        <v>461.4</v>
      </c>
      <c r="H11" s="1257">
        <f t="shared" si="0"/>
        <v>461.4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10" x14ac:dyDescent="0.2">
      <c r="A16" s="927" t="s">
        <v>434</v>
      </c>
      <c r="B16" s="908"/>
      <c r="C16" s="1257">
        <v>5.0000000000000001E-4</v>
      </c>
      <c r="D16" s="918"/>
      <c r="E16" s="918"/>
      <c r="F16" s="918"/>
      <c r="G16" s="918"/>
      <c r="H16" s="919"/>
    </row>
    <row r="17" spans="1:9" x14ac:dyDescent="0.2">
      <c r="A17" s="927" t="s">
        <v>435</v>
      </c>
      <c r="B17" s="909"/>
      <c r="C17" s="917">
        <f>$C$16</f>
        <v>5.0000000000000001E-4</v>
      </c>
      <c r="D17" s="917">
        <f t="shared" ref="D17:H17" si="1">$C$16</f>
        <v>5.0000000000000001E-4</v>
      </c>
      <c r="E17" s="917">
        <f t="shared" si="1"/>
        <v>5.0000000000000001E-4</v>
      </c>
      <c r="F17" s="917">
        <f t="shared" si="1"/>
        <v>5.0000000000000001E-4</v>
      </c>
      <c r="G17" s="917">
        <f t="shared" si="1"/>
        <v>5.0000000000000001E-4</v>
      </c>
      <c r="H17" s="917">
        <f t="shared" si="1"/>
        <v>5.0000000000000001E-4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/>
      <c r="D20" s="918"/>
      <c r="E20" s="918"/>
      <c r="F20" s="918"/>
      <c r="G20" s="918"/>
      <c r="H20" s="919"/>
    </row>
    <row r="21" spans="1:9" x14ac:dyDescent="0.2">
      <c r="A21" s="927" t="s">
        <v>436</v>
      </c>
      <c r="B21" s="908"/>
      <c r="C21" s="1257">
        <v>0</v>
      </c>
      <c r="D21" s="918"/>
      <c r="E21" s="918"/>
      <c r="F21" s="918"/>
      <c r="G21" s="918"/>
      <c r="H21" s="919"/>
    </row>
    <row r="22" spans="1:9" x14ac:dyDescent="0.2">
      <c r="A22" s="1259" t="s">
        <v>442</v>
      </c>
      <c r="B22" s="909"/>
      <c r="C22" s="1260"/>
      <c r="D22" s="918"/>
      <c r="E22" s="918"/>
      <c r="F22" s="918"/>
      <c r="G22" s="918"/>
      <c r="H22" s="919"/>
    </row>
    <row r="23" spans="1:9" x14ac:dyDescent="0.2">
      <c r="A23" s="927" t="s">
        <v>437</v>
      </c>
      <c r="B23" s="909"/>
      <c r="C23" s="917">
        <f>C21</f>
        <v>0</v>
      </c>
      <c r="D23" s="917">
        <f t="shared" ref="D23:H23" si="2">D21</f>
        <v>0</v>
      </c>
      <c r="E23" s="917">
        <f t="shared" si="2"/>
        <v>0</v>
      </c>
      <c r="F23" s="917">
        <f t="shared" si="2"/>
        <v>0</v>
      </c>
      <c r="G23" s="917">
        <f t="shared" si="2"/>
        <v>0</v>
      </c>
      <c r="H23" s="917">
        <f t="shared" si="2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8"/>
      <c r="E26" s="918"/>
      <c r="F26" s="918"/>
      <c r="G26" s="918"/>
      <c r="H26" s="919"/>
    </row>
    <row r="27" spans="1:9" ht="13.2" x14ac:dyDescent="0.25">
      <c r="A27" s="922" t="s">
        <v>438</v>
      </c>
      <c r="B27" s="926"/>
      <c r="C27" s="1257">
        <v>0.246</v>
      </c>
      <c r="D27" s="918"/>
      <c r="E27" s="918"/>
      <c r="F27" s="918"/>
      <c r="G27" s="918"/>
      <c r="H27" s="919"/>
    </row>
    <row r="28" spans="1:9" ht="14.4" x14ac:dyDescent="0.3">
      <c r="A28" s="928" t="s">
        <v>530</v>
      </c>
      <c r="B28" s="926"/>
      <c r="C28" s="1281">
        <v>105.39147</v>
      </c>
      <c r="D28" s="1281">
        <v>105.39147</v>
      </c>
      <c r="E28" s="1281">
        <v>105.39147</v>
      </c>
      <c r="F28" s="1281">
        <v>105.39147</v>
      </c>
      <c r="G28" s="1281">
        <v>105.39147</v>
      </c>
      <c r="H28" s="1281">
        <v>105.39147</v>
      </c>
    </row>
    <row r="29" spans="1:9" ht="13.2" x14ac:dyDescent="0.25">
      <c r="A29" s="922" t="s">
        <v>440</v>
      </c>
      <c r="B29" s="926"/>
      <c r="C29" s="917">
        <f t="shared" ref="C29:H29" si="3">$C$27*C28*$C$26</f>
        <v>25.92630162</v>
      </c>
      <c r="D29" s="917">
        <f t="shared" si="3"/>
        <v>25.92630162</v>
      </c>
      <c r="E29" s="917">
        <f>$C$27*E28*$C$26</f>
        <v>25.92630162</v>
      </c>
      <c r="F29" s="917">
        <f t="shared" si="3"/>
        <v>25.92630162</v>
      </c>
      <c r="G29" s="917">
        <f t="shared" si="3"/>
        <v>25.92630162</v>
      </c>
      <c r="H29" s="930">
        <f t="shared" si="3"/>
        <v>25.92630162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ht="12.75" customHeight="1" x14ac:dyDescent="0.25">
      <c r="A31" s="1270" t="s">
        <v>493</v>
      </c>
      <c r="B31" s="1271"/>
      <c r="C31" s="1272">
        <v>0.2</v>
      </c>
      <c r="D31" s="1272">
        <v>0.2</v>
      </c>
      <c r="E31" s="1272">
        <v>0.2</v>
      </c>
      <c r="F31" s="1272">
        <v>0.2</v>
      </c>
      <c r="G31" s="1272">
        <v>0.2</v>
      </c>
      <c r="H31" s="1272">
        <v>0</v>
      </c>
    </row>
    <row r="32" spans="1:9" ht="12.75" customHeight="1" x14ac:dyDescent="0.25">
      <c r="A32" s="902" t="s">
        <v>145</v>
      </c>
      <c r="B32" s="931" t="s">
        <v>97</v>
      </c>
      <c r="C32" s="1264">
        <f>Inputs!C21</f>
        <v>313.51760000000002</v>
      </c>
      <c r="D32" s="1264">
        <f>Inputs!D21</f>
        <v>313.51760000000002</v>
      </c>
      <c r="E32" s="1264">
        <f>Inputs!E21</f>
        <v>313.51760000000002</v>
      </c>
      <c r="F32" s="1264">
        <f>Inputs!F21</f>
        <v>313.51760000000002</v>
      </c>
      <c r="G32" s="1264">
        <f>Inputs!G21</f>
        <v>313.51760000000002</v>
      </c>
      <c r="H32" s="1264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107.62482335615999</v>
      </c>
      <c r="D34" s="1265">
        <f t="shared" ref="D34:H34" si="4">(D9*D10*D11*D32/1000000)</f>
        <v>69.435369907200013</v>
      </c>
      <c r="E34" s="1265">
        <f t="shared" si="4"/>
        <v>0</v>
      </c>
      <c r="F34" s="1265">
        <f t="shared" si="4"/>
        <v>0</v>
      </c>
      <c r="G34" s="1265">
        <f t="shared" si="4"/>
        <v>0</v>
      </c>
      <c r="H34" s="1265">
        <f t="shared" si="4"/>
        <v>0</v>
      </c>
      <c r="I34" s="450"/>
    </row>
    <row r="35" spans="1:9" x14ac:dyDescent="0.2">
      <c r="A35" s="906" t="s">
        <v>149</v>
      </c>
      <c r="B35" s="907" t="s">
        <v>60</v>
      </c>
      <c r="C35" s="1266">
        <f>((C29+C23+C17*C32)*C37)+C31</f>
        <v>0.2</v>
      </c>
      <c r="D35" s="1266">
        <f t="shared" ref="D35:H35" si="5">((D29+D23+D17*D32)*D37)+D31</f>
        <v>0.2</v>
      </c>
      <c r="E35" s="1266">
        <f t="shared" si="5"/>
        <v>0.2</v>
      </c>
      <c r="F35" s="1266">
        <f t="shared" si="5"/>
        <v>0.2</v>
      </c>
      <c r="G35" s="1266">
        <f t="shared" si="5"/>
        <v>0.2</v>
      </c>
      <c r="H35" s="1267">
        <f t="shared" si="5"/>
        <v>0</v>
      </c>
    </row>
    <row r="36" spans="1:9" x14ac:dyDescent="0.2">
      <c r="A36" s="906" t="s">
        <v>150</v>
      </c>
      <c r="B36" s="907" t="s">
        <v>39</v>
      </c>
      <c r="C36" s="1268">
        <f>C9</f>
        <v>24</v>
      </c>
      <c r="D36" s="1268">
        <f t="shared" ref="D36:H36" si="6">D9</f>
        <v>24</v>
      </c>
      <c r="E36" s="1268">
        <f t="shared" si="6"/>
        <v>24</v>
      </c>
      <c r="F36" s="1268">
        <f t="shared" si="6"/>
        <v>24</v>
      </c>
      <c r="G36" s="1268">
        <f t="shared" si="6"/>
        <v>24</v>
      </c>
      <c r="H36" s="1268">
        <f t="shared" si="6"/>
        <v>24</v>
      </c>
    </row>
    <row r="37" spans="1:9" x14ac:dyDescent="0.2">
      <c r="A37" s="938" t="s">
        <v>516</v>
      </c>
      <c r="B37" s="907" t="s">
        <v>56</v>
      </c>
      <c r="C37" s="1269">
        <f>DispatchSchedule!F53</f>
        <v>0</v>
      </c>
      <c r="D37" s="1269">
        <f>DispatchSchedule!G53</f>
        <v>0</v>
      </c>
      <c r="E37" s="1269">
        <f>DispatchSchedule!H53</f>
        <v>0</v>
      </c>
      <c r="F37" s="1269">
        <f>DispatchSchedule!I53</f>
        <v>0</v>
      </c>
      <c r="G37" s="1269">
        <f>DispatchSchedule!J53</f>
        <v>0</v>
      </c>
      <c r="H37" s="1269">
        <f>DispatchSchedule!K53</f>
        <v>0</v>
      </c>
    </row>
    <row r="38" spans="1:9" ht="13.8" thickBot="1" x14ac:dyDescent="0.3">
      <c r="A38" s="940" t="s">
        <v>135</v>
      </c>
      <c r="B38" s="941" t="s">
        <v>88</v>
      </c>
      <c r="C38" s="1248">
        <f t="shared" ref="C38:H38" si="7">IF(C37=0,0,(C35/C37))</f>
        <v>0</v>
      </c>
      <c r="D38" s="1248">
        <f t="shared" si="7"/>
        <v>0</v>
      </c>
      <c r="E38" s="1248">
        <f t="shared" si="7"/>
        <v>0</v>
      </c>
      <c r="F38" s="1248">
        <f t="shared" si="7"/>
        <v>0</v>
      </c>
      <c r="G38" s="1248">
        <f t="shared" si="7"/>
        <v>0</v>
      </c>
      <c r="H38" s="1249">
        <f t="shared" si="7"/>
        <v>0</v>
      </c>
    </row>
    <row r="40" spans="1:9" ht="17.399999999999999" x14ac:dyDescent="0.3">
      <c r="A40" s="453" t="str">
        <f>'[13]VPWR-PL'!A40</f>
        <v>Note</v>
      </c>
      <c r="C40" s="942"/>
      <c r="D40" s="942"/>
      <c r="E40" s="942"/>
      <c r="F40" s="942"/>
      <c r="G40" s="1033"/>
      <c r="H40" s="942"/>
    </row>
    <row r="41" spans="1:9" x14ac:dyDescent="0.2">
      <c r="A41" s="453" t="str">
        <f>'[13]VPWR-PL'!A41</f>
        <v># APC (GPC was taken), Fuel Price and Indexes(US PI, CCPI ) are based on the Most recently available figures</v>
      </c>
    </row>
    <row r="42" spans="1:9" x14ac:dyDescent="0.2">
      <c r="A42" s="453" t="str">
        <f>'[13]VPWR-PL'!A42</f>
        <v>Settlements = Estimated value of Tax Reimbursibles and Delay Interests</v>
      </c>
    </row>
    <row r="43" spans="1:9" x14ac:dyDescent="0.2">
      <c r="A43" s="453" t="str">
        <f>'[13]VPWR-PL'!A43</f>
        <v>* Energy Sent out is based on Energy Dispatch Forcast July 2020 to December 2020  issued by System Control Branch</v>
      </c>
    </row>
    <row r="44" spans="1:9" x14ac:dyDescent="0.2">
      <c r="A44" s="453" t="str">
        <f>'[13]VPWR-PL'!A44</f>
        <v>Exchange Rate as at 2020-07-22 was considered.</v>
      </c>
    </row>
    <row r="46" spans="1:9" x14ac:dyDescent="0.2">
      <c r="C46" s="942"/>
      <c r="D46" s="942"/>
      <c r="E46" s="942"/>
      <c r="F46" s="942"/>
      <c r="G46" s="1282"/>
      <c r="H46" s="942"/>
    </row>
    <row r="47" spans="1:9" x14ac:dyDescent="0.2">
      <c r="C47" s="942"/>
      <c r="D47" s="942"/>
      <c r="E47" s="942"/>
      <c r="F47" s="942"/>
      <c r="G47" s="1282"/>
      <c r="H47" s="942"/>
    </row>
    <row r="48" spans="1:9" x14ac:dyDescent="0.2">
      <c r="C48" s="942">
        <v>64.550672063999997</v>
      </c>
      <c r="D48" s="942">
        <v>41.645594879999997</v>
      </c>
      <c r="E48" s="942">
        <v>0</v>
      </c>
      <c r="F48" s="942">
        <v>0</v>
      </c>
      <c r="G48" s="942">
        <v>0</v>
      </c>
      <c r="H48" s="942">
        <v>0</v>
      </c>
    </row>
    <row r="49" spans="3:11" x14ac:dyDescent="0.2">
      <c r="C49" s="942">
        <v>31.926578151266</v>
      </c>
      <c r="D49" s="942">
        <v>17.196734285400197</v>
      </c>
      <c r="E49" s="942">
        <v>0.2</v>
      </c>
      <c r="F49" s="942">
        <v>0.2</v>
      </c>
      <c r="G49" s="942">
        <v>0.2</v>
      </c>
      <c r="H49" s="942">
        <v>0</v>
      </c>
    </row>
    <row r="50" spans="3:11" x14ac:dyDescent="0.2">
      <c r="C50" s="942">
        <v>24</v>
      </c>
      <c r="D50" s="942">
        <v>24</v>
      </c>
      <c r="E50" s="942">
        <v>24</v>
      </c>
      <c r="F50" s="942">
        <v>24</v>
      </c>
      <c r="G50" s="942">
        <v>24</v>
      </c>
      <c r="H50" s="942">
        <v>24</v>
      </c>
    </row>
    <row r="51" spans="3:11" x14ac:dyDescent="0.2">
      <c r="C51" s="942">
        <v>1.2193000000000001</v>
      </c>
      <c r="D51" s="942">
        <v>0.65320999999999996</v>
      </c>
      <c r="E51" s="942">
        <v>0</v>
      </c>
      <c r="F51" s="942">
        <v>0</v>
      </c>
      <c r="G51" s="942">
        <v>0</v>
      </c>
      <c r="H51" s="942">
        <v>0</v>
      </c>
    </row>
    <row r="52" spans="3:11" x14ac:dyDescent="0.2">
      <c r="C52" s="942">
        <v>26.184350160966126</v>
      </c>
      <c r="D52" s="942">
        <v>26.326501868312178</v>
      </c>
      <c r="E52" s="942">
        <v>0</v>
      </c>
      <c r="F52" s="942">
        <v>0</v>
      </c>
      <c r="G52" s="942">
        <v>0</v>
      </c>
      <c r="H52" s="942">
        <v>0</v>
      </c>
    </row>
    <row r="53" spans="3:11" x14ac:dyDescent="0.2">
      <c r="C53" s="942"/>
      <c r="D53" s="942"/>
      <c r="E53" s="942"/>
      <c r="F53" s="942"/>
      <c r="G53" s="942"/>
      <c r="H53" s="942"/>
    </row>
    <row r="54" spans="3:11" x14ac:dyDescent="0.2">
      <c r="C54" s="942"/>
      <c r="D54" s="942"/>
      <c r="E54" s="942"/>
      <c r="F54" s="942"/>
      <c r="G54" s="942"/>
      <c r="H54" s="942"/>
    </row>
    <row r="55" spans="3:11" x14ac:dyDescent="0.2">
      <c r="C55" s="1280"/>
      <c r="D55" s="1280"/>
      <c r="E55" s="1280"/>
      <c r="F55" s="1280"/>
      <c r="G55" s="1280"/>
      <c r="H55" s="1280"/>
      <c r="I55" s="942"/>
    </row>
    <row r="56" spans="3:11" x14ac:dyDescent="0.2">
      <c r="C56" s="942">
        <f>C48-C34</f>
        <v>-43.074151292159996</v>
      </c>
      <c r="D56" s="942">
        <f t="shared" ref="D56:H56" si="8">D48-D34</f>
        <v>-27.789775027200015</v>
      </c>
      <c r="E56" s="942">
        <f t="shared" si="8"/>
        <v>0</v>
      </c>
      <c r="F56" s="942">
        <f t="shared" si="8"/>
        <v>0</v>
      </c>
      <c r="G56" s="942">
        <f t="shared" si="8"/>
        <v>0</v>
      </c>
      <c r="H56" s="942">
        <f t="shared" si="8"/>
        <v>0</v>
      </c>
      <c r="I56" s="942"/>
      <c r="J56" s="942"/>
    </row>
    <row r="57" spans="3:11" x14ac:dyDescent="0.2">
      <c r="C57" s="942">
        <f t="shared" ref="C57:H57" si="9">C49-C35</f>
        <v>31.726578151266001</v>
      </c>
      <c r="D57" s="942">
        <f t="shared" si="9"/>
        <v>16.996734285400198</v>
      </c>
      <c r="E57" s="942">
        <f t="shared" si="9"/>
        <v>0</v>
      </c>
      <c r="F57" s="942">
        <f t="shared" si="9"/>
        <v>0</v>
      </c>
      <c r="G57" s="942">
        <f t="shared" si="9"/>
        <v>0</v>
      </c>
      <c r="H57" s="942">
        <f t="shared" si="9"/>
        <v>0</v>
      </c>
    </row>
    <row r="58" spans="3:11" x14ac:dyDescent="0.2">
      <c r="C58" s="942">
        <f t="shared" ref="C58:H58" si="10">C50-C36</f>
        <v>0</v>
      </c>
      <c r="D58" s="942">
        <f t="shared" si="10"/>
        <v>0</v>
      </c>
      <c r="E58" s="942">
        <f t="shared" si="10"/>
        <v>0</v>
      </c>
      <c r="F58" s="942">
        <f t="shared" si="10"/>
        <v>0</v>
      </c>
      <c r="G58" s="942">
        <f t="shared" si="10"/>
        <v>0</v>
      </c>
      <c r="H58" s="942">
        <f t="shared" si="10"/>
        <v>0</v>
      </c>
      <c r="I58" s="942"/>
      <c r="J58" s="942"/>
    </row>
    <row r="59" spans="3:11" x14ac:dyDescent="0.2">
      <c r="C59" s="942">
        <f t="shared" ref="C59:H59" si="11">C51-C37</f>
        <v>1.2193000000000001</v>
      </c>
      <c r="D59" s="942">
        <f t="shared" si="11"/>
        <v>0.65320999999999996</v>
      </c>
      <c r="E59" s="942">
        <f t="shared" si="11"/>
        <v>0</v>
      </c>
      <c r="F59" s="942">
        <f t="shared" si="11"/>
        <v>0</v>
      </c>
      <c r="G59" s="942">
        <f t="shared" si="11"/>
        <v>0</v>
      </c>
      <c r="H59" s="942">
        <f t="shared" si="11"/>
        <v>0</v>
      </c>
      <c r="I59" s="942"/>
      <c r="J59" s="942"/>
      <c r="K59" s="942"/>
    </row>
    <row r="60" spans="3:11" x14ac:dyDescent="0.2">
      <c r="C60" s="942">
        <f t="shared" ref="C60:H60" si="12">C52-C38</f>
        <v>26.184350160966126</v>
      </c>
      <c r="D60" s="942">
        <f t="shared" si="12"/>
        <v>26.326501868312178</v>
      </c>
      <c r="E60" s="942">
        <f t="shared" si="12"/>
        <v>0</v>
      </c>
      <c r="F60" s="942">
        <f t="shared" si="12"/>
        <v>0</v>
      </c>
      <c r="G60" s="942">
        <f t="shared" si="12"/>
        <v>0</v>
      </c>
      <c r="H60" s="942">
        <f t="shared" si="12"/>
        <v>0</v>
      </c>
    </row>
    <row r="61" spans="3:11" x14ac:dyDescent="0.2">
      <c r="C61" s="942">
        <f t="shared" ref="C61:H61" si="13">C53-C39</f>
        <v>0</v>
      </c>
      <c r="D61" s="942">
        <f t="shared" si="13"/>
        <v>0</v>
      </c>
      <c r="E61" s="942">
        <f t="shared" si="13"/>
        <v>0</v>
      </c>
      <c r="F61" s="942">
        <f t="shared" si="13"/>
        <v>0</v>
      </c>
      <c r="G61" s="942">
        <f t="shared" si="13"/>
        <v>0</v>
      </c>
      <c r="H61" s="942">
        <f t="shared" si="13"/>
        <v>0</v>
      </c>
    </row>
    <row r="62" spans="3:11" x14ac:dyDescent="0.2">
      <c r="C62" s="942">
        <f t="shared" ref="C62:H62" si="14">C54-C40</f>
        <v>0</v>
      </c>
      <c r="D62" s="942">
        <f t="shared" si="14"/>
        <v>0</v>
      </c>
      <c r="E62" s="942">
        <f t="shared" si="14"/>
        <v>0</v>
      </c>
      <c r="F62" s="942">
        <f t="shared" si="14"/>
        <v>0</v>
      </c>
      <c r="G62" s="942">
        <f t="shared" si="14"/>
        <v>0</v>
      </c>
      <c r="H62" s="942">
        <f t="shared" si="14"/>
        <v>0</v>
      </c>
    </row>
    <row r="63" spans="3:11" x14ac:dyDescent="0.2">
      <c r="C63" s="942"/>
      <c r="D63" s="942"/>
    </row>
    <row r="64" spans="3:11" x14ac:dyDescent="0.2">
      <c r="C64" s="942"/>
      <c r="D64" s="942"/>
    </row>
    <row r="65" spans="3:4" x14ac:dyDescent="0.2">
      <c r="C65" s="942"/>
      <c r="D65" s="942"/>
    </row>
    <row r="66" spans="3:4" x14ac:dyDescent="0.2">
      <c r="C66" s="942"/>
      <c r="D66" s="942"/>
    </row>
    <row r="67" spans="3:4" x14ac:dyDescent="0.2">
      <c r="C67" s="942"/>
      <c r="D67" s="942"/>
    </row>
    <row r="68" spans="3:4" x14ac:dyDescent="0.2">
      <c r="C68" s="942"/>
      <c r="D68" s="942"/>
    </row>
    <row r="69" spans="3:4" x14ac:dyDescent="0.2">
      <c r="C69" s="942"/>
      <c r="D69" s="942"/>
    </row>
    <row r="70" spans="3:4" x14ac:dyDescent="0.2">
      <c r="C70" s="942"/>
      <c r="D70" s="942"/>
    </row>
    <row r="71" spans="3:4" x14ac:dyDescent="0.2">
      <c r="C71" s="942"/>
      <c r="D71" s="942"/>
    </row>
    <row r="72" spans="3:4" x14ac:dyDescent="0.2">
      <c r="C72" s="942"/>
      <c r="D72" s="942"/>
    </row>
    <row r="73" spans="3:4" x14ac:dyDescent="0.2">
      <c r="C73" s="942"/>
      <c r="D73" s="942"/>
    </row>
    <row r="74" spans="3:4" x14ac:dyDescent="0.2">
      <c r="C74" s="942"/>
      <c r="D74" s="942"/>
    </row>
    <row r="75" spans="3:4" x14ac:dyDescent="0.2">
      <c r="C75" s="942"/>
      <c r="D75" s="942"/>
    </row>
    <row r="76" spans="3:4" x14ac:dyDescent="0.2">
      <c r="C76" s="942"/>
      <c r="D76" s="942"/>
    </row>
    <row r="77" spans="3:4" x14ac:dyDescent="0.2">
      <c r="C77" s="942"/>
      <c r="D77" s="942"/>
    </row>
    <row r="78" spans="3:4" x14ac:dyDescent="0.2">
      <c r="C78" s="942"/>
      <c r="D78" s="942"/>
    </row>
  </sheetData>
  <dataValidations count="1">
    <dataValidation type="list" allowBlank="1" showInputMessage="1" showErrorMessage="1" sqref="B32 C25 C8 C19 C14" xr:uid="{00000000-0002-0000-22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>
    <tabColor rgb="FF002060"/>
  </sheetPr>
  <dimension ref="A1:K78"/>
  <sheetViews>
    <sheetView showGridLines="0" topLeftCell="A24" zoomScale="85" workbookViewId="0">
      <selection activeCell="C49" sqref="C49:H53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830</v>
      </c>
      <c r="B1" s="899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[13]DispatchSchedule!F3</f>
        <v>44013</v>
      </c>
      <c r="D3" s="425">
        <f>[13]DispatchSchedule!G3</f>
        <v>44044</v>
      </c>
      <c r="E3" s="425">
        <f>[13]DispatchSchedule!H3</f>
        <v>44075</v>
      </c>
      <c r="F3" s="425">
        <f>[13]DispatchSchedule!I3</f>
        <v>44105</v>
      </c>
      <c r="G3" s="425">
        <f>[13]DispatchSchedule!J3</f>
        <v>44136</v>
      </c>
      <c r="H3" s="425">
        <f>[13]DispatchSchedule!K3</f>
        <v>44166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255">
        <v>24</v>
      </c>
      <c r="D9" s="1255">
        <v>24</v>
      </c>
      <c r="E9" s="1255">
        <v>24</v>
      </c>
      <c r="F9" s="1255">
        <v>24</v>
      </c>
      <c r="G9" s="1255">
        <v>24</v>
      </c>
      <c r="H9" s="1255">
        <v>24</v>
      </c>
      <c r="J9" s="1256"/>
    </row>
    <row r="10" spans="1:10" x14ac:dyDescent="0.2">
      <c r="A10" s="916" t="s">
        <v>432</v>
      </c>
      <c r="B10" s="907"/>
      <c r="C10" s="1257">
        <v>31</v>
      </c>
      <c r="D10" s="1257">
        <v>31</v>
      </c>
      <c r="E10" s="1257">
        <v>30</v>
      </c>
      <c r="F10" s="1257">
        <v>31</v>
      </c>
      <c r="G10" s="1257">
        <v>30</v>
      </c>
      <c r="H10" s="1258">
        <v>11</v>
      </c>
      <c r="J10" s="1256"/>
    </row>
    <row r="11" spans="1:10" x14ac:dyDescent="0.2">
      <c r="A11" s="916" t="s">
        <v>433</v>
      </c>
      <c r="B11" s="907"/>
      <c r="C11" s="1257">
        <v>577.1</v>
      </c>
      <c r="D11" s="1257">
        <f>C11</f>
        <v>577.1</v>
      </c>
      <c r="E11" s="1257">
        <f t="shared" ref="E11:H11" si="0">D11</f>
        <v>577.1</v>
      </c>
      <c r="F11" s="1257">
        <f t="shared" si="0"/>
        <v>577.1</v>
      </c>
      <c r="G11" s="1257">
        <f t="shared" si="0"/>
        <v>577.1</v>
      </c>
      <c r="H11" s="1257">
        <f t="shared" si="0"/>
        <v>577.1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10" x14ac:dyDescent="0.2">
      <c r="A16" s="927" t="s">
        <v>434</v>
      </c>
      <c r="B16" s="908"/>
      <c r="C16" s="1257">
        <v>5.0000000000000001E-4</v>
      </c>
      <c r="D16" s="918"/>
      <c r="E16" s="918"/>
      <c r="F16" s="918"/>
      <c r="G16" s="918"/>
      <c r="H16" s="919"/>
    </row>
    <row r="17" spans="1:9" x14ac:dyDescent="0.2">
      <c r="A17" s="927" t="s">
        <v>435</v>
      </c>
      <c r="B17" s="909"/>
      <c r="C17" s="917">
        <f>$C$16</f>
        <v>5.0000000000000001E-4</v>
      </c>
      <c r="D17" s="917">
        <f t="shared" ref="D17:H17" si="1">$C$16</f>
        <v>5.0000000000000001E-4</v>
      </c>
      <c r="E17" s="917">
        <f t="shared" si="1"/>
        <v>5.0000000000000001E-4</v>
      </c>
      <c r="F17" s="917">
        <f t="shared" si="1"/>
        <v>5.0000000000000001E-4</v>
      </c>
      <c r="G17" s="917">
        <f t="shared" si="1"/>
        <v>5.0000000000000001E-4</v>
      </c>
      <c r="H17" s="917">
        <f t="shared" si="1"/>
        <v>5.0000000000000001E-4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/>
      <c r="D20" s="918"/>
      <c r="E20" s="918"/>
      <c r="F20" s="918"/>
      <c r="G20" s="918"/>
      <c r="H20" s="919"/>
    </row>
    <row r="21" spans="1:9" x14ac:dyDescent="0.2">
      <c r="A21" s="927" t="s">
        <v>436</v>
      </c>
      <c r="B21" s="908"/>
      <c r="C21" s="1257">
        <v>0</v>
      </c>
      <c r="D21" s="918"/>
      <c r="E21" s="918"/>
      <c r="F21" s="918"/>
      <c r="G21" s="918"/>
      <c r="H21" s="919"/>
    </row>
    <row r="22" spans="1:9" x14ac:dyDescent="0.2">
      <c r="A22" s="1259" t="s">
        <v>442</v>
      </c>
      <c r="B22" s="909"/>
      <c r="C22" s="1260"/>
      <c r="D22" s="918"/>
      <c r="E22" s="918"/>
      <c r="F22" s="918"/>
      <c r="G22" s="918"/>
      <c r="H22" s="919"/>
    </row>
    <row r="23" spans="1:9" x14ac:dyDescent="0.2">
      <c r="A23" s="927" t="s">
        <v>437</v>
      </c>
      <c r="B23" s="909"/>
      <c r="C23" s="917">
        <f>C21</f>
        <v>0</v>
      </c>
      <c r="D23" s="917">
        <f t="shared" ref="D23:H23" si="2">D21</f>
        <v>0</v>
      </c>
      <c r="E23" s="917">
        <f t="shared" si="2"/>
        <v>0</v>
      </c>
      <c r="F23" s="917">
        <f t="shared" si="2"/>
        <v>0</v>
      </c>
      <c r="G23" s="917">
        <f t="shared" si="2"/>
        <v>0</v>
      </c>
      <c r="H23" s="917">
        <f t="shared" si="2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8"/>
      <c r="E26" s="918"/>
      <c r="F26" s="918"/>
      <c r="G26" s="918"/>
      <c r="H26" s="919"/>
    </row>
    <row r="27" spans="1:9" ht="13.2" x14ac:dyDescent="0.25">
      <c r="A27" s="922" t="s">
        <v>438</v>
      </c>
      <c r="B27" s="926"/>
      <c r="C27" s="1257">
        <v>0.24</v>
      </c>
      <c r="D27" s="918"/>
      <c r="E27" s="918"/>
      <c r="F27" s="918"/>
      <c r="G27" s="918"/>
      <c r="H27" s="919"/>
    </row>
    <row r="28" spans="1:9" ht="14.4" x14ac:dyDescent="0.3">
      <c r="A28" s="928" t="s">
        <v>530</v>
      </c>
      <c r="B28" s="926"/>
      <c r="C28" s="1281">
        <v>104.55915</v>
      </c>
      <c r="D28" s="1281">
        <v>104.55915</v>
      </c>
      <c r="E28" s="1281">
        <v>104.55915</v>
      </c>
      <c r="F28" s="1281">
        <v>104.55915</v>
      </c>
      <c r="G28" s="1281">
        <v>104.55915</v>
      </c>
      <c r="H28" s="1281">
        <v>104.55915</v>
      </c>
    </row>
    <row r="29" spans="1:9" ht="13.2" x14ac:dyDescent="0.25">
      <c r="A29" s="922" t="s">
        <v>440</v>
      </c>
      <c r="B29" s="926"/>
      <c r="C29" s="917">
        <f t="shared" ref="C29:H29" si="3">$C$27*C28*$C$26</f>
        <v>25.094196</v>
      </c>
      <c r="D29" s="917">
        <f t="shared" si="3"/>
        <v>25.094196</v>
      </c>
      <c r="E29" s="917">
        <f>$C$27*E28*$C$26</f>
        <v>25.094196</v>
      </c>
      <c r="F29" s="917">
        <f t="shared" si="3"/>
        <v>25.094196</v>
      </c>
      <c r="G29" s="917">
        <f t="shared" si="3"/>
        <v>25.094196</v>
      </c>
      <c r="H29" s="930">
        <f t="shared" si="3"/>
        <v>25.094196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ht="12.75" customHeight="1" x14ac:dyDescent="0.25">
      <c r="A31" s="1270" t="s">
        <v>493</v>
      </c>
      <c r="B31" s="1271"/>
      <c r="C31" s="1272">
        <v>0.2</v>
      </c>
      <c r="D31" s="1272">
        <v>0.2</v>
      </c>
      <c r="E31" s="1272">
        <v>0.2</v>
      </c>
      <c r="F31" s="1272">
        <v>0.2</v>
      </c>
      <c r="G31" s="1272">
        <v>0.2</v>
      </c>
      <c r="H31" s="1272">
        <v>0</v>
      </c>
    </row>
    <row r="32" spans="1:9" ht="12.75" customHeight="1" x14ac:dyDescent="0.25">
      <c r="A32" s="902" t="s">
        <v>145</v>
      </c>
      <c r="B32" s="931" t="s">
        <v>97</v>
      </c>
      <c r="C32" s="1264">
        <f>Inputs!C21</f>
        <v>313.51760000000002</v>
      </c>
      <c r="D32" s="1264">
        <f>Inputs!D21</f>
        <v>313.51760000000002</v>
      </c>
      <c r="E32" s="1264">
        <f>Inputs!E21</f>
        <v>313.51760000000002</v>
      </c>
      <c r="F32" s="1264">
        <f>Inputs!F21</f>
        <v>313.51760000000002</v>
      </c>
      <c r="G32" s="1264">
        <f>Inputs!G21</f>
        <v>313.51760000000002</v>
      </c>
      <c r="H32" s="1264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134.61266917824</v>
      </c>
      <c r="D34" s="1265">
        <f t="shared" ref="D34:H34" si="4">(D9*D10*D11*D32/1000000)</f>
        <v>134.61266917824</v>
      </c>
      <c r="E34" s="1265">
        <f t="shared" si="4"/>
        <v>130.27032501120001</v>
      </c>
      <c r="F34" s="1265">
        <f t="shared" si="4"/>
        <v>134.61266917824</v>
      </c>
      <c r="G34" s="1265">
        <f t="shared" si="4"/>
        <v>130.27032501120001</v>
      </c>
      <c r="H34" s="1265">
        <f t="shared" si="4"/>
        <v>47.765785837439999</v>
      </c>
      <c r="I34" s="450"/>
    </row>
    <row r="35" spans="1:9" x14ac:dyDescent="0.2">
      <c r="A35" s="906" t="s">
        <v>149</v>
      </c>
      <c r="B35" s="907" t="s">
        <v>60</v>
      </c>
      <c r="C35" s="1266">
        <f>((C29+C23+C17*C32)*C37)+C31</f>
        <v>0.2</v>
      </c>
      <c r="D35" s="1266">
        <f t="shared" ref="D35:H35" si="5">((D29+D23+D17*D32)*D37)+D31</f>
        <v>0.2</v>
      </c>
      <c r="E35" s="1266">
        <f t="shared" si="5"/>
        <v>0.2</v>
      </c>
      <c r="F35" s="1266">
        <f t="shared" si="5"/>
        <v>0.2</v>
      </c>
      <c r="G35" s="1266">
        <f t="shared" si="5"/>
        <v>0.2</v>
      </c>
      <c r="H35" s="1266">
        <f t="shared" si="5"/>
        <v>0</v>
      </c>
    </row>
    <row r="36" spans="1:9" x14ac:dyDescent="0.2">
      <c r="A36" s="906" t="s">
        <v>150</v>
      </c>
      <c r="B36" s="907" t="s">
        <v>39</v>
      </c>
      <c r="C36" s="1268">
        <f>C9</f>
        <v>24</v>
      </c>
      <c r="D36" s="1268">
        <f t="shared" ref="D36:H36" si="6">D9</f>
        <v>24</v>
      </c>
      <c r="E36" s="1268">
        <f t="shared" si="6"/>
        <v>24</v>
      </c>
      <c r="F36" s="1268">
        <f t="shared" si="6"/>
        <v>24</v>
      </c>
      <c r="G36" s="1268">
        <f t="shared" si="6"/>
        <v>24</v>
      </c>
      <c r="H36" s="1268">
        <f t="shared" si="6"/>
        <v>24</v>
      </c>
    </row>
    <row r="37" spans="1:9" x14ac:dyDescent="0.2">
      <c r="A37" s="938" t="s">
        <v>516</v>
      </c>
      <c r="B37" s="907" t="s">
        <v>56</v>
      </c>
      <c r="C37" s="1269">
        <f>DispatchSchedule!F52</f>
        <v>0</v>
      </c>
      <c r="D37" s="1269">
        <f>DispatchSchedule!G52</f>
        <v>0</v>
      </c>
      <c r="E37" s="1269">
        <f>DispatchSchedule!H52</f>
        <v>0</v>
      </c>
      <c r="F37" s="1269">
        <f>DispatchSchedule!I52</f>
        <v>0</v>
      </c>
      <c r="G37" s="1269">
        <f>DispatchSchedule!J52</f>
        <v>0</v>
      </c>
      <c r="H37" s="1269">
        <f>DispatchSchedule!K52</f>
        <v>0</v>
      </c>
    </row>
    <row r="38" spans="1:9" ht="13.8" thickBot="1" x14ac:dyDescent="0.3">
      <c r="A38" s="940" t="s">
        <v>135</v>
      </c>
      <c r="B38" s="941" t="s">
        <v>88</v>
      </c>
      <c r="C38" s="1248">
        <f t="shared" ref="C38:H38" si="7">IF(C37=0,0,(C35/C37))</f>
        <v>0</v>
      </c>
      <c r="D38" s="1248">
        <f t="shared" si="7"/>
        <v>0</v>
      </c>
      <c r="E38" s="1248">
        <f t="shared" si="7"/>
        <v>0</v>
      </c>
      <c r="F38" s="1248">
        <f t="shared" si="7"/>
        <v>0</v>
      </c>
      <c r="G38" s="1248">
        <f t="shared" si="7"/>
        <v>0</v>
      </c>
      <c r="H38" s="1249">
        <f t="shared" si="7"/>
        <v>0</v>
      </c>
    </row>
    <row r="40" spans="1:9" ht="17.399999999999999" x14ac:dyDescent="0.3">
      <c r="A40" s="453" t="str">
        <f>'[13]VPWR-HMB'!A40</f>
        <v>Note</v>
      </c>
      <c r="C40" s="942"/>
      <c r="D40" s="942"/>
      <c r="E40" s="942"/>
      <c r="F40" s="942"/>
      <c r="G40" s="1033"/>
      <c r="H40" s="942"/>
    </row>
    <row r="41" spans="1:9" x14ac:dyDescent="0.2">
      <c r="A41" s="453" t="str">
        <f>'[13]VPWR-HMB'!A41</f>
        <v># APC (GPC was taken), Fuel Price and Indexes(US PI, CCPI ) are based on the Most recently available figures</v>
      </c>
    </row>
    <row r="42" spans="1:9" x14ac:dyDescent="0.2">
      <c r="A42" s="453" t="str">
        <f>'[13]VPWR-HMB'!A42</f>
        <v>Settlements = Estimated value of Tax Reimbursibles and Delay Interests</v>
      </c>
    </row>
    <row r="43" spans="1:9" x14ac:dyDescent="0.2">
      <c r="A43" s="453" t="str">
        <f>'[13]VPWR-HMB'!A43</f>
        <v>* Energy Sent out is based on Energy Dispatch Forcast July 2020 to December 2020  issued by System Control Branch</v>
      </c>
    </row>
    <row r="44" spans="1:9" x14ac:dyDescent="0.2">
      <c r="A44" s="453" t="str">
        <f>'[13]VPWR-HMB'!A44</f>
        <v>Exchange Rate as at 2020-07-22 was considered.</v>
      </c>
    </row>
    <row r="46" spans="1:9" x14ac:dyDescent="0.2">
      <c r="C46" s="942"/>
      <c r="D46" s="942"/>
      <c r="E46" s="942"/>
      <c r="F46" s="942"/>
      <c r="G46" s="1282"/>
      <c r="H46" s="942"/>
    </row>
    <row r="47" spans="1:9" x14ac:dyDescent="0.2">
      <c r="C47" s="942"/>
      <c r="D47" s="942"/>
      <c r="E47" s="942"/>
      <c r="F47" s="942"/>
      <c r="G47" s="942"/>
      <c r="H47" s="942"/>
    </row>
    <row r="48" spans="1:9" x14ac:dyDescent="0.2">
      <c r="C48" s="942">
        <v>80.737305695999993</v>
      </c>
      <c r="D48" s="942">
        <v>80.737305695999993</v>
      </c>
      <c r="E48" s="942">
        <v>78.132876479999993</v>
      </c>
      <c r="F48" s="942">
        <v>80.737305695999993</v>
      </c>
      <c r="G48" s="942">
        <v>78.132876479999993</v>
      </c>
      <c r="H48" s="942">
        <v>28.648721375999997</v>
      </c>
    </row>
    <row r="49" spans="3:11" x14ac:dyDescent="0.2">
      <c r="C49" s="942">
        <v>44.271821535200004</v>
      </c>
      <c r="D49" s="942">
        <v>35.3526742496</v>
      </c>
      <c r="E49" s="942">
        <v>72.288674192000002</v>
      </c>
      <c r="F49" s="942">
        <v>47.075269976000001</v>
      </c>
      <c r="G49" s="942">
        <v>79.437089892800003</v>
      </c>
      <c r="H49" s="942">
        <v>53.993459817600005</v>
      </c>
    </row>
    <row r="50" spans="3:11" x14ac:dyDescent="0.2">
      <c r="C50" s="942">
        <v>24</v>
      </c>
      <c r="D50" s="942">
        <v>24</v>
      </c>
      <c r="E50" s="942">
        <v>24</v>
      </c>
      <c r="F50" s="942">
        <v>24</v>
      </c>
      <c r="G50" s="942">
        <v>24</v>
      </c>
      <c r="H50" s="942">
        <v>24</v>
      </c>
    </row>
    <row r="51" spans="3:11" x14ac:dyDescent="0.2">
      <c r="C51" s="942">
        <v>1.7497</v>
      </c>
      <c r="D51" s="942">
        <v>1.3956</v>
      </c>
      <c r="E51" s="942">
        <v>2.8620000000000001</v>
      </c>
      <c r="F51" s="942">
        <v>1.861</v>
      </c>
      <c r="G51" s="942">
        <v>3.1457999999999999</v>
      </c>
      <c r="H51" s="942">
        <v>2.1436000000000002</v>
      </c>
    </row>
    <row r="52" spans="3:11" x14ac:dyDescent="0.2">
      <c r="C52" s="942">
        <v>25.302521309481627</v>
      </c>
      <c r="D52" s="942">
        <v>25.331523537976498</v>
      </c>
      <c r="E52" s="942">
        <v>25.258097201956673</v>
      </c>
      <c r="F52" s="942">
        <v>25.295685102632994</v>
      </c>
      <c r="G52" s="942">
        <v>25.251792832602202</v>
      </c>
      <c r="H52" s="942">
        <v>25.188216000000001</v>
      </c>
    </row>
    <row r="53" spans="3:11" x14ac:dyDescent="0.2">
      <c r="C53" s="942"/>
      <c r="D53" s="942"/>
      <c r="E53" s="942"/>
      <c r="F53" s="942"/>
      <c r="G53" s="942"/>
      <c r="H53" s="942"/>
    </row>
    <row r="54" spans="3:11" x14ac:dyDescent="0.2">
      <c r="C54" s="942"/>
      <c r="D54" s="942"/>
      <c r="E54" s="942"/>
      <c r="F54" s="942"/>
      <c r="G54" s="942"/>
      <c r="H54" s="942"/>
    </row>
    <row r="55" spans="3:11" x14ac:dyDescent="0.2">
      <c r="C55" s="1280">
        <f>C48-C34</f>
        <v>-53.875363482240004</v>
      </c>
      <c r="D55" s="1280">
        <f t="shared" ref="D55:H55" si="8">D48-D34</f>
        <v>-53.875363482240004</v>
      </c>
      <c r="E55" s="1280">
        <f t="shared" si="8"/>
        <v>-52.137448531200022</v>
      </c>
      <c r="F55" s="1280">
        <f t="shared" si="8"/>
        <v>-53.875363482240004</v>
      </c>
      <c r="G55" s="1280">
        <f t="shared" si="8"/>
        <v>-52.137448531200022</v>
      </c>
      <c r="H55" s="1280">
        <f t="shared" si="8"/>
        <v>-19.117064461440002</v>
      </c>
      <c r="I55" s="942"/>
    </row>
    <row r="56" spans="3:11" x14ac:dyDescent="0.2">
      <c r="C56" s="1280">
        <f t="shared" ref="C56:H60" si="9">C49-C35</f>
        <v>44.071821535200002</v>
      </c>
      <c r="D56" s="1280">
        <f t="shared" si="9"/>
        <v>35.152674249599997</v>
      </c>
      <c r="E56" s="1280">
        <f t="shared" si="9"/>
        <v>72.088674191999999</v>
      </c>
      <c r="F56" s="1280">
        <f t="shared" si="9"/>
        <v>46.875269975999998</v>
      </c>
      <c r="G56" s="1280">
        <f t="shared" si="9"/>
        <v>79.2370898928</v>
      </c>
      <c r="H56" s="1280">
        <f t="shared" si="9"/>
        <v>53.993459817600005</v>
      </c>
      <c r="I56" s="942"/>
      <c r="J56" s="942"/>
    </row>
    <row r="57" spans="3:11" x14ac:dyDescent="0.2">
      <c r="C57" s="1280">
        <f t="shared" si="9"/>
        <v>0</v>
      </c>
      <c r="D57" s="1280">
        <f t="shared" si="9"/>
        <v>0</v>
      </c>
      <c r="E57" s="1280">
        <f t="shared" si="9"/>
        <v>0</v>
      </c>
      <c r="F57" s="1280">
        <f t="shared" si="9"/>
        <v>0</v>
      </c>
      <c r="G57" s="1280">
        <f t="shared" si="9"/>
        <v>0</v>
      </c>
      <c r="H57" s="1280">
        <f t="shared" si="9"/>
        <v>0</v>
      </c>
    </row>
    <row r="58" spans="3:11" x14ac:dyDescent="0.2">
      <c r="C58" s="1280">
        <f t="shared" si="9"/>
        <v>1.7497</v>
      </c>
      <c r="D58" s="1280">
        <f t="shared" si="9"/>
        <v>1.3956</v>
      </c>
      <c r="E58" s="1280">
        <f t="shared" si="9"/>
        <v>2.8620000000000001</v>
      </c>
      <c r="F58" s="1280">
        <f t="shared" si="9"/>
        <v>1.861</v>
      </c>
      <c r="G58" s="1280">
        <f t="shared" si="9"/>
        <v>3.1457999999999999</v>
      </c>
      <c r="H58" s="1280">
        <f t="shared" si="9"/>
        <v>2.1436000000000002</v>
      </c>
      <c r="I58" s="942"/>
      <c r="J58" s="942"/>
    </row>
    <row r="59" spans="3:11" x14ac:dyDescent="0.2">
      <c r="C59" s="1280">
        <f t="shared" si="9"/>
        <v>25.302521309481627</v>
      </c>
      <c r="D59" s="1280">
        <f t="shared" si="9"/>
        <v>25.331523537976498</v>
      </c>
      <c r="E59" s="1280">
        <f t="shared" si="9"/>
        <v>25.258097201956673</v>
      </c>
      <c r="F59" s="1280">
        <f t="shared" si="9"/>
        <v>25.295685102632994</v>
      </c>
      <c r="G59" s="1280">
        <f t="shared" si="9"/>
        <v>25.251792832602202</v>
      </c>
      <c r="H59" s="1280">
        <f t="shared" si="9"/>
        <v>25.188216000000001</v>
      </c>
      <c r="I59" s="942"/>
      <c r="J59" s="942"/>
      <c r="K59" s="942"/>
    </row>
    <row r="60" spans="3:11" x14ac:dyDescent="0.2">
      <c r="C60" s="1280">
        <f t="shared" si="9"/>
        <v>0</v>
      </c>
      <c r="D60" s="942"/>
      <c r="E60" s="942"/>
      <c r="F60" s="942"/>
      <c r="G60" s="942"/>
      <c r="H60" s="942"/>
    </row>
    <row r="61" spans="3:11" x14ac:dyDescent="0.2">
      <c r="C61" s="942"/>
      <c r="D61" s="942"/>
      <c r="E61" s="942"/>
      <c r="F61" s="942"/>
      <c r="G61" s="942"/>
      <c r="H61" s="942"/>
    </row>
    <row r="62" spans="3:11" x14ac:dyDescent="0.2">
      <c r="C62" s="942"/>
      <c r="D62" s="942"/>
      <c r="E62" s="942"/>
      <c r="F62" s="942"/>
      <c r="G62" s="942"/>
      <c r="H62" s="942"/>
    </row>
    <row r="63" spans="3:11" x14ac:dyDescent="0.2">
      <c r="C63" s="942"/>
      <c r="D63" s="942"/>
    </row>
    <row r="64" spans="3:11" x14ac:dyDescent="0.2">
      <c r="C64" s="942"/>
      <c r="D64" s="942"/>
    </row>
    <row r="65" spans="3:4" x14ac:dyDescent="0.2">
      <c r="C65" s="942"/>
      <c r="D65" s="942"/>
    </row>
    <row r="66" spans="3:4" x14ac:dyDescent="0.2">
      <c r="C66" s="942"/>
      <c r="D66" s="942"/>
    </row>
    <row r="67" spans="3:4" x14ac:dyDescent="0.2">
      <c r="C67" s="942"/>
      <c r="D67" s="942"/>
    </row>
    <row r="68" spans="3:4" x14ac:dyDescent="0.2">
      <c r="C68" s="942"/>
      <c r="D68" s="942"/>
    </row>
    <row r="69" spans="3:4" x14ac:dyDescent="0.2">
      <c r="C69" s="942"/>
      <c r="D69" s="942"/>
    </row>
    <row r="70" spans="3:4" x14ac:dyDescent="0.2">
      <c r="C70" s="942"/>
      <c r="D70" s="942"/>
    </row>
    <row r="71" spans="3:4" x14ac:dyDescent="0.2">
      <c r="C71" s="942"/>
      <c r="D71" s="942"/>
    </row>
    <row r="72" spans="3:4" x14ac:dyDescent="0.2">
      <c r="C72" s="942"/>
      <c r="D72" s="942"/>
    </row>
    <row r="73" spans="3:4" x14ac:dyDescent="0.2">
      <c r="C73" s="942"/>
      <c r="D73" s="942"/>
    </row>
    <row r="74" spans="3:4" x14ac:dyDescent="0.2">
      <c r="C74" s="942"/>
      <c r="D74" s="942"/>
    </row>
    <row r="75" spans="3:4" x14ac:dyDescent="0.2">
      <c r="C75" s="942"/>
      <c r="D75" s="942"/>
    </row>
    <row r="76" spans="3:4" x14ac:dyDescent="0.2">
      <c r="C76" s="942"/>
      <c r="D76" s="942"/>
    </row>
    <row r="77" spans="3:4" x14ac:dyDescent="0.2">
      <c r="C77" s="942"/>
      <c r="D77" s="942"/>
    </row>
    <row r="78" spans="3:4" x14ac:dyDescent="0.2">
      <c r="C78" s="942"/>
      <c r="D78" s="942"/>
    </row>
  </sheetData>
  <dataValidations count="1">
    <dataValidation type="list" allowBlank="1" showInputMessage="1" showErrorMessage="1" sqref="B32 C25 C8 C19 C14" xr:uid="{00000000-0002-0000-23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0">
    <tabColor rgb="FFFF0000"/>
  </sheetPr>
  <dimension ref="A1:J75"/>
  <sheetViews>
    <sheetView showGridLines="0" zoomScale="91" zoomScaleNormal="91" workbookViewId="0">
      <selection activeCell="G75" sqref="G75"/>
    </sheetView>
  </sheetViews>
  <sheetFormatPr defaultColWidth="11" defaultRowHeight="12.6" x14ac:dyDescent="0.2"/>
  <cols>
    <col min="1" max="1" width="45.6328125" customWidth="1"/>
    <col min="2" max="2" width="10" customWidth="1"/>
    <col min="3" max="8" width="15.26953125" bestFit="1" customWidth="1"/>
  </cols>
  <sheetData>
    <row r="1" spans="1:10" ht="24.6" x14ac:dyDescent="0.4">
      <c r="A1" s="53" t="s">
        <v>208</v>
      </c>
      <c r="B1" s="53"/>
      <c r="I1" s="282" t="s">
        <v>570</v>
      </c>
    </row>
    <row r="2" spans="1:10" ht="25.2" thickBot="1" x14ac:dyDescent="0.45">
      <c r="A2" s="53"/>
      <c r="B2" s="53"/>
      <c r="C2" s="298">
        <v>42186</v>
      </c>
      <c r="D2" s="298">
        <v>42217</v>
      </c>
      <c r="E2" s="298">
        <v>42248</v>
      </c>
      <c r="F2" s="298">
        <v>42278</v>
      </c>
      <c r="G2" s="298">
        <v>42309</v>
      </c>
      <c r="H2" s="298">
        <v>42339</v>
      </c>
      <c r="I2" s="282" t="s">
        <v>635</v>
      </c>
    </row>
    <row r="3" spans="1:10" ht="13.2" thickBot="1" x14ac:dyDescent="0.25">
      <c r="A3" s="46" t="s">
        <v>27</v>
      </c>
      <c r="B3" s="66" t="s">
        <v>36</v>
      </c>
      <c r="C3" s="175">
        <v>7</v>
      </c>
      <c r="D3" s="175">
        <v>8</v>
      </c>
      <c r="E3" s="175">
        <v>9</v>
      </c>
      <c r="F3" s="175">
        <v>10</v>
      </c>
      <c r="G3" s="175">
        <v>11</v>
      </c>
      <c r="H3" s="175">
        <v>12</v>
      </c>
      <c r="I3" s="75"/>
    </row>
    <row r="4" spans="1:10" ht="13.2" x14ac:dyDescent="0.25">
      <c r="A4" s="55" t="s">
        <v>136</v>
      </c>
      <c r="B4" s="61"/>
      <c r="C4" s="47"/>
      <c r="D4" s="47"/>
      <c r="E4" s="47"/>
      <c r="F4" s="47"/>
      <c r="G4" s="47"/>
      <c r="H4" s="48"/>
      <c r="I4" s="75"/>
    </row>
    <row r="5" spans="1:10" x14ac:dyDescent="0.2">
      <c r="A5" s="6" t="s">
        <v>209</v>
      </c>
      <c r="B5" s="20"/>
      <c r="C5" s="12"/>
      <c r="D5" s="8"/>
      <c r="E5" s="8"/>
      <c r="F5" s="8"/>
      <c r="G5" s="8"/>
      <c r="H5" s="9"/>
      <c r="I5" s="75"/>
    </row>
    <row r="6" spans="1:10" x14ac:dyDescent="0.2">
      <c r="A6" s="6"/>
      <c r="B6" s="30"/>
      <c r="C6" s="8"/>
      <c r="D6" s="8"/>
      <c r="E6" s="8"/>
      <c r="F6" s="8"/>
      <c r="G6" s="8"/>
      <c r="H6" s="9"/>
      <c r="I6" s="75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I7" s="75"/>
    </row>
    <row r="8" spans="1:10" ht="13.2" x14ac:dyDescent="0.25">
      <c r="A8" s="56" t="s">
        <v>227</v>
      </c>
      <c r="B8" s="62"/>
      <c r="C8" s="8"/>
      <c r="D8" s="8"/>
      <c r="E8" s="8"/>
      <c r="F8" s="8"/>
      <c r="G8" s="8"/>
      <c r="H8" s="9"/>
      <c r="I8" s="75"/>
      <c r="J8" s="2"/>
    </row>
    <row r="9" spans="1:10" ht="13.2" x14ac:dyDescent="0.25">
      <c r="A9" s="57" t="s">
        <v>99</v>
      </c>
      <c r="B9" s="63"/>
      <c r="C9" s="12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6" t="s">
        <v>124</v>
      </c>
      <c r="B10" s="20" t="s">
        <v>225</v>
      </c>
      <c r="C10" s="12">
        <v>7.0000000000000001E-3</v>
      </c>
      <c r="D10" s="8"/>
      <c r="E10" s="8"/>
      <c r="F10" s="8"/>
      <c r="G10" s="8"/>
      <c r="H10" s="12"/>
      <c r="I10" s="75"/>
    </row>
    <row r="11" spans="1:10" x14ac:dyDescent="0.2">
      <c r="A11" s="6" t="s">
        <v>213</v>
      </c>
      <c r="B11" s="20" t="s">
        <v>214</v>
      </c>
      <c r="C11" s="12">
        <v>9.6000000000000002E-2</v>
      </c>
      <c r="D11" s="8"/>
      <c r="E11" s="8"/>
      <c r="F11" s="8"/>
      <c r="G11" s="8"/>
      <c r="H11" s="9"/>
      <c r="I11" s="75"/>
    </row>
    <row r="12" spans="1:10" x14ac:dyDescent="0.2">
      <c r="A12" s="7" t="s">
        <v>230</v>
      </c>
      <c r="B12" s="30"/>
      <c r="C12" s="12">
        <f>76.5607*1/(234.8/151.5)</f>
        <v>49.39925915672913</v>
      </c>
      <c r="D12" s="8"/>
      <c r="E12" s="8"/>
      <c r="F12" s="8"/>
      <c r="G12" s="8"/>
      <c r="I12" s="75"/>
    </row>
    <row r="13" spans="1:10" x14ac:dyDescent="0.2">
      <c r="A13" s="190" t="s">
        <v>515</v>
      </c>
      <c r="B13" s="30"/>
      <c r="C13" s="195">
        <f>Inputs!C24</f>
        <v>1</v>
      </c>
      <c r="D13" s="195">
        <f>Inputs!D24</f>
        <v>1</v>
      </c>
      <c r="E13" s="195">
        <f>Inputs!E24</f>
        <v>1</v>
      </c>
      <c r="F13" s="195">
        <f>Inputs!F24</f>
        <v>1</v>
      </c>
      <c r="G13" s="195">
        <f>Inputs!G24</f>
        <v>1</v>
      </c>
      <c r="H13" s="195">
        <f>Inputs!H24</f>
        <v>1</v>
      </c>
      <c r="I13" s="320"/>
    </row>
    <row r="14" spans="1:10" x14ac:dyDescent="0.2">
      <c r="A14" s="7" t="s">
        <v>231</v>
      </c>
      <c r="B14" s="30"/>
      <c r="C14" s="269">
        <v>162.80000000000001</v>
      </c>
      <c r="D14" s="8"/>
      <c r="E14" s="8"/>
      <c r="F14" s="8"/>
      <c r="G14" s="8"/>
      <c r="H14" s="9"/>
      <c r="I14" s="124"/>
    </row>
    <row r="15" spans="1:10" x14ac:dyDescent="0.2">
      <c r="A15" s="190" t="s">
        <v>517</v>
      </c>
      <c r="B15" s="30"/>
      <c r="C15" s="115">
        <f>Inputs!C28</f>
        <v>324.45999999999998</v>
      </c>
      <c r="D15" s="115">
        <f>Inputs!D28</f>
        <v>324.12</v>
      </c>
      <c r="E15" s="115">
        <f>Inputs!E28</f>
        <v>324.05</v>
      </c>
      <c r="F15" s="115">
        <f>Inputs!F28</f>
        <v>324.05</v>
      </c>
      <c r="G15" s="115">
        <f>Inputs!G28</f>
        <v>324.05</v>
      </c>
      <c r="H15" s="115">
        <f>Inputs!H28</f>
        <v>324.05</v>
      </c>
      <c r="I15" s="320"/>
    </row>
    <row r="16" spans="1:10" x14ac:dyDescent="0.2">
      <c r="A16" s="290" t="s">
        <v>126</v>
      </c>
      <c r="B16" s="289" t="s">
        <v>225</v>
      </c>
      <c r="C16" s="283">
        <f t="shared" ref="C16:H16" si="0">$C$10*C15/$C$14</f>
        <v>1.39509828009828E-2</v>
      </c>
      <c r="D16" s="283">
        <f t="shared" si="0"/>
        <v>1.3936363636363636E-2</v>
      </c>
      <c r="E16" s="283">
        <f t="shared" si="0"/>
        <v>1.393335380835381E-2</v>
      </c>
      <c r="F16" s="283">
        <f t="shared" si="0"/>
        <v>1.393335380835381E-2</v>
      </c>
      <c r="G16" s="283">
        <f t="shared" si="0"/>
        <v>1.393335380835381E-2</v>
      </c>
      <c r="H16" s="283">
        <f t="shared" si="0"/>
        <v>1.393335380835381E-2</v>
      </c>
      <c r="I16" s="75"/>
    </row>
    <row r="17" spans="1:10" x14ac:dyDescent="0.2">
      <c r="A17" s="286" t="s">
        <v>220</v>
      </c>
      <c r="B17" s="289" t="s">
        <v>214</v>
      </c>
      <c r="C17" s="284">
        <f t="shared" ref="C17:H17" si="1">$C$11*C13/$C$12</f>
        <v>1.9433489821258374E-3</v>
      </c>
      <c r="D17" s="284">
        <f t="shared" si="1"/>
        <v>1.9433489821258374E-3</v>
      </c>
      <c r="E17" s="284">
        <f t="shared" si="1"/>
        <v>1.9433489821258374E-3</v>
      </c>
      <c r="F17" s="284">
        <f t="shared" si="1"/>
        <v>1.9433489821258374E-3</v>
      </c>
      <c r="G17" s="284">
        <f t="shared" si="1"/>
        <v>1.9433489821258374E-3</v>
      </c>
      <c r="H17" s="284">
        <f t="shared" si="1"/>
        <v>1.9433489821258374E-3</v>
      </c>
      <c r="I17" s="75"/>
    </row>
    <row r="18" spans="1:10" ht="13.2" x14ac:dyDescent="0.25">
      <c r="A18" s="56" t="s">
        <v>210</v>
      </c>
      <c r="B18" s="62"/>
      <c r="C18" s="8"/>
      <c r="D18" s="8"/>
      <c r="E18" s="8"/>
      <c r="F18" s="8"/>
      <c r="G18" s="8"/>
      <c r="H18" s="9"/>
      <c r="I18" s="75"/>
    </row>
    <row r="19" spans="1:10" ht="13.2" x14ac:dyDescent="0.25">
      <c r="A19" s="57" t="s">
        <v>99</v>
      </c>
      <c r="C19" s="49" t="s">
        <v>95</v>
      </c>
      <c r="D19" s="8"/>
      <c r="E19" s="8"/>
      <c r="F19" s="8"/>
      <c r="G19" s="8"/>
      <c r="H19" s="9"/>
      <c r="I19" s="75"/>
      <c r="J19" s="2"/>
    </row>
    <row r="20" spans="1:10" x14ac:dyDescent="0.2">
      <c r="A20" s="6" t="s">
        <v>211</v>
      </c>
      <c r="B20" s="20" t="s">
        <v>556</v>
      </c>
      <c r="C20" s="49">
        <v>0.43669999999999998</v>
      </c>
      <c r="D20" s="49">
        <v>0.43669999999999998</v>
      </c>
      <c r="E20" s="49">
        <v>0.43669999999999998</v>
      </c>
      <c r="F20" s="49">
        <v>0.43669999999999998</v>
      </c>
      <c r="G20" s="49">
        <v>0.43669999999999998</v>
      </c>
      <c r="H20" s="49">
        <v>0.43669999999999998</v>
      </c>
      <c r="I20" s="75"/>
    </row>
    <row r="21" spans="1:10" x14ac:dyDescent="0.2">
      <c r="A21" s="6" t="s">
        <v>212</v>
      </c>
      <c r="B21" s="20" t="s">
        <v>556</v>
      </c>
      <c r="C21" s="12">
        <v>0.43669999999999998</v>
      </c>
      <c r="D21" s="12">
        <v>0.43669999999999998</v>
      </c>
      <c r="E21" s="12">
        <v>0.43669999999999998</v>
      </c>
      <c r="F21" s="12">
        <v>0.43669999999999998</v>
      </c>
      <c r="G21" s="12">
        <v>0.43669999999999998</v>
      </c>
      <c r="H21" s="15">
        <v>0.43669999999999998</v>
      </c>
      <c r="I21" s="75"/>
    </row>
    <row r="22" spans="1:10" x14ac:dyDescent="0.2">
      <c r="A22" s="6"/>
      <c r="B22" s="30"/>
      <c r="C22" s="8"/>
      <c r="D22" s="8"/>
      <c r="E22" s="8"/>
      <c r="F22" s="8"/>
      <c r="G22" s="8"/>
      <c r="H22" s="9"/>
      <c r="I22" s="75"/>
    </row>
    <row r="23" spans="1:10" ht="13.2" x14ac:dyDescent="0.25">
      <c r="A23" s="55" t="s">
        <v>24</v>
      </c>
      <c r="B23" s="61"/>
      <c r="C23" s="47"/>
      <c r="D23" s="47"/>
      <c r="E23" s="47"/>
      <c r="F23" s="47"/>
      <c r="G23" s="47"/>
      <c r="H23" s="48"/>
      <c r="I23" s="75"/>
    </row>
    <row r="24" spans="1:10" x14ac:dyDescent="0.2">
      <c r="A24" s="50" t="s">
        <v>89</v>
      </c>
      <c r="B24" s="8"/>
      <c r="C24" s="49" t="s">
        <v>114</v>
      </c>
      <c r="D24" s="12"/>
      <c r="E24" s="12"/>
      <c r="F24" s="12"/>
      <c r="G24" s="12"/>
      <c r="H24" s="15"/>
      <c r="I24" s="74"/>
    </row>
    <row r="25" spans="1:10" x14ac:dyDescent="0.2">
      <c r="A25" s="7" t="s">
        <v>100</v>
      </c>
      <c r="B25" s="8"/>
      <c r="C25" s="49" t="s">
        <v>103</v>
      </c>
      <c r="D25" s="12"/>
      <c r="E25" s="12"/>
      <c r="F25" s="12"/>
      <c r="G25" s="12"/>
      <c r="H25" s="15"/>
      <c r="I25" s="74"/>
    </row>
    <row r="26" spans="1:10" x14ac:dyDescent="0.2">
      <c r="A26" s="7" t="s">
        <v>99</v>
      </c>
      <c r="B26" s="8"/>
      <c r="C26" s="49" t="s">
        <v>94</v>
      </c>
      <c r="D26" s="12"/>
      <c r="E26" s="12"/>
      <c r="F26" s="12"/>
      <c r="G26" s="12"/>
      <c r="H26" s="15"/>
      <c r="I26" s="74"/>
    </row>
    <row r="27" spans="1:10" x14ac:dyDescent="0.2">
      <c r="A27" s="6" t="s">
        <v>215</v>
      </c>
      <c r="B27" s="20"/>
      <c r="C27" s="49">
        <v>0.218</v>
      </c>
      <c r="D27" s="8"/>
      <c r="E27" s="8"/>
      <c r="F27" s="8"/>
      <c r="G27" s="8"/>
      <c r="H27" s="9"/>
      <c r="I27" s="75"/>
    </row>
    <row r="28" spans="1:10" x14ac:dyDescent="0.2">
      <c r="A28" s="190" t="s">
        <v>520</v>
      </c>
      <c r="B28" s="20" t="s">
        <v>557</v>
      </c>
      <c r="C28" s="232">
        <f>Inputs!C52</f>
        <v>0</v>
      </c>
      <c r="D28" s="232">
        <f>Inputs!D52</f>
        <v>0</v>
      </c>
      <c r="E28" s="232">
        <f>Inputs!E52</f>
        <v>0</v>
      </c>
      <c r="F28" s="232">
        <f>Inputs!F52</f>
        <v>0</v>
      </c>
      <c r="G28" s="232">
        <f>Inputs!G52</f>
        <v>0</v>
      </c>
      <c r="H28" s="232">
        <f>Inputs!H52</f>
        <v>0</v>
      </c>
      <c r="I28" s="299"/>
    </row>
    <row r="29" spans="1:10" x14ac:dyDescent="0.2">
      <c r="A29" s="6" t="s">
        <v>25</v>
      </c>
      <c r="B29" s="20" t="s">
        <v>88</v>
      </c>
      <c r="C29" s="266">
        <v>1</v>
      </c>
      <c r="D29" s="12"/>
      <c r="E29" s="12"/>
      <c r="F29" s="12"/>
      <c r="G29" s="12"/>
      <c r="H29" s="15"/>
      <c r="I29" s="75"/>
    </row>
    <row r="30" spans="1:10" x14ac:dyDescent="0.2">
      <c r="A30" s="6" t="s">
        <v>144</v>
      </c>
      <c r="B30" s="30"/>
      <c r="C30" s="69">
        <f t="shared" ref="C30:H30" si="2">C28*$C$27*$C$29</f>
        <v>0</v>
      </c>
      <c r="D30" s="69">
        <f t="shared" si="2"/>
        <v>0</v>
      </c>
      <c r="E30" s="69">
        <f t="shared" si="2"/>
        <v>0</v>
      </c>
      <c r="F30" s="69">
        <f t="shared" si="2"/>
        <v>0</v>
      </c>
      <c r="G30" s="69">
        <f t="shared" si="2"/>
        <v>0</v>
      </c>
      <c r="H30" s="69">
        <f t="shared" si="2"/>
        <v>0</v>
      </c>
      <c r="I30" s="75"/>
    </row>
    <row r="31" spans="1:10" x14ac:dyDescent="0.2">
      <c r="A31" s="6"/>
      <c r="B31" s="30"/>
      <c r="C31" s="12"/>
      <c r="D31" s="8"/>
      <c r="E31" s="8"/>
      <c r="F31" s="8"/>
      <c r="G31" s="8"/>
      <c r="H31" s="9"/>
      <c r="I31" s="75"/>
    </row>
    <row r="32" spans="1:10" x14ac:dyDescent="0.2">
      <c r="A32" s="50" t="s">
        <v>90</v>
      </c>
      <c r="B32" s="8"/>
      <c r="C32" s="49" t="s">
        <v>115</v>
      </c>
      <c r="D32" s="12"/>
      <c r="E32" s="12"/>
      <c r="F32" s="12"/>
      <c r="G32" s="12"/>
      <c r="H32" s="15"/>
      <c r="I32" s="74"/>
    </row>
    <row r="33" spans="1:9" x14ac:dyDescent="0.2">
      <c r="A33" s="7" t="s">
        <v>100</v>
      </c>
      <c r="B33" s="8"/>
      <c r="C33" s="49" t="s">
        <v>103</v>
      </c>
      <c r="D33" s="12"/>
      <c r="E33" s="12"/>
      <c r="F33" s="12"/>
      <c r="G33" s="12"/>
      <c r="H33" s="15"/>
      <c r="I33" s="74"/>
    </row>
    <row r="34" spans="1:9" x14ac:dyDescent="0.2">
      <c r="A34" s="7" t="s">
        <v>99</v>
      </c>
      <c r="B34" s="8"/>
      <c r="C34" s="49" t="s">
        <v>94</v>
      </c>
      <c r="D34" s="12"/>
      <c r="E34" s="12"/>
      <c r="F34" s="12"/>
      <c r="G34" s="12"/>
      <c r="H34" s="15"/>
      <c r="I34" s="74"/>
    </row>
    <row r="35" spans="1:9" x14ac:dyDescent="0.2">
      <c r="A35" s="6" t="s">
        <v>216</v>
      </c>
      <c r="B35" s="20" t="s">
        <v>214</v>
      </c>
      <c r="C35" s="49">
        <v>0.19359999999999999</v>
      </c>
      <c r="D35" s="8"/>
      <c r="E35" s="8"/>
      <c r="F35" s="8"/>
      <c r="G35" s="8"/>
      <c r="H35" s="9"/>
      <c r="I35" s="75"/>
    </row>
    <row r="36" spans="1:9" x14ac:dyDescent="0.2">
      <c r="A36" s="6" t="s">
        <v>217</v>
      </c>
      <c r="B36" s="20"/>
      <c r="C36" s="49">
        <v>112.53</v>
      </c>
      <c r="D36" s="8"/>
      <c r="E36" s="8"/>
      <c r="F36" s="8"/>
      <c r="G36" s="8"/>
      <c r="H36" s="9"/>
      <c r="I36" s="75"/>
    </row>
    <row r="37" spans="1:9" x14ac:dyDescent="0.2">
      <c r="A37" s="190" t="s">
        <v>519</v>
      </c>
      <c r="B37" s="20" t="s">
        <v>557</v>
      </c>
      <c r="C37" s="271">
        <f>Inputs!C58</f>
        <v>0</v>
      </c>
      <c r="D37" s="271">
        <f>Inputs!D58</f>
        <v>0</v>
      </c>
      <c r="E37" s="271">
        <f>Inputs!E58</f>
        <v>0</v>
      </c>
      <c r="F37" s="271">
        <f>Inputs!F58</f>
        <v>0</v>
      </c>
      <c r="G37" s="271">
        <f>Inputs!G58</f>
        <v>0</v>
      </c>
      <c r="H37" s="271">
        <f>Inputs!H58</f>
        <v>0</v>
      </c>
      <c r="I37" s="299"/>
    </row>
    <row r="38" spans="1:9" x14ac:dyDescent="0.2">
      <c r="A38" s="290" t="s">
        <v>131</v>
      </c>
      <c r="B38" s="289" t="s">
        <v>88</v>
      </c>
      <c r="C38" s="284">
        <f t="shared" ref="C38:H38" si="3">C37*$C$35/$C$36</f>
        <v>0</v>
      </c>
      <c r="D38" s="284">
        <f t="shared" si="3"/>
        <v>0</v>
      </c>
      <c r="E38" s="284">
        <f t="shared" si="3"/>
        <v>0</v>
      </c>
      <c r="F38" s="284">
        <f t="shared" si="3"/>
        <v>0</v>
      </c>
      <c r="G38" s="284">
        <f t="shared" si="3"/>
        <v>0</v>
      </c>
      <c r="H38" s="284">
        <f t="shared" si="3"/>
        <v>0</v>
      </c>
      <c r="I38" s="75"/>
    </row>
    <row r="39" spans="1:9" x14ac:dyDescent="0.2">
      <c r="A39" s="6"/>
      <c r="B39" s="30"/>
      <c r="C39" s="8"/>
      <c r="D39" s="8"/>
      <c r="E39" s="8"/>
      <c r="F39" s="8"/>
      <c r="G39" s="8"/>
      <c r="H39" s="9"/>
      <c r="I39" s="75"/>
    </row>
    <row r="40" spans="1:9" ht="13.2" x14ac:dyDescent="0.25">
      <c r="A40" s="58" t="s">
        <v>132</v>
      </c>
      <c r="B40" s="64"/>
      <c r="C40" s="8"/>
      <c r="D40" s="8"/>
      <c r="E40" s="8"/>
      <c r="F40" s="8"/>
      <c r="G40" s="8"/>
      <c r="H40" s="9"/>
      <c r="I40" s="75"/>
    </row>
    <row r="41" spans="1:9" x14ac:dyDescent="0.2">
      <c r="A41" s="7" t="s">
        <v>99</v>
      </c>
      <c r="B41" s="8"/>
      <c r="C41" s="49" t="s">
        <v>97</v>
      </c>
      <c r="D41" s="12"/>
      <c r="E41" s="12"/>
      <c r="F41" s="12"/>
      <c r="G41" s="12"/>
      <c r="H41" s="15"/>
      <c r="I41" s="74"/>
    </row>
    <row r="42" spans="1:9" x14ac:dyDescent="0.2">
      <c r="A42" s="6" t="s">
        <v>219</v>
      </c>
      <c r="B42" s="20" t="s">
        <v>225</v>
      </c>
      <c r="C42" s="169">
        <v>8.9999999999999998E-4</v>
      </c>
      <c r="D42" s="8"/>
      <c r="E42" s="8"/>
      <c r="F42" s="8"/>
      <c r="G42" s="8"/>
      <c r="H42" s="9"/>
      <c r="I42" s="75"/>
    </row>
    <row r="43" spans="1:9" x14ac:dyDescent="0.2">
      <c r="A43" s="6" t="s">
        <v>219</v>
      </c>
      <c r="B43" s="20" t="s">
        <v>218</v>
      </c>
      <c r="C43" s="49">
        <v>0.3402</v>
      </c>
      <c r="D43" s="8"/>
      <c r="E43" s="8"/>
      <c r="F43" s="8"/>
      <c r="G43" s="8"/>
      <c r="H43" s="9"/>
      <c r="I43" s="75"/>
    </row>
    <row r="44" spans="1:9" x14ac:dyDescent="0.2">
      <c r="A44" s="7" t="s">
        <v>223</v>
      </c>
      <c r="B44" s="30"/>
      <c r="C44" s="12">
        <v>102.9</v>
      </c>
      <c r="D44" s="8"/>
      <c r="E44" s="8"/>
      <c r="F44" s="8"/>
      <c r="G44" s="8"/>
      <c r="H44" s="9"/>
      <c r="I44" s="75"/>
    </row>
    <row r="45" spans="1:9" x14ac:dyDescent="0.2">
      <c r="A45" s="190" t="s">
        <v>518</v>
      </c>
      <c r="B45" s="30"/>
      <c r="C45" s="195" t="str">
        <f>Inputs!C29</f>
        <v xml:space="preserve"> -</v>
      </c>
      <c r="D45" s="195" t="str">
        <f>Inputs!D29</f>
        <v xml:space="preserve"> -</v>
      </c>
      <c r="E45" s="195" t="str">
        <f>Inputs!E29</f>
        <v xml:space="preserve"> -</v>
      </c>
      <c r="F45" s="195" t="str">
        <f>Inputs!F29</f>
        <v xml:space="preserve"> -</v>
      </c>
      <c r="G45" s="195" t="str">
        <f>Inputs!G29</f>
        <v xml:space="preserve"> -</v>
      </c>
      <c r="H45" s="195" t="str">
        <f>Inputs!H29</f>
        <v xml:space="preserve"> -</v>
      </c>
      <c r="I45" s="75"/>
    </row>
    <row r="46" spans="1:9" x14ac:dyDescent="0.2">
      <c r="A46" s="7" t="s">
        <v>221</v>
      </c>
      <c r="B46" s="30"/>
      <c r="C46" s="307">
        <v>237.9</v>
      </c>
      <c r="D46" s="307">
        <v>237.9</v>
      </c>
      <c r="E46" s="307">
        <v>237.9</v>
      </c>
      <c r="F46" s="307">
        <v>237.9</v>
      </c>
      <c r="G46" s="307">
        <v>237.9</v>
      </c>
      <c r="H46" s="307">
        <v>237.9</v>
      </c>
      <c r="I46" s="299"/>
    </row>
    <row r="47" spans="1:9" x14ac:dyDescent="0.2">
      <c r="A47" s="7" t="s">
        <v>222</v>
      </c>
      <c r="B47" s="30"/>
      <c r="C47" s="12">
        <v>162.80000000000001</v>
      </c>
      <c r="D47" s="267"/>
      <c r="E47" s="267"/>
      <c r="F47" s="267"/>
      <c r="G47" s="267"/>
      <c r="H47" s="268"/>
      <c r="I47" s="75"/>
    </row>
    <row r="48" spans="1:9" x14ac:dyDescent="0.2">
      <c r="A48" s="6"/>
      <c r="B48" s="30"/>
      <c r="C48" s="12"/>
      <c r="D48" s="267"/>
      <c r="E48" s="267"/>
      <c r="F48" s="267"/>
      <c r="G48" s="267"/>
      <c r="H48" s="268"/>
      <c r="I48" s="75"/>
    </row>
    <row r="49" spans="1:9" x14ac:dyDescent="0.2">
      <c r="A49" s="286" t="s">
        <v>224</v>
      </c>
      <c r="B49" s="287" t="s">
        <v>225</v>
      </c>
      <c r="C49" s="288">
        <f t="shared" ref="C49:H49" si="4">$C$42*C46/$C$47</f>
        <v>1.3151719901719902E-3</v>
      </c>
      <c r="D49" s="288">
        <f t="shared" si="4"/>
        <v>1.3151719901719902E-3</v>
      </c>
      <c r="E49" s="288">
        <f t="shared" si="4"/>
        <v>1.3151719901719902E-3</v>
      </c>
      <c r="F49" s="288">
        <f t="shared" si="4"/>
        <v>1.3151719901719902E-3</v>
      </c>
      <c r="G49" s="288">
        <f t="shared" si="4"/>
        <v>1.3151719901719902E-3</v>
      </c>
      <c r="H49" s="288">
        <f t="shared" si="4"/>
        <v>1.3151719901719902E-3</v>
      </c>
      <c r="I49" s="75"/>
    </row>
    <row r="50" spans="1:9" x14ac:dyDescent="0.2">
      <c r="A50" s="286" t="s">
        <v>226</v>
      </c>
      <c r="B50" s="289" t="s">
        <v>218</v>
      </c>
      <c r="C50" s="288" t="e">
        <f>$C$43*C45/$C$44</f>
        <v>#VALUE!</v>
      </c>
      <c r="D50" s="288" t="e">
        <f>$C$43*$C$45/$C$44</f>
        <v>#VALUE!</v>
      </c>
      <c r="E50" s="288" t="e">
        <f>$C$43*$C$45/$C$44</f>
        <v>#VALUE!</v>
      </c>
      <c r="F50" s="288" t="e">
        <f>$C$43*$C$45/$C$44</f>
        <v>#VALUE!</v>
      </c>
      <c r="G50" s="288" t="e">
        <f>$C$43*$C$45/$C$44</f>
        <v>#VALUE!</v>
      </c>
      <c r="H50" s="288" t="e">
        <f>$C$43*$C$45/$C$44</f>
        <v>#VALUE!</v>
      </c>
      <c r="I50" s="75"/>
    </row>
    <row r="51" spans="1:9" x14ac:dyDescent="0.2">
      <c r="A51" s="7"/>
      <c r="B51" s="2"/>
      <c r="C51" s="68"/>
      <c r="D51" s="68"/>
      <c r="E51" s="68"/>
      <c r="F51" s="68"/>
      <c r="G51" s="68"/>
      <c r="H51" s="270"/>
      <c r="I51" s="75"/>
    </row>
    <row r="52" spans="1:9" x14ac:dyDescent="0.2">
      <c r="A52" s="6" t="s">
        <v>427</v>
      </c>
      <c r="C52" s="8"/>
      <c r="D52" s="8"/>
      <c r="E52" s="8"/>
      <c r="F52" s="8"/>
      <c r="G52" s="8"/>
      <c r="H52" s="9"/>
      <c r="I52" s="75"/>
    </row>
    <row r="53" spans="1:9" ht="25.2" x14ac:dyDescent="0.2">
      <c r="A53" s="272" t="s">
        <v>476</v>
      </c>
      <c r="B53" s="273" t="s">
        <v>471</v>
      </c>
      <c r="C53" s="274">
        <v>12500</v>
      </c>
      <c r="D53" s="8"/>
      <c r="E53" s="8"/>
      <c r="F53" s="8"/>
      <c r="G53" s="8"/>
      <c r="H53" s="9"/>
      <c r="I53" s="75"/>
    </row>
    <row r="54" spans="1:9" x14ac:dyDescent="0.2">
      <c r="A54" s="111" t="s">
        <v>477</v>
      </c>
      <c r="B54" s="36" t="s">
        <v>478</v>
      </c>
      <c r="C54" s="12">
        <v>13.2</v>
      </c>
      <c r="D54" s="8"/>
      <c r="E54" s="8"/>
      <c r="F54" s="8"/>
      <c r="G54" s="8"/>
      <c r="H54" s="9"/>
      <c r="I54" s="75"/>
    </row>
    <row r="55" spans="1:9" x14ac:dyDescent="0.2">
      <c r="A55" s="111" t="s">
        <v>479</v>
      </c>
      <c r="B55" s="36" t="s">
        <v>478</v>
      </c>
      <c r="C55" s="195">
        <f>Inputs!C7</f>
        <v>306</v>
      </c>
      <c r="D55" s="195">
        <f>Inputs!D7</f>
        <v>306</v>
      </c>
      <c r="E55" s="195">
        <f>Inputs!E7</f>
        <v>306</v>
      </c>
      <c r="F55" s="195">
        <f>Inputs!F7</f>
        <v>306</v>
      </c>
      <c r="G55" s="195">
        <f>Inputs!G7</f>
        <v>306</v>
      </c>
      <c r="H55" s="195">
        <f>Inputs!H7</f>
        <v>306</v>
      </c>
      <c r="I55" s="75"/>
    </row>
    <row r="56" spans="1:9" x14ac:dyDescent="0.2">
      <c r="A56" s="7" t="s">
        <v>480</v>
      </c>
      <c r="C56" s="115">
        <v>37</v>
      </c>
      <c r="D56" s="115">
        <v>37</v>
      </c>
      <c r="E56" s="115">
        <v>37</v>
      </c>
      <c r="F56" s="115">
        <v>37</v>
      </c>
      <c r="G56" s="115">
        <v>37</v>
      </c>
      <c r="H56" s="115">
        <v>37</v>
      </c>
      <c r="I56" s="75"/>
    </row>
    <row r="57" spans="1:9" x14ac:dyDescent="0.2">
      <c r="A57" s="7" t="s">
        <v>481</v>
      </c>
      <c r="B57" s="36" t="s">
        <v>482</v>
      </c>
      <c r="C57" s="275">
        <f t="shared" ref="C57:H57" si="5">$C$53*(C55/$C$54)*C56/1000000</f>
        <v>10.72159090909091</v>
      </c>
      <c r="D57" s="275">
        <f t="shared" si="5"/>
        <v>10.72159090909091</v>
      </c>
      <c r="E57" s="275">
        <f t="shared" si="5"/>
        <v>10.72159090909091</v>
      </c>
      <c r="F57" s="275">
        <f t="shared" si="5"/>
        <v>10.72159090909091</v>
      </c>
      <c r="G57" s="275">
        <f t="shared" si="5"/>
        <v>10.72159090909091</v>
      </c>
      <c r="H57" s="275">
        <f t="shared" si="5"/>
        <v>10.72159090909091</v>
      </c>
      <c r="I57" s="75"/>
    </row>
    <row r="58" spans="1:9" ht="12.75" customHeight="1" x14ac:dyDescent="0.3">
      <c r="A58" s="59"/>
      <c r="B58" s="65"/>
      <c r="C58" s="8"/>
      <c r="D58" s="8"/>
      <c r="E58" s="8"/>
      <c r="F58" s="8"/>
      <c r="G58" s="8"/>
      <c r="H58" s="9"/>
      <c r="I58" s="75"/>
    </row>
    <row r="59" spans="1:9" ht="12.75" customHeight="1" x14ac:dyDescent="0.25">
      <c r="A59" s="55" t="s">
        <v>189</v>
      </c>
      <c r="B59" s="61"/>
      <c r="C59" s="47"/>
      <c r="D59" s="47"/>
      <c r="E59" s="47"/>
      <c r="F59" s="47"/>
      <c r="G59" s="47"/>
      <c r="H59" s="48"/>
      <c r="I59" s="75"/>
    </row>
    <row r="60" spans="1:9" ht="12.75" customHeight="1" x14ac:dyDescent="0.25">
      <c r="A60" s="57" t="s">
        <v>190</v>
      </c>
      <c r="B60" s="20" t="s">
        <v>60</v>
      </c>
      <c r="C60" s="197"/>
      <c r="D60" s="197"/>
      <c r="E60" s="197"/>
      <c r="F60" s="197"/>
      <c r="G60" s="20"/>
      <c r="H60" s="15"/>
      <c r="I60" s="75"/>
    </row>
    <row r="61" spans="1:9" ht="12.75" customHeight="1" x14ac:dyDescent="0.25">
      <c r="A61" s="291" t="s">
        <v>191</v>
      </c>
      <c r="B61" s="289" t="s">
        <v>60</v>
      </c>
      <c r="C61" s="285">
        <v>7.19</v>
      </c>
      <c r="D61" s="285">
        <v>7.19</v>
      </c>
      <c r="E61" s="285">
        <v>7.19</v>
      </c>
      <c r="F61" s="285">
        <v>7.19</v>
      </c>
      <c r="G61" s="285">
        <v>7.19</v>
      </c>
      <c r="H61" s="285">
        <v>7.19</v>
      </c>
      <c r="I61" s="240"/>
    </row>
    <row r="62" spans="1:9" ht="12.75" customHeight="1" x14ac:dyDescent="0.25">
      <c r="A62" s="57"/>
      <c r="B62" s="20"/>
      <c r="C62" s="83"/>
      <c r="D62" s="83"/>
      <c r="E62" s="83"/>
      <c r="F62" s="83"/>
      <c r="G62" s="20"/>
      <c r="H62" s="15"/>
      <c r="I62" s="75"/>
    </row>
    <row r="63" spans="1:9" ht="12.75" customHeight="1" x14ac:dyDescent="0.25">
      <c r="A63" s="55" t="s">
        <v>145</v>
      </c>
      <c r="B63" s="89" t="s">
        <v>97</v>
      </c>
      <c r="C63" s="301">
        <f>Inputs!C21</f>
        <v>313.51760000000002</v>
      </c>
      <c r="D63" s="301">
        <f>Inputs!D21</f>
        <v>313.51760000000002</v>
      </c>
      <c r="E63" s="301">
        <f>Inputs!E21</f>
        <v>313.51760000000002</v>
      </c>
      <c r="F63" s="301">
        <f>Inputs!F21</f>
        <v>313.51760000000002</v>
      </c>
      <c r="G63" s="301">
        <f>Inputs!G21</f>
        <v>313.51760000000002</v>
      </c>
      <c r="H63" s="301">
        <f>Inputs!H21</f>
        <v>313.51760000000002</v>
      </c>
      <c r="I63" s="299"/>
    </row>
    <row r="64" spans="1:9" ht="12.75" customHeight="1" x14ac:dyDescent="0.25">
      <c r="A64" s="58"/>
      <c r="B64" s="79" t="s">
        <v>95</v>
      </c>
      <c r="C64" s="301">
        <f>Inputs!C22</f>
        <v>0</v>
      </c>
      <c r="D64" s="301">
        <f>Inputs!D22</f>
        <v>0</v>
      </c>
      <c r="E64" s="301">
        <f>Inputs!E22</f>
        <v>0</v>
      </c>
      <c r="F64" s="301">
        <f>Inputs!F22</f>
        <v>0</v>
      </c>
      <c r="G64" s="301">
        <f>Inputs!G22</f>
        <v>0</v>
      </c>
      <c r="H64" s="301">
        <f>Inputs!H22</f>
        <v>0</v>
      </c>
      <c r="I64" s="299"/>
    </row>
    <row r="65" spans="1:10" ht="13.2" thickBot="1" x14ac:dyDescent="0.25">
      <c r="A65" s="6"/>
      <c r="B65" s="30"/>
      <c r="C65" s="8"/>
      <c r="D65" s="8"/>
      <c r="E65" s="8"/>
      <c r="F65" s="8"/>
      <c r="G65" s="8"/>
      <c r="H65" s="9"/>
      <c r="I65" s="75"/>
    </row>
    <row r="66" spans="1:10" x14ac:dyDescent="0.2">
      <c r="A66" s="45" t="s">
        <v>148</v>
      </c>
      <c r="B66" s="91" t="s">
        <v>60</v>
      </c>
      <c r="C66" s="293">
        <f t="shared" ref="C66:H66" si="6">(C17+C16*C63+C21*C64)*C69</f>
        <v>0</v>
      </c>
      <c r="D66" s="293">
        <f t="shared" si="6"/>
        <v>0</v>
      </c>
      <c r="E66" s="293">
        <f t="shared" si="6"/>
        <v>0</v>
      </c>
      <c r="F66" s="293">
        <f t="shared" si="6"/>
        <v>0</v>
      </c>
      <c r="G66" s="293">
        <f t="shared" si="6"/>
        <v>0</v>
      </c>
      <c r="H66" s="293">
        <f t="shared" si="6"/>
        <v>0</v>
      </c>
      <c r="I66" s="304"/>
      <c r="J66" s="70"/>
    </row>
    <row r="67" spans="1:10" x14ac:dyDescent="0.2">
      <c r="A67" s="6" t="s">
        <v>149</v>
      </c>
      <c r="B67" s="20" t="s">
        <v>60</v>
      </c>
      <c r="C67" s="294" t="e">
        <f t="shared" ref="C67:H67" si="7">((C30+C38+C49*C63+C50*C64)*C69)+C61+C57</f>
        <v>#VALUE!</v>
      </c>
      <c r="D67" s="294" t="e">
        <f t="shared" si="7"/>
        <v>#VALUE!</v>
      </c>
      <c r="E67" s="294" t="e">
        <f t="shared" si="7"/>
        <v>#VALUE!</v>
      </c>
      <c r="F67" s="294" t="e">
        <f t="shared" si="7"/>
        <v>#VALUE!</v>
      </c>
      <c r="G67" s="294" t="e">
        <f t="shared" si="7"/>
        <v>#VALUE!</v>
      </c>
      <c r="H67" s="294" t="e">
        <f t="shared" si="7"/>
        <v>#VALUE!</v>
      </c>
      <c r="I67" s="304"/>
    </row>
    <row r="68" spans="1:10" x14ac:dyDescent="0.2">
      <c r="A68" s="254" t="s">
        <v>150</v>
      </c>
      <c r="B68" s="79" t="s">
        <v>39</v>
      </c>
      <c r="C68" s="80">
        <v>60</v>
      </c>
      <c r="D68" s="80">
        <v>60</v>
      </c>
      <c r="E68" s="80">
        <v>60</v>
      </c>
      <c r="F68" s="80">
        <v>60</v>
      </c>
      <c r="G68" s="80">
        <v>60</v>
      </c>
      <c r="H68" s="81">
        <v>60</v>
      </c>
      <c r="I68" s="75"/>
    </row>
    <row r="69" spans="1:10" x14ac:dyDescent="0.2">
      <c r="A69" s="239" t="s">
        <v>516</v>
      </c>
      <c r="B69" s="79" t="s">
        <v>56</v>
      </c>
      <c r="C69" s="330">
        <f>DispatchSchedule!F44</f>
        <v>0</v>
      </c>
      <c r="D69" s="330">
        <f>DispatchSchedule!G44</f>
        <v>0</v>
      </c>
      <c r="E69" s="330">
        <f>DispatchSchedule!H44</f>
        <v>0</v>
      </c>
      <c r="F69" s="330">
        <f>DispatchSchedule!I44</f>
        <v>0</v>
      </c>
      <c r="G69" s="330">
        <f>DispatchSchedule!J44</f>
        <v>0</v>
      </c>
      <c r="H69" s="330">
        <f>DispatchSchedule!K44</f>
        <v>0</v>
      </c>
      <c r="I69" s="305"/>
    </row>
    <row r="70" spans="1:10" ht="13.8" thickBot="1" x14ac:dyDescent="0.3">
      <c r="A70" s="60" t="s">
        <v>135</v>
      </c>
      <c r="B70" s="76" t="s">
        <v>88</v>
      </c>
      <c r="C70" s="295">
        <v>0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75"/>
    </row>
    <row r="71" spans="1:10" x14ac:dyDescent="0.2">
      <c r="C71" s="165"/>
      <c r="D71" s="165"/>
      <c r="E71" s="165"/>
      <c r="F71" s="165"/>
      <c r="G71" s="165"/>
      <c r="H71" s="165"/>
    </row>
    <row r="72" spans="1:10" x14ac:dyDescent="0.2">
      <c r="A72" s="183" t="s">
        <v>467</v>
      </c>
    </row>
    <row r="73" spans="1:10" x14ac:dyDescent="0.2">
      <c r="A73" s="192" t="s">
        <v>628</v>
      </c>
      <c r="B73" s="279"/>
      <c r="C73" s="279"/>
      <c r="D73" s="279"/>
      <c r="E73" s="279"/>
      <c r="F73" s="279"/>
      <c r="G73" s="279"/>
      <c r="H73" s="279"/>
    </row>
    <row r="74" spans="1:10" x14ac:dyDescent="0.2">
      <c r="A74" s="192" t="s">
        <v>569</v>
      </c>
    </row>
    <row r="75" spans="1:10" x14ac:dyDescent="0.2">
      <c r="A75" s="192" t="s">
        <v>568</v>
      </c>
    </row>
  </sheetData>
  <phoneticPr fontId="54" type="noConversion"/>
  <dataValidations count="3">
    <dataValidation type="list" allowBlank="1" showInputMessage="1" showErrorMessage="1" sqref="B63:B64 C41 C26 C19 C9 C34" xr:uid="{00000000-0002-0000-2400-000000000000}">
      <formula1>Currency</formula1>
    </dataValidation>
    <dataValidation type="list" allowBlank="1" showInputMessage="1" showErrorMessage="1" sqref="C32 C24" xr:uid="{00000000-0002-0000-2400-000001000000}">
      <formula1>Combustible</formula1>
    </dataValidation>
    <dataValidation type="list" allowBlank="1" showInputMessage="1" showErrorMessage="1" sqref="C33 C25" xr:uid="{00000000-0002-0000-2400-000002000000}">
      <formula1>Units</formula1>
    </dataValidation>
  </dataValidations>
  <pageMargins left="0.23" right="0.17" top="0.41" bottom="0.18" header="0.18" footer="0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>
    <tabColor rgb="FF002060"/>
  </sheetPr>
  <dimension ref="A1:J83"/>
  <sheetViews>
    <sheetView showGridLines="0" topLeftCell="A55" zoomScale="85" workbookViewId="0">
      <selection activeCell="J18" sqref="J18"/>
    </sheetView>
  </sheetViews>
  <sheetFormatPr defaultColWidth="11" defaultRowHeight="12.6" x14ac:dyDescent="0.2"/>
  <cols>
    <col min="1" max="1" width="40.6328125" customWidth="1"/>
    <col min="2" max="2" width="10" customWidth="1"/>
    <col min="3" max="8" width="16.26953125" bestFit="1" customWidth="1"/>
  </cols>
  <sheetData>
    <row r="1" spans="1:10" ht="24.6" x14ac:dyDescent="0.4">
      <c r="A1" s="53" t="s">
        <v>207</v>
      </c>
      <c r="B1" s="53"/>
      <c r="I1" s="282"/>
    </row>
    <row r="2" spans="1:10" ht="25.2" thickBot="1" x14ac:dyDescent="0.45">
      <c r="A2" s="53"/>
      <c r="B2" s="53"/>
      <c r="D2" s="298"/>
      <c r="E2" s="298"/>
      <c r="F2" s="298"/>
      <c r="G2" s="298"/>
      <c r="H2" s="298"/>
      <c r="I2" s="282"/>
    </row>
    <row r="3" spans="1:10" x14ac:dyDescent="0.2">
      <c r="A3" s="46" t="s">
        <v>27</v>
      </c>
      <c r="B3" s="66" t="s">
        <v>36</v>
      </c>
      <c r="C3" s="853">
        <f>DispatchSchedule!F3</f>
        <v>46023</v>
      </c>
      <c r="D3" s="853">
        <f>DispatchSchedule!G3</f>
        <v>46054</v>
      </c>
      <c r="E3" s="853">
        <f>DispatchSchedule!H3</f>
        <v>46082</v>
      </c>
      <c r="F3" s="853">
        <f>DispatchSchedule!I3</f>
        <v>46113</v>
      </c>
      <c r="G3" s="853">
        <f>DispatchSchedule!J3</f>
        <v>46143</v>
      </c>
      <c r="H3" s="853">
        <f>DispatchSchedule!K3</f>
        <v>46174</v>
      </c>
      <c r="I3" s="75"/>
    </row>
    <row r="4" spans="1:10" ht="13.2" x14ac:dyDescent="0.25">
      <c r="A4" s="55" t="s">
        <v>136</v>
      </c>
      <c r="B4" s="61"/>
      <c r="C4" s="614"/>
      <c r="D4" s="47"/>
      <c r="E4" s="47"/>
      <c r="F4" s="47"/>
      <c r="G4" s="47"/>
      <c r="H4" s="48"/>
      <c r="I4" s="75"/>
    </row>
    <row r="5" spans="1:10" x14ac:dyDescent="0.2">
      <c r="A5" s="6" t="s">
        <v>205</v>
      </c>
      <c r="B5" s="20"/>
      <c r="C5" s="169">
        <v>0.69799999999999995</v>
      </c>
      <c r="D5" s="8"/>
      <c r="E5" s="8"/>
      <c r="F5" s="8"/>
      <c r="G5" s="8"/>
      <c r="H5" s="9"/>
    </row>
    <row r="6" spans="1:10" x14ac:dyDescent="0.2">
      <c r="A6" s="6"/>
      <c r="B6" s="30"/>
      <c r="C6" s="8"/>
      <c r="D6" s="8"/>
      <c r="E6" s="8"/>
      <c r="F6" s="8"/>
      <c r="G6" s="8"/>
      <c r="H6" s="9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I7" s="75"/>
    </row>
    <row r="8" spans="1:10" ht="13.2" x14ac:dyDescent="0.25">
      <c r="A8" s="56" t="s">
        <v>206</v>
      </c>
      <c r="B8" s="62"/>
      <c r="C8" s="8"/>
      <c r="D8" s="8"/>
      <c r="E8" s="8"/>
      <c r="F8" s="8"/>
      <c r="G8" s="8"/>
      <c r="H8" s="9"/>
      <c r="I8" s="75"/>
      <c r="J8" s="2"/>
    </row>
    <row r="9" spans="1:10" ht="13.2" x14ac:dyDescent="0.25">
      <c r="A9" s="57" t="s">
        <v>99</v>
      </c>
      <c r="B9" s="63"/>
      <c r="C9" s="49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6" t="s">
        <v>124</v>
      </c>
      <c r="B10" s="20" t="s">
        <v>225</v>
      </c>
      <c r="C10" s="49">
        <v>8.3000000000000001E-4</v>
      </c>
      <c r="D10" s="8"/>
      <c r="E10" s="8"/>
      <c r="F10" s="8"/>
      <c r="G10" s="8"/>
      <c r="H10" s="9"/>
      <c r="I10" s="75"/>
    </row>
    <row r="11" spans="1:10" x14ac:dyDescent="0.2">
      <c r="A11" s="6" t="s">
        <v>151</v>
      </c>
      <c r="B11" s="30"/>
      <c r="C11" s="49">
        <v>179.8</v>
      </c>
      <c r="D11" s="8"/>
      <c r="E11" s="8"/>
      <c r="F11" s="8"/>
      <c r="G11" s="8"/>
      <c r="H11" s="9"/>
      <c r="I11" s="75"/>
    </row>
    <row r="12" spans="1:10" x14ac:dyDescent="0.2">
      <c r="A12" s="6" t="s">
        <v>152</v>
      </c>
      <c r="B12" s="30"/>
      <c r="C12" s="194">
        <f>Inputs!C27</f>
        <v>324.45999999999998</v>
      </c>
      <c r="D12" s="194">
        <f>Inputs!D27</f>
        <v>324.12</v>
      </c>
      <c r="E12" s="194">
        <f>Inputs!E27</f>
        <v>324.05</v>
      </c>
      <c r="F12" s="194">
        <f>Inputs!F27</f>
        <v>324.05</v>
      </c>
      <c r="G12" s="194">
        <f>Inputs!G27</f>
        <v>324.05</v>
      </c>
      <c r="H12" s="194">
        <f>Inputs!H27</f>
        <v>324.05</v>
      </c>
      <c r="I12" s="299"/>
    </row>
    <row r="13" spans="1:10" x14ac:dyDescent="0.2">
      <c r="A13" s="6" t="s">
        <v>126</v>
      </c>
      <c r="B13" s="20" t="s">
        <v>225</v>
      </c>
      <c r="C13" s="67">
        <f t="shared" ref="C13:H13" si="0">$C$10*C12/$C$11</f>
        <v>1.4977853170189098E-3</v>
      </c>
      <c r="D13" s="67">
        <f t="shared" si="0"/>
        <v>1.4962157953281425E-3</v>
      </c>
      <c r="E13" s="67">
        <f t="shared" si="0"/>
        <v>1.495892658509455E-3</v>
      </c>
      <c r="F13" s="67">
        <f t="shared" si="0"/>
        <v>1.495892658509455E-3</v>
      </c>
      <c r="G13" s="67">
        <f t="shared" si="0"/>
        <v>1.495892658509455E-3</v>
      </c>
      <c r="H13" s="67">
        <f t="shared" si="0"/>
        <v>1.495892658509455E-3</v>
      </c>
      <c r="I13" s="75"/>
    </row>
    <row r="14" spans="1:10" x14ac:dyDescent="0.2">
      <c r="A14" s="6"/>
      <c r="B14" s="30"/>
      <c r="C14" s="12"/>
      <c r="D14" s="12"/>
      <c r="E14" s="12"/>
      <c r="F14" s="12"/>
      <c r="G14" s="12"/>
      <c r="H14" s="15"/>
      <c r="I14" s="75"/>
    </row>
    <row r="15" spans="1:10" ht="13.2" x14ac:dyDescent="0.25">
      <c r="A15" s="56" t="s">
        <v>127</v>
      </c>
      <c r="B15" s="62"/>
      <c r="C15" s="8"/>
      <c r="D15" s="8"/>
      <c r="E15" s="8"/>
      <c r="F15" s="8"/>
      <c r="G15" s="8"/>
      <c r="H15" s="9"/>
      <c r="I15" s="75"/>
    </row>
    <row r="16" spans="1:10" ht="13.2" x14ac:dyDescent="0.25">
      <c r="A16" s="57" t="s">
        <v>99</v>
      </c>
      <c r="C16" s="49" t="s">
        <v>97</v>
      </c>
      <c r="D16" s="8"/>
      <c r="E16" s="8"/>
      <c r="F16" s="8"/>
      <c r="G16" s="8"/>
      <c r="H16" s="9"/>
      <c r="I16" s="75"/>
      <c r="J16" s="2"/>
    </row>
    <row r="17" spans="1:9" x14ac:dyDescent="0.2">
      <c r="A17" s="6" t="s">
        <v>124</v>
      </c>
      <c r="B17" s="20" t="s">
        <v>225</v>
      </c>
      <c r="C17" s="49">
        <v>1.44E-2</v>
      </c>
      <c r="D17" s="49">
        <v>1.44E-2</v>
      </c>
      <c r="E17" s="49">
        <v>1.44E-2</v>
      </c>
      <c r="F17" s="49">
        <v>1.44E-2</v>
      </c>
      <c r="G17" s="49">
        <v>1.44E-2</v>
      </c>
      <c r="H17" s="49">
        <v>1.44E-2</v>
      </c>
      <c r="I17" s="75"/>
    </row>
    <row r="18" spans="1:9" x14ac:dyDescent="0.2">
      <c r="A18" s="6" t="s">
        <v>128</v>
      </c>
      <c r="B18" s="20" t="s">
        <v>225</v>
      </c>
      <c r="C18" s="169">
        <v>1.44E-2</v>
      </c>
      <c r="D18" s="169">
        <v>1.44E-2</v>
      </c>
      <c r="E18" s="169">
        <v>1.44E-2</v>
      </c>
      <c r="F18" s="169">
        <v>1.44E-2</v>
      </c>
      <c r="G18" s="169">
        <v>1.44E-2</v>
      </c>
      <c r="H18" s="857">
        <v>1.44E-2</v>
      </c>
      <c r="I18" s="75"/>
    </row>
    <row r="19" spans="1:9" x14ac:dyDescent="0.2">
      <c r="A19" s="6"/>
      <c r="B19" s="30"/>
      <c r="C19" s="8"/>
      <c r="D19" s="8"/>
      <c r="E19" s="8"/>
      <c r="F19" s="8"/>
      <c r="G19" s="8"/>
      <c r="H19" s="9"/>
      <c r="I19" s="75"/>
    </row>
    <row r="20" spans="1:9" ht="13.2" x14ac:dyDescent="0.25">
      <c r="A20" s="55" t="s">
        <v>24</v>
      </c>
      <c r="B20" s="61"/>
      <c r="C20" s="47"/>
      <c r="D20" s="47"/>
      <c r="E20" s="47"/>
      <c r="F20" s="47"/>
      <c r="G20" s="47"/>
      <c r="H20" s="48"/>
      <c r="I20" s="75"/>
    </row>
    <row r="21" spans="1:9" x14ac:dyDescent="0.2">
      <c r="A21" s="50" t="s">
        <v>89</v>
      </c>
      <c r="B21" s="8"/>
      <c r="C21" s="49" t="s">
        <v>114</v>
      </c>
      <c r="D21" s="12"/>
      <c r="E21" s="12"/>
      <c r="F21" s="12"/>
      <c r="G21" s="12"/>
      <c r="H21" s="15"/>
      <c r="I21" s="74"/>
    </row>
    <row r="22" spans="1:9" x14ac:dyDescent="0.2">
      <c r="A22" s="7" t="s">
        <v>100</v>
      </c>
      <c r="B22" s="8"/>
      <c r="C22" s="49" t="s">
        <v>103</v>
      </c>
      <c r="D22" s="12"/>
      <c r="E22" s="12"/>
      <c r="F22" s="12"/>
      <c r="G22" s="12"/>
      <c r="H22" s="15"/>
      <c r="I22" s="74"/>
    </row>
    <row r="23" spans="1:9" x14ac:dyDescent="0.2">
      <c r="A23" s="7" t="s">
        <v>99</v>
      </c>
      <c r="B23" s="8"/>
      <c r="C23" s="49" t="s">
        <v>94</v>
      </c>
      <c r="D23" s="12"/>
      <c r="E23" s="12"/>
      <c r="F23" s="12"/>
      <c r="G23" s="12"/>
      <c r="H23" s="15"/>
      <c r="I23" s="74"/>
    </row>
    <row r="24" spans="1:9" x14ac:dyDescent="0.2">
      <c r="A24" s="6" t="s">
        <v>144</v>
      </c>
      <c r="B24" s="20" t="s">
        <v>417</v>
      </c>
      <c r="C24" s="49">
        <v>0.20599999999999999</v>
      </c>
      <c r="D24" s="8"/>
      <c r="E24" s="8"/>
      <c r="F24" s="8"/>
      <c r="G24" s="8"/>
      <c r="H24" s="9"/>
      <c r="I24" s="75"/>
    </row>
    <row r="25" spans="1:9" x14ac:dyDescent="0.2">
      <c r="A25" s="190" t="s">
        <v>469</v>
      </c>
      <c r="B25" s="191" t="s">
        <v>557</v>
      </c>
      <c r="C25" s="271">
        <f>Inputs!C51</f>
        <v>279</v>
      </c>
      <c r="D25" s="271">
        <f>Inputs!D51</f>
        <v>277</v>
      </c>
      <c r="E25" s="271">
        <f>Inputs!E51</f>
        <v>277</v>
      </c>
      <c r="F25" s="271">
        <f>Inputs!F51</f>
        <v>382</v>
      </c>
      <c r="G25" s="271">
        <f>Inputs!G51</f>
        <v>382</v>
      </c>
      <c r="H25" s="271">
        <f>Inputs!H51</f>
        <v>382</v>
      </c>
      <c r="I25" s="280"/>
    </row>
    <row r="26" spans="1:9" x14ac:dyDescent="0.2">
      <c r="A26" s="6" t="s">
        <v>25</v>
      </c>
      <c r="C26" s="115">
        <v>1.0277014906265753</v>
      </c>
      <c r="D26" s="115">
        <v>1.0277014906265753</v>
      </c>
      <c r="E26" s="115">
        <v>1.0277014906265753</v>
      </c>
      <c r="F26" s="115">
        <v>1.0277014906265753</v>
      </c>
      <c r="G26" s="115">
        <v>1.0277014906265753</v>
      </c>
      <c r="H26" s="115">
        <v>1.0277014906265753</v>
      </c>
      <c r="I26" s="75"/>
    </row>
    <row r="27" spans="1:9" x14ac:dyDescent="0.2">
      <c r="A27" s="6" t="s">
        <v>144</v>
      </c>
      <c r="B27" s="20" t="s">
        <v>88</v>
      </c>
      <c r="C27" s="69">
        <f t="shared" ref="C27:H27" si="1">C25*$C$24*$C$26</f>
        <v>59.06611547227179</v>
      </c>
      <c r="D27" s="69">
        <f t="shared" si="1"/>
        <v>58.642702458133641</v>
      </c>
      <c r="E27" s="69">
        <f t="shared" si="1"/>
        <v>58.642702458133641</v>
      </c>
      <c r="F27" s="69">
        <f t="shared" si="1"/>
        <v>80.871885700386457</v>
      </c>
      <c r="G27" s="69">
        <f t="shared" si="1"/>
        <v>80.871885700386457</v>
      </c>
      <c r="H27" s="69">
        <f t="shared" si="1"/>
        <v>80.871885700386457</v>
      </c>
      <c r="I27" s="75"/>
    </row>
    <row r="28" spans="1:9" x14ac:dyDescent="0.2">
      <c r="A28" s="6"/>
      <c r="B28" s="30"/>
      <c r="C28" s="12"/>
      <c r="D28" s="8"/>
      <c r="E28" s="8"/>
      <c r="F28" s="8"/>
      <c r="G28" s="8"/>
      <c r="H28" s="9"/>
      <c r="I28" s="75"/>
    </row>
    <row r="29" spans="1:9" x14ac:dyDescent="0.2">
      <c r="A29" s="50" t="s">
        <v>90</v>
      </c>
      <c r="B29" s="8"/>
      <c r="C29" s="49" t="s">
        <v>118</v>
      </c>
      <c r="D29" s="12"/>
      <c r="E29" s="12"/>
      <c r="F29" s="12"/>
      <c r="G29" s="12"/>
      <c r="H29" s="15"/>
      <c r="I29" s="74"/>
    </row>
    <row r="30" spans="1:9" x14ac:dyDescent="0.2">
      <c r="A30" s="7" t="s">
        <v>100</v>
      </c>
      <c r="B30" s="8"/>
      <c r="C30" s="49" t="s">
        <v>103</v>
      </c>
      <c r="D30" s="12"/>
      <c r="E30" s="12"/>
      <c r="F30" s="12"/>
      <c r="G30" s="12"/>
      <c r="H30" s="15"/>
      <c r="I30" s="74"/>
    </row>
    <row r="31" spans="1:9" x14ac:dyDescent="0.2">
      <c r="A31" s="7" t="s">
        <v>99</v>
      </c>
      <c r="B31" s="8"/>
      <c r="C31" s="49" t="s">
        <v>94</v>
      </c>
      <c r="D31" s="12"/>
      <c r="E31" s="12"/>
      <c r="F31" s="12"/>
      <c r="G31" s="12"/>
      <c r="H31" s="15"/>
      <c r="I31" s="74"/>
    </row>
    <row r="32" spans="1:9" ht="11.25" customHeight="1" x14ac:dyDescent="0.2">
      <c r="A32" s="6" t="s">
        <v>129</v>
      </c>
      <c r="B32" s="20" t="s">
        <v>417</v>
      </c>
      <c r="C32" s="49">
        <v>0</v>
      </c>
      <c r="D32" s="8"/>
      <c r="E32" s="8"/>
      <c r="F32" s="8"/>
      <c r="G32" s="8"/>
      <c r="H32" s="9"/>
      <c r="I32" s="75"/>
    </row>
    <row r="33" spans="1:9" x14ac:dyDescent="0.2">
      <c r="A33" s="6" t="s">
        <v>130</v>
      </c>
      <c r="B33" s="20" t="s">
        <v>557</v>
      </c>
      <c r="C33" s="69">
        <f>Inputs!C57</f>
        <v>0</v>
      </c>
      <c r="D33" s="69">
        <f>Inputs!D57</f>
        <v>0</v>
      </c>
      <c r="E33" s="69">
        <f>Inputs!E57</f>
        <v>0</v>
      </c>
      <c r="F33" s="69">
        <f>Inputs!F57</f>
        <v>0</v>
      </c>
      <c r="G33" s="69">
        <f>Inputs!G57</f>
        <v>0</v>
      </c>
      <c r="H33" s="69">
        <f>Inputs!H57</f>
        <v>0</v>
      </c>
      <c r="I33" s="299"/>
    </row>
    <row r="34" spans="1:9" x14ac:dyDescent="0.2">
      <c r="A34" s="6" t="s">
        <v>131</v>
      </c>
      <c r="B34" s="20" t="s">
        <v>88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5">
        <v>0</v>
      </c>
      <c r="I34" s="75"/>
    </row>
    <row r="35" spans="1:9" x14ac:dyDescent="0.2">
      <c r="A35" s="6"/>
      <c r="B35" s="30"/>
      <c r="C35" s="8"/>
      <c r="D35" s="8"/>
      <c r="E35" s="8"/>
      <c r="F35" s="8"/>
      <c r="G35" s="8"/>
      <c r="H35" s="9"/>
      <c r="I35" s="75"/>
    </row>
    <row r="36" spans="1:9" x14ac:dyDescent="0.2">
      <c r="A36" s="50" t="s">
        <v>92</v>
      </c>
      <c r="B36" s="8"/>
      <c r="C36" s="49" t="s">
        <v>82</v>
      </c>
      <c r="D36" s="12"/>
      <c r="E36" s="12"/>
      <c r="F36" s="12"/>
      <c r="G36" s="12"/>
      <c r="H36" s="15"/>
      <c r="I36" s="74"/>
    </row>
    <row r="37" spans="1:9" x14ac:dyDescent="0.2">
      <c r="A37" s="7" t="s">
        <v>100</v>
      </c>
      <c r="B37" s="8"/>
      <c r="C37" s="49" t="s">
        <v>102</v>
      </c>
      <c r="D37" s="12"/>
      <c r="E37" s="12"/>
      <c r="F37" s="12"/>
      <c r="G37" s="12"/>
      <c r="H37" s="15"/>
      <c r="I37" s="74"/>
    </row>
    <row r="38" spans="1:9" x14ac:dyDescent="0.2">
      <c r="A38" s="7" t="s">
        <v>99</v>
      </c>
      <c r="B38" s="8"/>
      <c r="C38" s="49" t="s">
        <v>94</v>
      </c>
      <c r="D38" s="12"/>
      <c r="E38" s="12"/>
      <c r="F38" s="12"/>
      <c r="G38" s="12"/>
      <c r="H38" s="15"/>
      <c r="I38" s="74"/>
    </row>
    <row r="39" spans="1:9" x14ac:dyDescent="0.2">
      <c r="A39" s="6" t="s">
        <v>141</v>
      </c>
      <c r="B39" s="20" t="s">
        <v>88</v>
      </c>
      <c r="C39" s="21">
        <v>0.14449999999999999</v>
      </c>
      <c r="D39" s="8"/>
      <c r="E39" s="8"/>
      <c r="F39" s="8"/>
      <c r="G39" s="8"/>
      <c r="H39" s="9"/>
      <c r="I39" s="75"/>
    </row>
    <row r="40" spans="1:9" x14ac:dyDescent="0.2">
      <c r="A40" s="6" t="s">
        <v>142</v>
      </c>
      <c r="B40" s="20" t="s">
        <v>558</v>
      </c>
      <c r="C40" s="854">
        <v>30</v>
      </c>
      <c r="D40" s="8"/>
      <c r="E40" s="8"/>
      <c r="F40" s="8"/>
      <c r="G40" s="8"/>
      <c r="H40" s="9"/>
      <c r="I40" s="75"/>
    </row>
    <row r="41" spans="1:9" x14ac:dyDescent="0.2">
      <c r="A41" s="6" t="s">
        <v>143</v>
      </c>
      <c r="B41" s="20" t="s">
        <v>558</v>
      </c>
      <c r="C41" s="321">
        <f>Inputs!C7</f>
        <v>306</v>
      </c>
      <c r="D41" s="321">
        <f>Inputs!D7</f>
        <v>306</v>
      </c>
      <c r="E41" s="321">
        <f>Inputs!E7</f>
        <v>306</v>
      </c>
      <c r="F41" s="321">
        <f>Inputs!F7</f>
        <v>306</v>
      </c>
      <c r="G41" s="321">
        <f>Inputs!G7</f>
        <v>306</v>
      </c>
      <c r="H41" s="321">
        <f>Inputs!H7</f>
        <v>306</v>
      </c>
      <c r="I41" s="299"/>
    </row>
    <row r="42" spans="1:9" x14ac:dyDescent="0.2">
      <c r="A42" s="6" t="s">
        <v>141</v>
      </c>
      <c r="B42" s="20" t="s">
        <v>88</v>
      </c>
      <c r="C42" s="68">
        <f t="shared" ref="C42:H42" si="2">$C$39*C41/$C$40</f>
        <v>1.4739</v>
      </c>
      <c r="D42" s="68">
        <f t="shared" si="2"/>
        <v>1.4739</v>
      </c>
      <c r="E42" s="68">
        <f t="shared" si="2"/>
        <v>1.4739</v>
      </c>
      <c r="F42" s="68">
        <f t="shared" si="2"/>
        <v>1.4739</v>
      </c>
      <c r="G42" s="68">
        <f t="shared" si="2"/>
        <v>1.4739</v>
      </c>
      <c r="H42" s="68">
        <f t="shared" si="2"/>
        <v>1.4739</v>
      </c>
      <c r="I42" s="75"/>
    </row>
    <row r="43" spans="1:9" x14ac:dyDescent="0.2">
      <c r="A43" s="6"/>
      <c r="B43" s="30"/>
      <c r="C43" s="8"/>
      <c r="D43" s="8"/>
      <c r="E43" s="8"/>
      <c r="F43" s="8"/>
      <c r="G43" s="8"/>
      <c r="H43" s="9"/>
      <c r="I43" s="75"/>
    </row>
    <row r="44" spans="1:9" ht="13.2" x14ac:dyDescent="0.25">
      <c r="A44" s="58" t="s">
        <v>132</v>
      </c>
      <c r="B44" s="64"/>
      <c r="C44" s="8"/>
      <c r="D44" s="8"/>
      <c r="E44" s="8"/>
      <c r="F44" s="8"/>
      <c r="G44" s="8"/>
      <c r="H44" s="9"/>
      <c r="I44" s="75"/>
    </row>
    <row r="45" spans="1:9" x14ac:dyDescent="0.2">
      <c r="A45" s="7" t="s">
        <v>99</v>
      </c>
      <c r="B45" s="8"/>
      <c r="C45" s="49" t="s">
        <v>97</v>
      </c>
      <c r="D45" s="12"/>
      <c r="E45" s="12"/>
      <c r="F45" s="12"/>
      <c r="G45" s="12"/>
      <c r="H45" s="15"/>
      <c r="I45" s="74"/>
    </row>
    <row r="46" spans="1:9" x14ac:dyDescent="0.2">
      <c r="A46" s="6" t="s">
        <v>146</v>
      </c>
      <c r="B46" s="20" t="s">
        <v>225</v>
      </c>
      <c r="C46" s="169">
        <v>6.0600000000000003E-3</v>
      </c>
      <c r="D46" s="8"/>
      <c r="E46" s="8"/>
      <c r="F46" s="8"/>
      <c r="G46" s="8"/>
      <c r="H46" s="9"/>
      <c r="I46" s="75"/>
    </row>
    <row r="47" spans="1:9" x14ac:dyDescent="0.2">
      <c r="A47" s="6" t="s">
        <v>147</v>
      </c>
      <c r="B47" s="20" t="s">
        <v>225</v>
      </c>
      <c r="C47" s="169">
        <v>6.0600000000000003E-3</v>
      </c>
      <c r="D47" s="8"/>
      <c r="E47" s="8"/>
      <c r="F47" s="8"/>
      <c r="G47" s="8"/>
      <c r="H47" s="9"/>
      <c r="I47" s="75"/>
    </row>
    <row r="48" spans="1:9" x14ac:dyDescent="0.2">
      <c r="A48" s="6" t="s">
        <v>204</v>
      </c>
      <c r="B48" s="20" t="s">
        <v>225</v>
      </c>
      <c r="C48" s="169">
        <v>6.0600000000000003E-3</v>
      </c>
      <c r="D48" s="8"/>
      <c r="E48" s="8"/>
      <c r="F48" s="8"/>
      <c r="G48" s="8"/>
      <c r="H48" s="9"/>
      <c r="I48" s="75"/>
    </row>
    <row r="49" spans="1:9" x14ac:dyDescent="0.2">
      <c r="A49" s="6" t="s">
        <v>151</v>
      </c>
      <c r="B49" s="30"/>
      <c r="C49" s="169">
        <v>179.8</v>
      </c>
      <c r="D49" s="8"/>
      <c r="E49" s="8"/>
      <c r="F49" s="8"/>
      <c r="G49" s="8"/>
      <c r="H49" s="9"/>
      <c r="I49" s="75"/>
    </row>
    <row r="50" spans="1:9" x14ac:dyDescent="0.2">
      <c r="A50" s="6" t="s">
        <v>152</v>
      </c>
      <c r="B50" s="30"/>
      <c r="C50" s="194">
        <f>Inputs!C27</f>
        <v>324.45999999999998</v>
      </c>
      <c r="D50" s="194">
        <f>Inputs!D27</f>
        <v>324.12</v>
      </c>
      <c r="E50" s="194">
        <f>Inputs!E27</f>
        <v>324.05</v>
      </c>
      <c r="F50" s="194">
        <f>Inputs!F27</f>
        <v>324.05</v>
      </c>
      <c r="G50" s="194">
        <f>Inputs!G27</f>
        <v>324.05</v>
      </c>
      <c r="H50" s="194">
        <f>Inputs!H27</f>
        <v>324.05</v>
      </c>
      <c r="I50" s="299"/>
    </row>
    <row r="51" spans="1:9" x14ac:dyDescent="0.2">
      <c r="A51" s="6" t="s">
        <v>506</v>
      </c>
      <c r="B51" s="30"/>
      <c r="C51" s="68">
        <f t="shared" ref="C51:H51" si="3">$C$47*C50/$C$49</f>
        <v>1.0935637374860956E-2</v>
      </c>
      <c r="D51" s="68">
        <f t="shared" si="3"/>
        <v>1.0924177975528365E-2</v>
      </c>
      <c r="E51" s="68">
        <f t="shared" si="3"/>
        <v>1.0921818687430479E-2</v>
      </c>
      <c r="F51" s="68">
        <f t="shared" si="3"/>
        <v>1.0921818687430479E-2</v>
      </c>
      <c r="G51" s="68">
        <f t="shared" si="3"/>
        <v>1.0921818687430479E-2</v>
      </c>
      <c r="H51" s="68">
        <f t="shared" si="3"/>
        <v>1.0921818687430479E-2</v>
      </c>
      <c r="I51" s="75"/>
    </row>
    <row r="52" spans="1:9" x14ac:dyDescent="0.2">
      <c r="B52" s="30"/>
      <c r="C52" s="8"/>
      <c r="D52" s="8"/>
      <c r="E52" s="8"/>
      <c r="F52" s="8"/>
      <c r="G52" s="8"/>
      <c r="H52" s="9"/>
      <c r="I52" s="299"/>
    </row>
    <row r="53" spans="1:9" x14ac:dyDescent="0.2">
      <c r="A53" s="6" t="s">
        <v>426</v>
      </c>
      <c r="B53" s="30"/>
      <c r="C53" s="8"/>
      <c r="D53" s="8"/>
      <c r="E53" s="8"/>
      <c r="F53" s="8"/>
      <c r="G53" s="8"/>
      <c r="H53" s="124"/>
      <c r="I53" s="299"/>
    </row>
    <row r="54" spans="1:9" x14ac:dyDescent="0.2">
      <c r="I54" s="299"/>
    </row>
    <row r="55" spans="1:9" x14ac:dyDescent="0.2">
      <c r="A55" s="6" t="s">
        <v>589</v>
      </c>
      <c r="B55" s="30" t="s">
        <v>590</v>
      </c>
      <c r="C55" s="858">
        <v>25000</v>
      </c>
      <c r="D55" s="859"/>
      <c r="E55" s="859"/>
      <c r="F55" s="859"/>
      <c r="G55" s="859"/>
      <c r="H55" s="860"/>
      <c r="I55" s="299"/>
    </row>
    <row r="56" spans="1:9" x14ac:dyDescent="0.2">
      <c r="A56" s="6" t="s">
        <v>591</v>
      </c>
      <c r="B56" s="30"/>
      <c r="C56" s="861">
        <v>44</v>
      </c>
      <c r="D56" s="861">
        <v>44</v>
      </c>
      <c r="E56" s="861">
        <v>44</v>
      </c>
      <c r="F56" s="861">
        <v>44</v>
      </c>
      <c r="G56" s="861">
        <v>44</v>
      </c>
      <c r="H56" s="861">
        <v>44</v>
      </c>
      <c r="I56" s="299"/>
    </row>
    <row r="57" spans="1:9" x14ac:dyDescent="0.2">
      <c r="A57" s="6" t="s">
        <v>472</v>
      </c>
      <c r="B57" s="20" t="str">
        <f>C38&amp;"/"&amp;C37</f>
        <v xml:space="preserve">SLR/litre </v>
      </c>
      <c r="C57" s="859">
        <v>21.42</v>
      </c>
      <c r="D57" s="859"/>
      <c r="E57" s="859"/>
      <c r="F57" s="859"/>
      <c r="G57" s="859"/>
      <c r="H57" s="860"/>
      <c r="I57" s="299"/>
    </row>
    <row r="58" spans="1:9" x14ac:dyDescent="0.2">
      <c r="A58" s="6" t="s">
        <v>473</v>
      </c>
      <c r="B58" s="20" t="str">
        <f>C38&amp;"/"&amp;C37</f>
        <v xml:space="preserve">SLR/litre </v>
      </c>
      <c r="C58" s="861">
        <v>90</v>
      </c>
      <c r="D58" s="861">
        <v>90</v>
      </c>
      <c r="E58" s="861">
        <v>90</v>
      </c>
      <c r="F58" s="861">
        <v>90</v>
      </c>
      <c r="G58" s="861">
        <v>90</v>
      </c>
      <c r="H58" s="861">
        <v>90</v>
      </c>
      <c r="I58" s="299"/>
    </row>
    <row r="59" spans="1:9" ht="12.75" customHeight="1" x14ac:dyDescent="0.3">
      <c r="A59" s="6" t="s">
        <v>592</v>
      </c>
      <c r="B59" s="65"/>
      <c r="C59" s="862">
        <f t="shared" ref="C59:H59" si="4">($C$55*C58/$C$57*C56)/1000000</f>
        <v>4.6218487394957979</v>
      </c>
      <c r="D59" s="862">
        <f t="shared" si="4"/>
        <v>4.6218487394957979</v>
      </c>
      <c r="E59" s="862">
        <f t="shared" si="4"/>
        <v>4.6218487394957979</v>
      </c>
      <c r="F59" s="862">
        <f t="shared" si="4"/>
        <v>4.6218487394957979</v>
      </c>
      <c r="G59" s="862">
        <f t="shared" si="4"/>
        <v>4.6218487394957979</v>
      </c>
      <c r="H59" s="863">
        <f t="shared" si="4"/>
        <v>4.6218487394957979</v>
      </c>
      <c r="I59" s="75"/>
    </row>
    <row r="60" spans="1:9" ht="12.75" customHeight="1" x14ac:dyDescent="0.3">
      <c r="A60" s="6"/>
      <c r="B60" s="65"/>
      <c r="C60" s="303"/>
      <c r="D60" s="303"/>
      <c r="E60" s="303"/>
      <c r="F60" s="303"/>
      <c r="G60" s="303"/>
      <c r="H60" s="306"/>
      <c r="I60" s="75"/>
    </row>
    <row r="61" spans="1:9" ht="12.75" customHeight="1" x14ac:dyDescent="0.25">
      <c r="A61" s="55" t="s">
        <v>189</v>
      </c>
      <c r="B61" s="61"/>
      <c r="C61" s="47"/>
      <c r="D61" s="47"/>
      <c r="E61" s="47"/>
      <c r="F61" s="47"/>
      <c r="G61" s="47"/>
      <c r="H61" s="48"/>
      <c r="I61" s="75"/>
    </row>
    <row r="62" spans="1:9" ht="12.75" customHeight="1" x14ac:dyDescent="0.25">
      <c r="A62" s="57" t="s">
        <v>190</v>
      </c>
      <c r="B62" s="20" t="s">
        <v>60</v>
      </c>
      <c r="C62" s="855"/>
      <c r="D62" s="855"/>
      <c r="E62" s="855"/>
      <c r="F62" s="855"/>
      <c r="G62" s="855"/>
      <c r="H62" s="856"/>
      <c r="I62" s="75"/>
    </row>
    <row r="63" spans="1:9" ht="12.75" customHeight="1" x14ac:dyDescent="0.25">
      <c r="A63" s="57" t="s">
        <v>191</v>
      </c>
      <c r="B63" s="20" t="s">
        <v>60</v>
      </c>
      <c r="C63" s="554">
        <v>23.6</v>
      </c>
      <c r="D63" s="554">
        <v>23.6</v>
      </c>
      <c r="E63" s="554">
        <v>23.6</v>
      </c>
      <c r="F63" s="554">
        <v>23.6</v>
      </c>
      <c r="G63" s="554">
        <v>23.6</v>
      </c>
      <c r="H63" s="554">
        <v>23.6</v>
      </c>
      <c r="I63" s="240"/>
    </row>
    <row r="64" spans="1:9" ht="12.75" customHeight="1" x14ac:dyDescent="0.25">
      <c r="A64" s="57"/>
      <c r="B64" s="20"/>
      <c r="C64" s="83"/>
      <c r="D64" s="83"/>
      <c r="E64" s="83"/>
      <c r="F64" s="83"/>
      <c r="G64" s="83"/>
      <c r="H64" s="198"/>
      <c r="I64" s="75"/>
    </row>
    <row r="65" spans="1:10" ht="12.75" customHeight="1" x14ac:dyDescent="0.25">
      <c r="A65" s="55" t="s">
        <v>145</v>
      </c>
      <c r="B65" s="90" t="s">
        <v>97</v>
      </c>
      <c r="C65" s="301">
        <f>Inputs!C21</f>
        <v>313.51760000000002</v>
      </c>
      <c r="D65" s="301">
        <f>Inputs!D21</f>
        <v>313.51760000000002</v>
      </c>
      <c r="E65" s="301">
        <f>Inputs!E21</f>
        <v>313.51760000000002</v>
      </c>
      <c r="F65" s="301">
        <f>Inputs!F21</f>
        <v>313.51760000000002</v>
      </c>
      <c r="G65" s="301">
        <f>Inputs!G21</f>
        <v>313.51760000000002</v>
      </c>
      <c r="H65" s="301">
        <f>Inputs!H21</f>
        <v>313.51760000000002</v>
      </c>
      <c r="I65" s="299"/>
    </row>
    <row r="66" spans="1:10" ht="13.2" thickBot="1" x14ac:dyDescent="0.25">
      <c r="A66" s="6"/>
      <c r="B66" s="30"/>
      <c r="C66" s="8"/>
      <c r="D66" s="8"/>
      <c r="E66" s="8"/>
      <c r="F66" s="8"/>
      <c r="G66" s="8"/>
      <c r="H66" s="9"/>
      <c r="I66" s="75"/>
    </row>
    <row r="67" spans="1:10" x14ac:dyDescent="0.2">
      <c r="A67" s="45" t="s">
        <v>148</v>
      </c>
      <c r="B67" s="91" t="s">
        <v>60</v>
      </c>
      <c r="C67" s="92"/>
      <c r="D67" s="92"/>
      <c r="E67" s="92"/>
      <c r="F67" s="92"/>
      <c r="G67" s="92"/>
      <c r="H67" s="92"/>
      <c r="I67" s="304">
        <f>SUM(C67:H67)</f>
        <v>0</v>
      </c>
      <c r="J67" s="70"/>
    </row>
    <row r="68" spans="1:10" x14ac:dyDescent="0.2">
      <c r="A68" s="6" t="s">
        <v>149</v>
      </c>
      <c r="B68" s="20" t="s">
        <v>60</v>
      </c>
      <c r="C68" s="73">
        <f t="shared" ref="C68:H68" si="5">((C27+C34+C42+(C51*C65))*C70)+(C63)+C59</f>
        <v>28.221848739495798</v>
      </c>
      <c r="D68" s="73">
        <f t="shared" si="5"/>
        <v>28.221848739495798</v>
      </c>
      <c r="E68" s="73">
        <f t="shared" si="5"/>
        <v>28.221848739495798</v>
      </c>
      <c r="F68" s="73">
        <f t="shared" si="5"/>
        <v>28.221848739495798</v>
      </c>
      <c r="G68" s="73">
        <f t="shared" si="5"/>
        <v>28.221848739495798</v>
      </c>
      <c r="H68" s="73">
        <f t="shared" si="5"/>
        <v>28.221848739495798</v>
      </c>
      <c r="I68" s="304">
        <f>SUM(C68:H68)</f>
        <v>169.33109243697476</v>
      </c>
    </row>
    <row r="69" spans="1:10" x14ac:dyDescent="0.2">
      <c r="A69" s="6" t="s">
        <v>150</v>
      </c>
      <c r="B69" s="20" t="s">
        <v>39</v>
      </c>
      <c r="C69" s="80">
        <v>100</v>
      </c>
      <c r="D69" s="80">
        <v>100</v>
      </c>
      <c r="E69" s="80">
        <v>100</v>
      </c>
      <c r="F69" s="80">
        <v>100</v>
      </c>
      <c r="G69" s="80">
        <v>100</v>
      </c>
      <c r="H69" s="81">
        <v>100</v>
      </c>
      <c r="I69" s="75"/>
    </row>
    <row r="70" spans="1:10" x14ac:dyDescent="0.2">
      <c r="A70" s="190" t="s">
        <v>559</v>
      </c>
      <c r="B70" s="20" t="s">
        <v>56</v>
      </c>
      <c r="C70" s="864">
        <f>DispatchSchedule!F42</f>
        <v>0</v>
      </c>
      <c r="D70" s="864">
        <f>DispatchSchedule!G42</f>
        <v>0</v>
      </c>
      <c r="E70" s="864">
        <f>DispatchSchedule!H42</f>
        <v>0</v>
      </c>
      <c r="F70" s="864">
        <f>DispatchSchedule!I42</f>
        <v>0</v>
      </c>
      <c r="G70" s="864">
        <f>DispatchSchedule!J42</f>
        <v>0</v>
      </c>
      <c r="H70" s="865">
        <f>DispatchSchedule!K42</f>
        <v>0</v>
      </c>
      <c r="I70" s="299"/>
      <c r="J70" s="165">
        <f>SUM(C70:H70)</f>
        <v>0</v>
      </c>
    </row>
    <row r="71" spans="1:10" ht="13.8" thickBot="1" x14ac:dyDescent="0.3">
      <c r="A71" s="60" t="s">
        <v>135</v>
      </c>
      <c r="B71" s="76" t="s">
        <v>88</v>
      </c>
      <c r="C71" s="77">
        <f t="shared" ref="C71:H71" si="6">IF(C70=0,0,(C68/C70))</f>
        <v>0</v>
      </c>
      <c r="D71" s="77">
        <f t="shared" si="6"/>
        <v>0</v>
      </c>
      <c r="E71" s="77">
        <f t="shared" si="6"/>
        <v>0</v>
      </c>
      <c r="F71" s="77">
        <f t="shared" si="6"/>
        <v>0</v>
      </c>
      <c r="G71" s="77">
        <f t="shared" si="6"/>
        <v>0</v>
      </c>
      <c r="H71" s="77">
        <f t="shared" si="6"/>
        <v>0</v>
      </c>
      <c r="I71" s="75"/>
    </row>
    <row r="72" spans="1:10" ht="13.2" x14ac:dyDescent="0.25">
      <c r="A72" s="276"/>
      <c r="B72" s="82"/>
      <c r="C72" s="277"/>
      <c r="D72" s="277"/>
      <c r="E72" s="277"/>
      <c r="F72" s="277"/>
      <c r="G72" s="277"/>
      <c r="H72" s="277"/>
    </row>
    <row r="73" spans="1:10" x14ac:dyDescent="0.2">
      <c r="A73" s="183" t="s">
        <v>467</v>
      </c>
    </row>
    <row r="74" spans="1:10" x14ac:dyDescent="0.2">
      <c r="A74" s="192" t="s">
        <v>628</v>
      </c>
    </row>
    <row r="75" spans="1:10" x14ac:dyDescent="0.2">
      <c r="A75" s="192" t="s">
        <v>629</v>
      </c>
    </row>
    <row r="76" spans="1:10" x14ac:dyDescent="0.2">
      <c r="A76" s="192" t="s">
        <v>627</v>
      </c>
    </row>
    <row r="77" spans="1:10" x14ac:dyDescent="0.2">
      <c r="A77" s="183" t="s">
        <v>626</v>
      </c>
    </row>
    <row r="83" spans="6:6" x14ac:dyDescent="0.2">
      <c r="F83" t="s">
        <v>585</v>
      </c>
    </row>
  </sheetData>
  <phoneticPr fontId="54" type="noConversion"/>
  <dataValidations count="3">
    <dataValidation type="list" allowBlank="1" showInputMessage="1" showErrorMessage="1" sqref="B65 C9 C16 C38 C23 C31 C45" xr:uid="{00000000-0002-0000-2500-000000000000}">
      <formula1>Currency</formula1>
    </dataValidation>
    <dataValidation type="list" allowBlank="1" showInputMessage="1" showErrorMessage="1" sqref="C21 C36 C29" xr:uid="{00000000-0002-0000-2500-000001000000}">
      <formula1>Combustible</formula1>
    </dataValidation>
    <dataValidation type="list" allowBlank="1" showInputMessage="1" showErrorMessage="1" sqref="C22 C37 C30" xr:uid="{00000000-0002-0000-2500-000002000000}">
      <formula1>Units</formula1>
    </dataValidation>
  </dataValidations>
  <pageMargins left="0.23" right="0.17" top="0.41" bottom="0.18" header="0.18" footer="0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">
    <tabColor rgb="FFFF0000"/>
  </sheetPr>
  <dimension ref="A2:J60"/>
  <sheetViews>
    <sheetView zoomScale="82" zoomScaleNormal="82" workbookViewId="0">
      <selection activeCell="K16" sqref="K16"/>
    </sheetView>
  </sheetViews>
  <sheetFormatPr defaultColWidth="11" defaultRowHeight="12.6" x14ac:dyDescent="0.2"/>
  <cols>
    <col min="1" max="1" width="41.6328125" customWidth="1"/>
    <col min="2" max="2" width="10" customWidth="1"/>
    <col min="3" max="3" width="15.90625" customWidth="1"/>
    <col min="4" max="4" width="13.6328125" bestFit="1" customWidth="1"/>
    <col min="5" max="5" width="15.26953125" bestFit="1" customWidth="1"/>
    <col min="6" max="6" width="13.6328125" bestFit="1" customWidth="1"/>
    <col min="7" max="7" width="15.26953125" bestFit="1" customWidth="1"/>
    <col min="8" max="8" width="13.6328125" bestFit="1" customWidth="1"/>
  </cols>
  <sheetData>
    <row r="2" spans="1:10" ht="24.6" x14ac:dyDescent="0.4">
      <c r="A2" s="53" t="s">
        <v>292</v>
      </c>
      <c r="B2" s="122"/>
      <c r="I2" s="282" t="s">
        <v>570</v>
      </c>
    </row>
    <row r="3" spans="1:10" ht="18" thickBot="1" x14ac:dyDescent="0.35">
      <c r="A3" s="53"/>
      <c r="B3" s="53"/>
      <c r="C3" s="298">
        <v>41640</v>
      </c>
      <c r="D3" s="298">
        <v>41671</v>
      </c>
      <c r="E3" s="298">
        <v>41699</v>
      </c>
      <c r="F3" s="298">
        <v>41730</v>
      </c>
      <c r="G3" s="298">
        <v>41760</v>
      </c>
      <c r="H3" s="298">
        <v>41791</v>
      </c>
    </row>
    <row r="4" spans="1:10" ht="13.2" thickBot="1" x14ac:dyDescent="0.25">
      <c r="A4" s="46" t="s">
        <v>27</v>
      </c>
      <c r="B4" s="66" t="s">
        <v>36</v>
      </c>
      <c r="C4" s="175">
        <f>+'Gen. Energy Cost'!C5</f>
        <v>46023</v>
      </c>
      <c r="D4" s="175">
        <f>+'Gen. Energy Cost'!D5</f>
        <v>46054</v>
      </c>
      <c r="E4" s="175">
        <f>+'Gen. Energy Cost'!E5</f>
        <v>46082</v>
      </c>
      <c r="F4" s="175">
        <f>+'Gen. Energy Cost'!F5</f>
        <v>46113</v>
      </c>
      <c r="G4" s="175">
        <f>+'Gen. Energy Cost'!G5</f>
        <v>46143</v>
      </c>
      <c r="H4" s="175">
        <f>+'Gen. Energy Cost'!H5</f>
        <v>46174</v>
      </c>
      <c r="I4" s="75"/>
    </row>
    <row r="5" spans="1:10" ht="13.2" x14ac:dyDescent="0.25">
      <c r="A5" s="55" t="s">
        <v>136</v>
      </c>
      <c r="B5" s="61"/>
      <c r="C5" s="47"/>
      <c r="D5" s="47"/>
      <c r="E5" s="47"/>
      <c r="F5" s="47"/>
      <c r="G5" s="47"/>
      <c r="H5" s="48"/>
      <c r="I5" s="75"/>
    </row>
    <row r="6" spans="1:10" x14ac:dyDescent="0.2">
      <c r="A6" s="6"/>
      <c r="B6" s="20"/>
      <c r="C6" s="49"/>
      <c r="D6" s="8"/>
      <c r="E6" s="8"/>
      <c r="F6" s="8"/>
      <c r="G6" s="8"/>
      <c r="H6" s="9"/>
      <c r="I6" s="75"/>
    </row>
    <row r="7" spans="1:10" x14ac:dyDescent="0.2">
      <c r="A7" s="6"/>
      <c r="B7" s="30"/>
      <c r="C7" s="8"/>
      <c r="D7" s="8"/>
      <c r="E7" s="8"/>
      <c r="F7" s="8"/>
      <c r="G7" s="8"/>
      <c r="H7" s="9"/>
      <c r="I7" s="75"/>
    </row>
    <row r="8" spans="1:10" ht="13.2" x14ac:dyDescent="0.25">
      <c r="A8" s="55" t="s">
        <v>122</v>
      </c>
      <c r="B8" s="61"/>
      <c r="C8" s="47"/>
      <c r="D8" s="47"/>
      <c r="E8" s="47"/>
      <c r="F8" s="47"/>
      <c r="G8" s="47"/>
      <c r="H8" s="48"/>
      <c r="I8" s="75"/>
    </row>
    <row r="9" spans="1:10" ht="13.2" x14ac:dyDescent="0.25">
      <c r="A9" s="58" t="s">
        <v>293</v>
      </c>
      <c r="B9" s="64"/>
      <c r="C9" s="8"/>
      <c r="D9" s="8"/>
      <c r="E9" s="8"/>
      <c r="F9" s="8"/>
      <c r="G9" s="8"/>
      <c r="H9" s="9"/>
      <c r="I9" s="75"/>
    </row>
    <row r="10" spans="1:10" ht="13.2" x14ac:dyDescent="0.25">
      <c r="A10" s="57" t="s">
        <v>99</v>
      </c>
      <c r="B10" s="63"/>
      <c r="C10" s="49" t="s">
        <v>94</v>
      </c>
      <c r="D10" s="8"/>
      <c r="E10" s="8"/>
      <c r="F10" s="8"/>
      <c r="G10" s="8"/>
      <c r="H10" s="9"/>
      <c r="I10" s="75"/>
      <c r="J10" s="2"/>
    </row>
    <row r="11" spans="1:10" x14ac:dyDescent="0.2">
      <c r="A11" s="117" t="s">
        <v>294</v>
      </c>
      <c r="B11" s="20"/>
      <c r="C11" s="49">
        <v>0.27600000000000002</v>
      </c>
      <c r="D11" s="113"/>
      <c r="E11" s="113"/>
      <c r="F11" s="113"/>
      <c r="G11" s="113"/>
      <c r="H11" s="114"/>
      <c r="I11" s="75"/>
    </row>
    <row r="12" spans="1:10" x14ac:dyDescent="0.2">
      <c r="A12" s="117" t="s">
        <v>295</v>
      </c>
      <c r="B12" s="20"/>
      <c r="C12" s="49">
        <f>1/(((456.5/215.5)*(234.8/150))/151.5)</f>
        <v>45.689067249328737</v>
      </c>
      <c r="D12" s="8"/>
      <c r="E12" s="8"/>
      <c r="F12" s="8"/>
      <c r="G12" s="8"/>
      <c r="H12" s="8"/>
      <c r="I12" s="75"/>
    </row>
    <row r="13" spans="1:10" x14ac:dyDescent="0.2">
      <c r="A13" s="238" t="s">
        <v>522</v>
      </c>
      <c r="B13" s="20"/>
      <c r="C13" s="115">
        <v>165.5</v>
      </c>
      <c r="D13" s="115">
        <v>165.5</v>
      </c>
      <c r="E13" s="115">
        <v>165.5</v>
      </c>
      <c r="F13" s="115">
        <v>165.5</v>
      </c>
      <c r="G13" s="115">
        <v>165.5</v>
      </c>
      <c r="H13" s="115">
        <v>165.5</v>
      </c>
      <c r="I13" s="75"/>
    </row>
    <row r="14" spans="1:10" x14ac:dyDescent="0.2">
      <c r="A14" s="117" t="s">
        <v>296</v>
      </c>
      <c r="B14" s="20"/>
      <c r="C14" s="125">
        <f t="shared" ref="C14:H14" si="0">$C$11*C13/$C$12</f>
        <v>0.99975777029396684</v>
      </c>
      <c r="D14" s="125">
        <f t="shared" si="0"/>
        <v>0.99975777029396684</v>
      </c>
      <c r="E14" s="125">
        <f t="shared" si="0"/>
        <v>0.99975777029396684</v>
      </c>
      <c r="F14" s="125">
        <f t="shared" si="0"/>
        <v>0.99975777029396684</v>
      </c>
      <c r="G14" s="125">
        <f t="shared" si="0"/>
        <v>0.99975777029396684</v>
      </c>
      <c r="H14" s="125">
        <f t="shared" si="0"/>
        <v>0.99975777029396684</v>
      </c>
      <c r="I14" s="75"/>
    </row>
    <row r="15" spans="1:10" x14ac:dyDescent="0.2">
      <c r="A15" s="117"/>
      <c r="B15" s="20"/>
      <c r="C15" s="8"/>
      <c r="D15" s="8"/>
      <c r="E15" s="8"/>
      <c r="F15" s="8"/>
      <c r="G15" s="8"/>
      <c r="H15" s="124"/>
      <c r="I15" s="75"/>
    </row>
    <row r="16" spans="1:10" ht="13.2" x14ac:dyDescent="0.25">
      <c r="A16" s="58" t="s">
        <v>297</v>
      </c>
      <c r="B16" s="20"/>
      <c r="D16" s="8"/>
      <c r="E16" s="8"/>
      <c r="F16" s="8"/>
      <c r="G16" s="8"/>
      <c r="H16" s="124"/>
      <c r="I16" s="75"/>
    </row>
    <row r="17" spans="1:9" ht="13.2" x14ac:dyDescent="0.25">
      <c r="A17" s="57" t="s">
        <v>99</v>
      </c>
      <c r="B17" s="20"/>
      <c r="C17" s="49" t="s">
        <v>94</v>
      </c>
      <c r="D17" s="8"/>
      <c r="E17" s="8"/>
      <c r="F17" s="8"/>
      <c r="G17" s="8"/>
      <c r="H17" s="124"/>
      <c r="I17" s="75"/>
    </row>
    <row r="18" spans="1:9" x14ac:dyDescent="0.2">
      <c r="A18" s="117" t="s">
        <v>298</v>
      </c>
      <c r="B18" s="20"/>
      <c r="C18" s="49">
        <v>1.859</v>
      </c>
      <c r="D18" s="49">
        <v>1.859</v>
      </c>
      <c r="E18" s="49">
        <v>1.859</v>
      </c>
      <c r="F18" s="49">
        <v>1.859</v>
      </c>
      <c r="G18" s="49">
        <v>1.859</v>
      </c>
      <c r="H18" s="49">
        <v>1.859</v>
      </c>
      <c r="I18" s="75"/>
    </row>
    <row r="19" spans="1:9" ht="13.2" x14ac:dyDescent="0.25">
      <c r="A19" s="57"/>
      <c r="B19" s="20"/>
      <c r="C19" s="8"/>
      <c r="D19" s="8"/>
      <c r="E19" s="8"/>
      <c r="F19" s="8"/>
      <c r="G19" s="8"/>
      <c r="H19" s="124"/>
      <c r="I19" s="75"/>
    </row>
    <row r="20" spans="1:9" ht="13.2" x14ac:dyDescent="0.25">
      <c r="A20" s="55" t="s">
        <v>24</v>
      </c>
      <c r="B20" s="61"/>
      <c r="C20" s="126"/>
      <c r="D20" s="47"/>
      <c r="E20" s="47"/>
      <c r="F20" s="47"/>
      <c r="G20" s="47"/>
      <c r="H20" s="48"/>
      <c r="I20" s="75"/>
    </row>
    <row r="21" spans="1:9" ht="13.2" x14ac:dyDescent="0.25">
      <c r="A21" s="36" t="s">
        <v>132</v>
      </c>
      <c r="B21" s="127"/>
      <c r="D21" s="172"/>
      <c r="E21" s="172"/>
      <c r="F21" s="172"/>
      <c r="G21" s="172"/>
      <c r="H21" s="171"/>
      <c r="I21" s="75"/>
    </row>
    <row r="22" spans="1:9" s="36" customFormat="1" ht="13.2" x14ac:dyDescent="0.25">
      <c r="A22" s="128" t="s">
        <v>99</v>
      </c>
      <c r="B22" s="118"/>
      <c r="C22" s="163" t="s">
        <v>97</v>
      </c>
      <c r="D22" s="119"/>
      <c r="E22" s="119"/>
      <c r="F22" s="119"/>
      <c r="G22" s="119"/>
      <c r="H22" s="207"/>
      <c r="I22" s="121"/>
    </row>
    <row r="23" spans="1:9" ht="13.2" x14ac:dyDescent="0.25">
      <c r="A23" s="36" t="s">
        <v>299</v>
      </c>
      <c r="B23" s="118"/>
      <c r="C23" s="163">
        <v>7.9000000000000008E-3</v>
      </c>
      <c r="D23" s="8"/>
      <c r="E23" s="8"/>
      <c r="F23" s="8"/>
      <c r="G23" s="8"/>
      <c r="H23" s="171"/>
      <c r="I23" s="75"/>
    </row>
    <row r="24" spans="1:9" x14ac:dyDescent="0.2">
      <c r="A24" s="129" t="s">
        <v>300</v>
      </c>
      <c r="B24" s="12"/>
      <c r="C24" s="163">
        <v>158.6</v>
      </c>
      <c r="D24" s="8"/>
      <c r="E24" s="8"/>
      <c r="F24" s="8"/>
      <c r="G24" s="8"/>
      <c r="H24" s="171"/>
      <c r="I24" s="75"/>
    </row>
    <row r="25" spans="1:9" x14ac:dyDescent="0.2">
      <c r="A25" s="242" t="s">
        <v>523</v>
      </c>
      <c r="B25" s="12"/>
      <c r="C25" s="205">
        <v>230.37899999999999</v>
      </c>
      <c r="D25" s="205">
        <v>230.37899999999999</v>
      </c>
      <c r="E25" s="205">
        <v>230.37899999999999</v>
      </c>
      <c r="F25" s="205">
        <v>230.37899999999999</v>
      </c>
      <c r="G25" s="205">
        <v>230.37899999999999</v>
      </c>
      <c r="H25" s="205">
        <v>230.37899999999999</v>
      </c>
      <c r="I25" s="75"/>
    </row>
    <row r="26" spans="1:9" ht="13.2" x14ac:dyDescent="0.25">
      <c r="A26" s="36" t="s">
        <v>301</v>
      </c>
      <c r="B26" s="118"/>
      <c r="C26" s="206">
        <f t="shared" ref="C26:H26" si="1">$C$23*C25/$C$24</f>
        <v>1.1475372635561162E-2</v>
      </c>
      <c r="D26" s="125">
        <f t="shared" si="1"/>
        <v>1.1475372635561162E-2</v>
      </c>
      <c r="E26" s="125">
        <f t="shared" si="1"/>
        <v>1.1475372635561162E-2</v>
      </c>
      <c r="F26" s="125">
        <f t="shared" si="1"/>
        <v>1.1475372635561162E-2</v>
      </c>
      <c r="G26" s="125">
        <f t="shared" si="1"/>
        <v>1.1475372635561162E-2</v>
      </c>
      <c r="H26" s="204">
        <f t="shared" si="1"/>
        <v>1.1475372635561162E-2</v>
      </c>
      <c r="I26" s="75"/>
    </row>
    <row r="27" spans="1:9" s="36" customFormat="1" ht="13.2" x14ac:dyDescent="0.25">
      <c r="A27" s="128"/>
      <c r="B27" s="118"/>
      <c r="D27" s="119"/>
      <c r="E27" s="119"/>
      <c r="F27" s="119"/>
      <c r="G27" s="119"/>
      <c r="H27" s="207"/>
      <c r="I27" s="121"/>
    </row>
    <row r="28" spans="1:9" s="36" customFormat="1" ht="13.2" x14ac:dyDescent="0.25">
      <c r="A28" s="36" t="s">
        <v>302</v>
      </c>
      <c r="B28" s="118"/>
      <c r="D28" s="119"/>
      <c r="E28" s="119"/>
      <c r="F28" s="119"/>
      <c r="G28" s="119"/>
      <c r="H28" s="207"/>
      <c r="I28" s="121"/>
    </row>
    <row r="29" spans="1:9" s="36" customFormat="1" ht="13.2" x14ac:dyDescent="0.25">
      <c r="A29" s="128" t="s">
        <v>99</v>
      </c>
      <c r="B29" s="118"/>
      <c r="C29" s="163" t="s">
        <v>94</v>
      </c>
      <c r="D29" s="119"/>
      <c r="E29" s="119"/>
      <c r="F29" s="119"/>
      <c r="G29" s="119"/>
      <c r="H29" s="207"/>
      <c r="I29" s="121"/>
    </row>
    <row r="30" spans="1:9" s="36" customFormat="1" ht="13.2" x14ac:dyDescent="0.25">
      <c r="A30" s="243" t="s">
        <v>524</v>
      </c>
      <c r="B30" s="118"/>
      <c r="C30" s="115">
        <v>65</v>
      </c>
      <c r="D30" s="115">
        <v>65</v>
      </c>
      <c r="E30" s="115">
        <v>65</v>
      </c>
      <c r="F30" s="115">
        <v>65</v>
      </c>
      <c r="G30" s="115">
        <v>65</v>
      </c>
      <c r="H30" s="203">
        <v>65</v>
      </c>
      <c r="I30" s="121"/>
    </row>
    <row r="31" spans="1:9" s="36" customFormat="1" ht="13.2" x14ac:dyDescent="0.25">
      <c r="A31" s="243" t="s">
        <v>525</v>
      </c>
      <c r="B31" s="118"/>
      <c r="C31" s="115">
        <v>477</v>
      </c>
      <c r="D31" s="115">
        <v>477</v>
      </c>
      <c r="E31" s="115">
        <v>477</v>
      </c>
      <c r="F31" s="115">
        <v>477</v>
      </c>
      <c r="G31" s="115">
        <v>477</v>
      </c>
      <c r="H31" s="203">
        <v>477</v>
      </c>
      <c r="I31" s="121"/>
    </row>
    <row r="32" spans="1:9" s="36" customFormat="1" ht="13.2" x14ac:dyDescent="0.25">
      <c r="A32" s="36" t="s">
        <v>303</v>
      </c>
      <c r="B32" s="118"/>
      <c r="C32" s="163">
        <v>9254</v>
      </c>
      <c r="D32" s="119"/>
      <c r="E32" s="119"/>
      <c r="F32" s="119"/>
      <c r="G32" s="119"/>
      <c r="H32" s="207"/>
      <c r="I32" s="121"/>
    </row>
    <row r="33" spans="1:10" s="36" customFormat="1" ht="15" x14ac:dyDescent="0.3">
      <c r="A33" s="36" t="s">
        <v>304</v>
      </c>
      <c r="B33" s="118"/>
      <c r="C33" s="163">
        <v>39689</v>
      </c>
      <c r="D33" s="119"/>
      <c r="E33" s="119"/>
      <c r="F33" s="119"/>
      <c r="G33" s="119"/>
      <c r="H33" s="207"/>
      <c r="I33" s="121"/>
    </row>
    <row r="34" spans="1:10" s="36" customFormat="1" ht="13.2" x14ac:dyDescent="0.25">
      <c r="A34" s="36" t="s">
        <v>305</v>
      </c>
      <c r="B34" s="118"/>
      <c r="C34" s="163">
        <v>465</v>
      </c>
      <c r="D34" s="119"/>
      <c r="E34" s="119"/>
      <c r="F34" s="119"/>
      <c r="G34" s="119"/>
      <c r="H34" s="207"/>
      <c r="I34" s="121"/>
    </row>
    <row r="35" spans="1:10" s="36" customFormat="1" ht="13.2" x14ac:dyDescent="0.25">
      <c r="A35" s="130" t="s">
        <v>306</v>
      </c>
      <c r="B35" s="118"/>
      <c r="C35" s="206">
        <f t="shared" ref="C35:H35" si="2">(1/$C$33)*(C30*$C$32)+(C31/$C$34)</f>
        <v>16.181391122428494</v>
      </c>
      <c r="D35" s="125">
        <f t="shared" si="2"/>
        <v>16.181391122428494</v>
      </c>
      <c r="E35" s="125">
        <f t="shared" si="2"/>
        <v>16.181391122428494</v>
      </c>
      <c r="F35" s="125">
        <f t="shared" si="2"/>
        <v>16.181391122428494</v>
      </c>
      <c r="G35" s="125">
        <f t="shared" si="2"/>
        <v>16.181391122428494</v>
      </c>
      <c r="H35" s="204">
        <f t="shared" si="2"/>
        <v>16.181391122428494</v>
      </c>
      <c r="I35" s="121"/>
    </row>
    <row r="36" spans="1:10" s="36" customFormat="1" ht="13.2" x14ac:dyDescent="0.25">
      <c r="A36" s="130"/>
      <c r="B36" s="118"/>
      <c r="D36" s="119"/>
      <c r="E36" s="119"/>
      <c r="F36" s="119"/>
      <c r="G36" s="119"/>
      <c r="H36" s="207"/>
      <c r="I36" s="121"/>
    </row>
    <row r="37" spans="1:10" ht="12.75" customHeight="1" x14ac:dyDescent="0.2">
      <c r="A37" s="189" t="s">
        <v>493</v>
      </c>
      <c r="B37" s="201"/>
      <c r="C37" s="200">
        <v>2.0528246666666665</v>
      </c>
      <c r="D37" s="202">
        <v>2.0528246666666665</v>
      </c>
      <c r="E37" s="202">
        <v>2.0528246666666665</v>
      </c>
      <c r="F37" s="202">
        <v>2.0528246666666665</v>
      </c>
      <c r="G37" s="202">
        <v>2.0528246666666665</v>
      </c>
      <c r="H37" s="200">
        <v>2.0528246666666665</v>
      </c>
      <c r="I37" s="240"/>
      <c r="J37" s="241"/>
    </row>
    <row r="38" spans="1:10" ht="12.75" customHeight="1" x14ac:dyDescent="0.25">
      <c r="A38" s="55" t="s">
        <v>145</v>
      </c>
      <c r="B38" s="89" t="s">
        <v>97</v>
      </c>
      <c r="C38" s="90">
        <f>VLOOKUP($B38,Inputs!$A$21:$H$24,3,)</f>
        <v>313.51760000000002</v>
      </c>
      <c r="D38" s="90">
        <f>VLOOKUP($B38,Inputs!$A$21:$H$24,4,)</f>
        <v>313.51760000000002</v>
      </c>
      <c r="E38" s="90">
        <f>VLOOKUP($B38,Inputs!$A$21:$H$24,5,)</f>
        <v>313.51760000000002</v>
      </c>
      <c r="F38" s="90">
        <f>VLOOKUP($B38,Inputs!$A$21:$H$24,6,)</f>
        <v>313.51760000000002</v>
      </c>
      <c r="G38" s="90">
        <f>VLOOKUP($B38,Inputs!$A$21:$H$24,7,)</f>
        <v>313.51760000000002</v>
      </c>
      <c r="H38" s="90">
        <f>VLOOKUP($B38,Inputs!$A$21:$H$24,8,)</f>
        <v>313.51760000000002</v>
      </c>
      <c r="I38" s="75"/>
    </row>
    <row r="39" spans="1:10" ht="13.2" thickBot="1" x14ac:dyDescent="0.25">
      <c r="A39" s="6"/>
      <c r="B39" s="30"/>
      <c r="C39" s="8"/>
      <c r="D39" s="8"/>
      <c r="E39" s="8"/>
      <c r="F39" s="8"/>
      <c r="G39" s="8"/>
      <c r="H39" s="9"/>
      <c r="I39" s="75"/>
    </row>
    <row r="40" spans="1:10" x14ac:dyDescent="0.2">
      <c r="A40" s="45" t="s">
        <v>148</v>
      </c>
      <c r="B40" s="91" t="s">
        <v>60</v>
      </c>
      <c r="C40" s="92">
        <f t="shared" ref="C40:H40" si="3">(C14+C18)*C43</f>
        <v>0</v>
      </c>
      <c r="D40" s="92">
        <f t="shared" si="3"/>
        <v>0</v>
      </c>
      <c r="E40" s="92">
        <f t="shared" si="3"/>
        <v>0</v>
      </c>
      <c r="F40" s="92">
        <f t="shared" si="3"/>
        <v>0</v>
      </c>
      <c r="G40" s="92">
        <f t="shared" si="3"/>
        <v>0</v>
      </c>
      <c r="H40" s="92">
        <f t="shared" si="3"/>
        <v>0</v>
      </c>
      <c r="I40" s="75"/>
      <c r="J40" s="70"/>
    </row>
    <row r="41" spans="1:10" x14ac:dyDescent="0.2">
      <c r="A41" s="6" t="s">
        <v>149</v>
      </c>
      <c r="B41" s="20" t="s">
        <v>60</v>
      </c>
      <c r="C41" s="73">
        <f t="shared" ref="C41:H41" si="4">(((C26*C38)+C35)*C43)+C37</f>
        <v>2.0528246666666665</v>
      </c>
      <c r="D41" s="73">
        <f t="shared" si="4"/>
        <v>2.0528246666666665</v>
      </c>
      <c r="E41" s="73">
        <f t="shared" si="4"/>
        <v>2.0528246666666665</v>
      </c>
      <c r="F41" s="73">
        <f t="shared" si="4"/>
        <v>2.0528246666666665</v>
      </c>
      <c r="G41" s="73">
        <f t="shared" si="4"/>
        <v>2.0528246666666665</v>
      </c>
      <c r="H41" s="73">
        <f t="shared" si="4"/>
        <v>2.0528246666666665</v>
      </c>
      <c r="I41" s="75"/>
    </row>
    <row r="42" spans="1:10" x14ac:dyDescent="0.2">
      <c r="A42" s="78" t="s">
        <v>150</v>
      </c>
      <c r="B42" s="79" t="s">
        <v>39</v>
      </c>
      <c r="C42" s="80">
        <v>22.5</v>
      </c>
      <c r="D42" s="80"/>
      <c r="E42" s="80"/>
      <c r="F42" s="80"/>
      <c r="G42" s="80"/>
      <c r="H42" s="81"/>
      <c r="I42" s="75"/>
    </row>
    <row r="43" spans="1:10" x14ac:dyDescent="0.2">
      <c r="A43" s="239" t="s">
        <v>516</v>
      </c>
      <c r="B43" s="79" t="s">
        <v>56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1">
        <v>0</v>
      </c>
      <c r="I43" s="75"/>
    </row>
    <row r="44" spans="1:10" ht="13.8" thickBot="1" x14ac:dyDescent="0.3">
      <c r="A44" s="60" t="s">
        <v>135</v>
      </c>
      <c r="B44" s="76" t="s">
        <v>88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5"/>
    </row>
    <row r="47" spans="1:10" x14ac:dyDescent="0.2">
      <c r="A47" s="183"/>
    </row>
    <row r="48" spans="1:10" x14ac:dyDescent="0.2">
      <c r="A48" s="192"/>
    </row>
    <row r="49" spans="1:9" x14ac:dyDescent="0.2">
      <c r="A49" s="192"/>
    </row>
    <row r="50" spans="1:9" x14ac:dyDescent="0.2">
      <c r="A50" s="192"/>
    </row>
    <row r="60" spans="1:9" x14ac:dyDescent="0.2">
      <c r="A60" t="s">
        <v>492</v>
      </c>
      <c r="C60">
        <v>111988379</v>
      </c>
      <c r="D60">
        <v>155464522.79999998</v>
      </c>
      <c r="E60">
        <v>148558236</v>
      </c>
      <c r="F60">
        <v>125681728</v>
      </c>
      <c r="G60">
        <v>192215996</v>
      </c>
      <c r="H60">
        <v>210671187</v>
      </c>
      <c r="I60">
        <v>1495697891.8</v>
      </c>
    </row>
  </sheetData>
  <phoneticPr fontId="54" type="noConversion"/>
  <dataValidations count="1">
    <dataValidation type="list" allowBlank="1" showInputMessage="1" showErrorMessage="1" sqref="B38 C17 C10 C22 C29" xr:uid="{00000000-0002-0000-2600-000000000000}">
      <formula1>Currency</formula1>
    </dataValidation>
  </dataValidation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P92"/>
  <sheetViews>
    <sheetView showGridLines="0" view="pageBreakPreview" topLeftCell="A12" zoomScale="90" zoomScaleNormal="90" zoomScaleSheetLayoutView="90" workbookViewId="0">
      <selection activeCell="J60" sqref="J60"/>
    </sheetView>
  </sheetViews>
  <sheetFormatPr defaultColWidth="11" defaultRowHeight="12.6" x14ac:dyDescent="0.2"/>
  <cols>
    <col min="1" max="1" width="33.7265625" customWidth="1"/>
    <col min="2" max="2" width="14.08984375" customWidth="1"/>
    <col min="3" max="3" width="19.90625" hidden="1" customWidth="1"/>
    <col min="4" max="5" width="16.453125" hidden="1" customWidth="1"/>
    <col min="6" max="7" width="16.453125" bestFit="1" customWidth="1"/>
    <col min="8" max="8" width="19.36328125" customWidth="1"/>
    <col min="9" max="9" width="16.26953125" customWidth="1"/>
    <col min="10" max="10" width="18.08984375" bestFit="1" customWidth="1"/>
  </cols>
  <sheetData>
    <row r="1" spans="1:42" s="27" customFormat="1" ht="16.2" x14ac:dyDescent="0.3">
      <c r="A1" s="3" t="s">
        <v>53</v>
      </c>
      <c r="D1" s="347">
        <v>0.94400644600000005</v>
      </c>
      <c r="F1" s="2313" t="s">
        <v>1260</v>
      </c>
      <c r="G1" s="2265"/>
      <c r="H1" s="2265"/>
    </row>
    <row r="2" spans="1:42" s="27" customFormat="1" ht="19.8" x14ac:dyDescent="0.3">
      <c r="A2" s="387"/>
      <c r="D2" s="347"/>
      <c r="G2" s="1821"/>
      <c r="H2" s="1821"/>
    </row>
    <row r="4" spans="1:42" x14ac:dyDescent="0.2">
      <c r="A4" s="1107" t="s">
        <v>62</v>
      </c>
      <c r="B4" s="1108" t="s">
        <v>36</v>
      </c>
      <c r="C4" s="1116">
        <f>DispatchSchedule!F3</f>
        <v>46023</v>
      </c>
      <c r="D4" s="1116">
        <f>DispatchSchedule!G3</f>
        <v>46054</v>
      </c>
      <c r="E4" s="1116">
        <f>DispatchSchedule!H3</f>
        <v>46082</v>
      </c>
      <c r="F4" s="1116">
        <f>DispatchSchedule!I3</f>
        <v>46113</v>
      </c>
      <c r="G4" s="1116">
        <f>DispatchSchedule!J3</f>
        <v>46143</v>
      </c>
      <c r="H4" s="1116">
        <f>DispatchSchedule!K3</f>
        <v>46174</v>
      </c>
    </row>
    <row r="5" spans="1:42" x14ac:dyDescent="0.2">
      <c r="A5" s="1109" t="s">
        <v>35</v>
      </c>
      <c r="B5" s="1110" t="s">
        <v>39</v>
      </c>
      <c r="C5" s="1111">
        <f>+DispatchSchedule!F66*$D1</f>
        <v>0</v>
      </c>
      <c r="D5" s="1111">
        <f>+DispatchSchedule!G66*$D1</f>
        <v>0</v>
      </c>
      <c r="E5" s="1111">
        <f>+DispatchSchedule!H66*$D1</f>
        <v>0</v>
      </c>
      <c r="F5" s="1111">
        <f>+DispatchSchedule!I66*$D1</f>
        <v>2834.8154617842506</v>
      </c>
      <c r="G5" s="1111">
        <f>+DispatchSchedule!J66*$D1</f>
        <v>2729.7789003212042</v>
      </c>
      <c r="H5" s="1111">
        <f>+DispatchSchedule!K66*$D1</f>
        <v>2650.6740556204618</v>
      </c>
    </row>
    <row r="6" spans="1:42" ht="13.2" hidden="1" thickBot="1" x14ac:dyDescent="0.25">
      <c r="A6" s="740"/>
      <c r="B6" s="223"/>
      <c r="C6" s="741"/>
      <c r="D6" s="741"/>
      <c r="E6" s="741"/>
      <c r="F6" s="741"/>
      <c r="G6" s="741"/>
      <c r="H6" s="741"/>
    </row>
    <row r="7" spans="1:42" ht="13.2" hidden="1" thickBot="1" x14ac:dyDescent="0.25">
      <c r="A7" s="22" t="s">
        <v>62</v>
      </c>
      <c r="B7" s="23" t="s">
        <v>36</v>
      </c>
      <c r="C7" s="425">
        <f>C4</f>
        <v>46023</v>
      </c>
      <c r="D7" s="425">
        <f t="shared" ref="D7:H7" si="0">D4</f>
        <v>46054</v>
      </c>
      <c r="E7" s="425">
        <f t="shared" si="0"/>
        <v>46082</v>
      </c>
      <c r="F7" s="425">
        <f t="shared" si="0"/>
        <v>46113</v>
      </c>
      <c r="G7" s="425">
        <f t="shared" si="0"/>
        <v>46143</v>
      </c>
      <c r="H7" s="425">
        <f t="shared" si="0"/>
        <v>46174</v>
      </c>
    </row>
    <row r="8" spans="1:42" ht="13.2" hidden="1" thickBot="1" x14ac:dyDescent="0.25">
      <c r="A8" s="742" t="s">
        <v>35</v>
      </c>
      <c r="B8" s="743" t="s">
        <v>39</v>
      </c>
      <c r="C8" s="744">
        <f>'Transmission Tariff_2'!E10</f>
        <v>-8.6739900000000016</v>
      </c>
      <c r="D8" s="744">
        <f>'Transmission Tariff_2'!F10</f>
        <v>-8.1382274999999993</v>
      </c>
      <c r="E8" s="744">
        <f>'Transmission Tariff_2'!G10</f>
        <v>-10.43835</v>
      </c>
      <c r="F8" s="744">
        <f>'Transmission Tariff_2'!H10</f>
        <v>2830.0551006481478</v>
      </c>
      <c r="G8" s="744">
        <f>'Transmission Tariff_2'!I10</f>
        <v>2721.0388095385301</v>
      </c>
      <c r="H8" s="744">
        <f>'Transmission Tariff_2'!J10</f>
        <v>2642.823017860449</v>
      </c>
    </row>
    <row r="9" spans="1:42" x14ac:dyDescent="0.2">
      <c r="A9" s="740"/>
      <c r="B9" s="223"/>
      <c r="C9" s="1207"/>
      <c r="D9" s="1207"/>
      <c r="E9" s="1207"/>
      <c r="F9" s="1207"/>
      <c r="G9" s="1207"/>
      <c r="H9" s="1207"/>
    </row>
    <row r="10" spans="1:42" x14ac:dyDescent="0.2">
      <c r="B10" s="2"/>
      <c r="C10" s="1208"/>
      <c r="D10" s="1208"/>
      <c r="E10" s="1208"/>
      <c r="F10" s="1208"/>
      <c r="G10" s="1208"/>
      <c r="H10" s="1208"/>
    </row>
    <row r="11" spans="1:42" x14ac:dyDescent="0.2">
      <c r="A11" s="2931" t="s">
        <v>54</v>
      </c>
      <c r="B11" s="2932"/>
      <c r="C11" s="2932"/>
      <c r="D11" s="2932"/>
      <c r="E11" s="2932"/>
      <c r="F11" s="2932"/>
      <c r="G11" s="2932"/>
      <c r="H11" s="2932"/>
      <c r="I11" s="4"/>
      <c r="J11" s="2931"/>
      <c r="K11" s="2931"/>
      <c r="L11" s="2931"/>
      <c r="M11" s="2931"/>
      <c r="N11" s="2931"/>
      <c r="O11" s="2931"/>
      <c r="P11" s="2931"/>
      <c r="Q11" s="2931"/>
      <c r="R11" s="2931"/>
      <c r="S11" s="2931"/>
      <c r="T11" s="2931"/>
      <c r="U11" s="2931"/>
      <c r="V11" s="2931"/>
      <c r="W11" s="2931"/>
      <c r="X11" s="2931"/>
      <c r="Y11" s="2931"/>
      <c r="Z11" s="2931"/>
      <c r="AA11" s="2931"/>
      <c r="AB11" s="2931"/>
      <c r="AC11" s="2931"/>
      <c r="AD11" s="2931"/>
      <c r="AE11" s="2931"/>
      <c r="AF11" s="2931"/>
      <c r="AG11" s="2931"/>
      <c r="AH11" s="2931"/>
      <c r="AI11" s="2931"/>
      <c r="AJ11" s="2931"/>
      <c r="AK11" s="2931"/>
      <c r="AL11" s="2931"/>
      <c r="AM11" s="2931"/>
      <c r="AN11" s="4"/>
    </row>
    <row r="12" spans="1:42" x14ac:dyDescent="0.2">
      <c r="A12" s="1112" t="s">
        <v>61</v>
      </c>
      <c r="B12" s="1108" t="s">
        <v>36</v>
      </c>
      <c r="C12" s="1116">
        <f>C4</f>
        <v>46023</v>
      </c>
      <c r="D12" s="1116">
        <f t="shared" ref="D12:H12" si="1">D4</f>
        <v>46054</v>
      </c>
      <c r="E12" s="1116">
        <f t="shared" si="1"/>
        <v>46082</v>
      </c>
      <c r="F12" s="1116">
        <f t="shared" si="1"/>
        <v>46113</v>
      </c>
      <c r="G12" s="1116">
        <f t="shared" si="1"/>
        <v>46143</v>
      </c>
      <c r="H12" s="1116">
        <f t="shared" si="1"/>
        <v>46174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4"/>
      <c r="AO12" s="2"/>
      <c r="AP12" s="2"/>
    </row>
    <row r="13" spans="1:42" x14ac:dyDescent="0.2">
      <c r="A13" s="1113" t="s">
        <v>57</v>
      </c>
      <c r="B13" s="12" t="s">
        <v>60</v>
      </c>
      <c r="C13" s="1325">
        <f>MAHAWELI!C198</f>
        <v>292.11220083000006</v>
      </c>
      <c r="D13" s="1325">
        <f>MAHAWELI!D198</f>
        <v>392.18136622000003</v>
      </c>
      <c r="E13" s="1325">
        <f>MAHAWELI!E198</f>
        <v>323.82497883000002</v>
      </c>
      <c r="F13" s="1325">
        <f>MAHAWELI!F198</f>
        <v>370.75710390125084</v>
      </c>
      <c r="G13" s="1325">
        <f>MAHAWELI!G198</f>
        <v>370.46913590125087</v>
      </c>
      <c r="H13" s="1325">
        <f>MAHAWELI!H198</f>
        <v>370.17986190125083</v>
      </c>
      <c r="I13" s="566">
        <f>SUM(F13:H13)</f>
        <v>1111.4061017037525</v>
      </c>
      <c r="J13" s="1253"/>
      <c r="K13" s="2608">
        <f>+SUM(F13:H28)</f>
        <v>10244.729439717008</v>
      </c>
      <c r="P13" s="150"/>
      <c r="Q13" s="150"/>
      <c r="R13" s="150"/>
      <c r="S13" s="150"/>
      <c r="T13" s="150"/>
      <c r="U13" s="150"/>
    </row>
    <row r="14" spans="1:42" x14ac:dyDescent="0.2">
      <c r="A14" s="1113" t="s">
        <v>58</v>
      </c>
      <c r="B14" s="12" t="s">
        <v>60</v>
      </c>
      <c r="C14" s="1325">
        <f>LAXAPANA!C141</f>
        <v>423.97343092853475</v>
      </c>
      <c r="D14" s="1325">
        <f>LAXAPANA!D141</f>
        <v>465.02808267520135</v>
      </c>
      <c r="E14" s="1325">
        <f>LAXAPANA!E141</f>
        <v>431.61499481742356</v>
      </c>
      <c r="F14" s="1325">
        <f>LAXAPANA!F141</f>
        <v>462.46402558183365</v>
      </c>
      <c r="G14" s="1325">
        <f>LAXAPANA!G141</f>
        <v>462.38636258183368</v>
      </c>
      <c r="H14" s="1325">
        <f>LAXAPANA!H141</f>
        <v>462.30827858183363</v>
      </c>
      <c r="I14" s="566">
        <f t="shared" ref="I14:I34" si="2">SUM(F14:H14)</f>
        <v>1387.1586667455008</v>
      </c>
      <c r="J14" s="1253"/>
      <c r="K14" s="2608">
        <f>+SUM(F23:H23)</f>
        <v>3496.0700526337446</v>
      </c>
      <c r="P14" s="150"/>
      <c r="Q14" s="150"/>
      <c r="R14" s="150"/>
      <c r="S14" s="150"/>
      <c r="T14" s="150"/>
      <c r="U14" s="150"/>
    </row>
    <row r="15" spans="1:42" x14ac:dyDescent="0.2">
      <c r="A15" s="1113" t="s">
        <v>1054</v>
      </c>
      <c r="B15" s="12" t="s">
        <v>60</v>
      </c>
      <c r="C15" s="1325">
        <f>Samanala!C140</f>
        <v>276.58552576588232</v>
      </c>
      <c r="D15" s="1325">
        <f>Samanala!D140</f>
        <v>355.21225343254901</v>
      </c>
      <c r="E15" s="1325">
        <f>Samanala!E140</f>
        <v>489.9634436547712</v>
      </c>
      <c r="F15" s="1325">
        <f>Samanala!F140</f>
        <v>509.2659282200446</v>
      </c>
      <c r="G15" s="1325">
        <f>Samanala!G140</f>
        <v>508.51747722004461</v>
      </c>
      <c r="H15" s="1325">
        <f>Samanala!H140</f>
        <v>507.76314622004463</v>
      </c>
      <c r="I15" s="566">
        <f t="shared" si="2"/>
        <v>1525.5465516601339</v>
      </c>
      <c r="J15" s="1253"/>
      <c r="K15" s="2608"/>
      <c r="P15" s="150"/>
      <c r="Q15" s="150"/>
      <c r="R15" s="150"/>
      <c r="S15" s="150"/>
      <c r="T15" s="150"/>
      <c r="U15" s="150"/>
    </row>
    <row r="16" spans="1:42" x14ac:dyDescent="0.2">
      <c r="A16" s="1113" t="s">
        <v>1067</v>
      </c>
      <c r="B16" s="12" t="s">
        <v>60</v>
      </c>
      <c r="C16" s="1325">
        <f>'Mannar wind'!C32</f>
        <v>520.91150096000001</v>
      </c>
      <c r="D16" s="1325">
        <f>'Mannar wind'!D32</f>
        <v>530.70879819999993</v>
      </c>
      <c r="E16" s="1325">
        <f>'Mannar wind'!E32</f>
        <v>520.91150096000001</v>
      </c>
      <c r="F16" s="1325">
        <f>'Mannar wind'!F32</f>
        <v>524.82329494611918</v>
      </c>
      <c r="G16" s="1325">
        <f>'Mannar wind'!G32</f>
        <v>524.82329494611918</v>
      </c>
      <c r="H16" s="1325">
        <f>'Mannar wind'!H32</f>
        <v>524.82329494611918</v>
      </c>
      <c r="I16" s="566">
        <f t="shared" si="2"/>
        <v>1574.4698848383575</v>
      </c>
      <c r="J16" s="1253"/>
      <c r="K16" s="2608"/>
      <c r="P16" s="150"/>
      <c r="Q16" s="150"/>
      <c r="R16" s="150"/>
      <c r="S16" s="150"/>
      <c r="T16" s="150"/>
      <c r="U16" s="150"/>
    </row>
    <row r="17" spans="1:34" x14ac:dyDescent="0.2">
      <c r="A17" s="1113" t="s">
        <v>369</v>
      </c>
      <c r="B17" s="12" t="s">
        <v>60</v>
      </c>
      <c r="C17" s="1325">
        <f>'DSP1'!C66</f>
        <v>90.437624292999985</v>
      </c>
      <c r="D17" s="1325">
        <f>'DSP1'!D66</f>
        <v>99.611563662999984</v>
      </c>
      <c r="E17" s="1325">
        <f>'DSP1'!E66</f>
        <v>95.093336292999979</v>
      </c>
      <c r="F17" s="1325">
        <f>'DSP1'!F66</f>
        <v>49.80132920498648</v>
      </c>
      <c r="G17" s="1325">
        <f>'DSP1'!G66</f>
        <v>49.772915204986482</v>
      </c>
      <c r="H17" s="1325">
        <f>'DSP1'!H66</f>
        <v>49.74424120498648</v>
      </c>
      <c r="I17" s="566">
        <f t="shared" si="2"/>
        <v>149.31848561495946</v>
      </c>
      <c r="J17" s="1253"/>
      <c r="K17" s="2608"/>
      <c r="P17" s="150"/>
      <c r="Q17" s="150"/>
      <c r="R17" s="150"/>
      <c r="S17" s="150"/>
      <c r="T17" s="150"/>
      <c r="U17" s="150"/>
    </row>
    <row r="18" spans="1:34" x14ac:dyDescent="0.2">
      <c r="A18" s="1113" t="s">
        <v>424</v>
      </c>
      <c r="B18" s="12" t="s">
        <v>60</v>
      </c>
      <c r="C18" s="1325">
        <f>'DSP2'!C67</f>
        <v>93.021555923999998</v>
      </c>
      <c r="D18" s="1325">
        <f>'DSP2'!D67</f>
        <v>102.45678535385916</v>
      </c>
      <c r="E18" s="1325">
        <f>'DSP2'!E67</f>
        <v>97.810288318366204</v>
      </c>
      <c r="F18" s="1325">
        <f>'DSP2'!F67</f>
        <v>51.224224206119679</v>
      </c>
      <c r="G18" s="1325">
        <f>'DSP2'!G67</f>
        <v>51.194998856725505</v>
      </c>
      <c r="H18" s="1325">
        <f>'DSP2'!H67</f>
        <v>51.165505608295227</v>
      </c>
      <c r="I18" s="566">
        <f t="shared" si="2"/>
        <v>153.58472867114043</v>
      </c>
      <c r="J18" s="1253"/>
      <c r="K18" s="2608"/>
      <c r="P18" s="150"/>
      <c r="Q18" s="150"/>
      <c r="R18" s="150"/>
      <c r="S18" s="150"/>
      <c r="T18" s="150"/>
      <c r="U18" s="150"/>
    </row>
    <row r="19" spans="1:34" s="407" customFormat="1" x14ac:dyDescent="0.2">
      <c r="A19" s="1113" t="s">
        <v>392</v>
      </c>
      <c r="B19" s="12" t="s">
        <v>60</v>
      </c>
      <c r="C19" s="1325">
        <f>'GT16'!C77</f>
        <v>16.048242112000001</v>
      </c>
      <c r="D19" s="1325">
        <f>'GT16'!D77</f>
        <v>22.106474222000003</v>
      </c>
      <c r="E19" s="1325">
        <f>'GT16'!E77</f>
        <v>16.048242112000001</v>
      </c>
      <c r="F19" s="1325">
        <f>'GT16'!F77</f>
        <v>20.210975686004531</v>
      </c>
      <c r="G19" s="1325">
        <f>'GT16'!G77</f>
        <v>20.210975686004531</v>
      </c>
      <c r="H19" s="1325">
        <f>'GT16'!H77</f>
        <v>20.210975686004531</v>
      </c>
      <c r="I19" s="566">
        <f t="shared" si="2"/>
        <v>60.632927058013593</v>
      </c>
      <c r="J19" s="1253"/>
      <c r="K19" s="2608"/>
      <c r="L19"/>
      <c r="M19"/>
      <c r="N19"/>
      <c r="O19"/>
      <c r="P19" s="150"/>
      <c r="Q19" s="150"/>
      <c r="R19" s="150"/>
      <c r="S19" s="150"/>
      <c r="T19" s="150"/>
      <c r="U19" s="150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s="407" customFormat="1" x14ac:dyDescent="0.2">
      <c r="A20" s="1113" t="s">
        <v>409</v>
      </c>
      <c r="B20" s="12" t="s">
        <v>60</v>
      </c>
      <c r="C20" s="1325">
        <f>'GT07'!C62</f>
        <v>28.836685009999997</v>
      </c>
      <c r="D20" s="1325">
        <f>'GT07'!D62</f>
        <v>39.722570829999995</v>
      </c>
      <c r="E20" s="1325">
        <f>'GT07'!E62</f>
        <v>28.836685009999997</v>
      </c>
      <c r="F20" s="1325">
        <f>'GT07'!F62</f>
        <v>36.316597677976901</v>
      </c>
      <c r="G20" s="1325">
        <f>'GT07'!G62</f>
        <v>36.316597677976901</v>
      </c>
      <c r="H20" s="1325">
        <f>'GT07'!H62</f>
        <v>36.316597677976901</v>
      </c>
      <c r="I20" s="566">
        <f t="shared" si="2"/>
        <v>108.9497930339307</v>
      </c>
      <c r="J20" s="1253"/>
      <c r="K20" s="2608"/>
      <c r="L20"/>
      <c r="M20"/>
      <c r="N20"/>
      <c r="O20"/>
      <c r="P20" s="150"/>
      <c r="Q20" s="150"/>
      <c r="R20" s="150"/>
      <c r="S20" s="150"/>
      <c r="T20" s="150"/>
      <c r="U20" s="15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s="407" customFormat="1" x14ac:dyDescent="0.2">
      <c r="A21" s="1113" t="s">
        <v>5</v>
      </c>
      <c r="B21" s="12" t="s">
        <v>60</v>
      </c>
      <c r="C21" s="1325">
        <f>CCKP!C83</f>
        <v>59.644823780000003</v>
      </c>
      <c r="D21" s="1325">
        <f>CCKP!D83</f>
        <v>75.26370344</v>
      </c>
      <c r="E21" s="1325">
        <f>CCKP!E83</f>
        <v>59.644823780000003</v>
      </c>
      <c r="F21" s="1325">
        <f>CCKP!F83</f>
        <v>61.17437644994564</v>
      </c>
      <c r="G21" s="1325">
        <f>CCKP!G83</f>
        <v>61.17437644994564</v>
      </c>
      <c r="H21" s="1325">
        <f>CCKP!H83</f>
        <v>61.17437644994564</v>
      </c>
      <c r="I21" s="566">
        <f t="shared" si="2"/>
        <v>183.52312934983692</v>
      </c>
      <c r="J21" s="1253"/>
      <c r="K21" s="2608"/>
      <c r="L21"/>
      <c r="M21"/>
      <c r="N21"/>
      <c r="O21"/>
      <c r="P21" s="150"/>
      <c r="Q21" s="150"/>
      <c r="R21" s="150"/>
      <c r="S21" s="150"/>
      <c r="T21" s="150"/>
      <c r="U21" s="150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s="407" customFormat="1" x14ac:dyDescent="0.2">
      <c r="A22" s="1113" t="s">
        <v>1176</v>
      </c>
      <c r="B22" s="12" t="s">
        <v>60</v>
      </c>
      <c r="C22" s="1325">
        <f>+'CCKP 02'!C67</f>
        <v>47.135513960000004</v>
      </c>
      <c r="D22" s="1325">
        <f>+'CCKP 02'!D67</f>
        <v>61.997114609999997</v>
      </c>
      <c r="E22" s="1325">
        <f>+'CCKP 02'!E67</f>
        <v>47.135513960000004</v>
      </c>
      <c r="F22" s="1325">
        <f>+'CCKP 02'!F67</f>
        <v>49.658051868544227</v>
      </c>
      <c r="G22" s="1325">
        <f>+'CCKP 02'!G67</f>
        <v>54.563051868544228</v>
      </c>
      <c r="H22" s="1325">
        <f>+'CCKP 02'!H67</f>
        <v>54.563051868544228</v>
      </c>
      <c r="I22" s="566">
        <f t="shared" si="2"/>
        <v>158.78415560563269</v>
      </c>
      <c r="J22" s="1253"/>
      <c r="K22" s="2608"/>
      <c r="L22"/>
      <c r="M22"/>
      <c r="N22"/>
      <c r="O22"/>
      <c r="P22" s="150"/>
      <c r="Q22" s="150"/>
      <c r="R22" s="150"/>
      <c r="S22" s="150"/>
      <c r="T22" s="150"/>
      <c r="U22" s="150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s="407" customFormat="1" x14ac:dyDescent="0.2">
      <c r="A23" s="1113" t="s">
        <v>14</v>
      </c>
      <c r="B23" s="12" t="s">
        <v>60</v>
      </c>
      <c r="C23" s="1325">
        <f>CPUT!C74</f>
        <v>1307.6464463609816</v>
      </c>
      <c r="D23" s="1325">
        <f>CPUT!D74</f>
        <v>1425.1410370776484</v>
      </c>
      <c r="E23" s="1325">
        <f>CPUT!E74</f>
        <v>1343.8034373609817</v>
      </c>
      <c r="F23" s="1325">
        <f>CPUT!F74</f>
        <v>1166.7055885445816</v>
      </c>
      <c r="G23" s="1325">
        <f>CPUT!G74</f>
        <v>1165.3572545445816</v>
      </c>
      <c r="H23" s="1325">
        <f>CPUT!H74</f>
        <v>1164.0072095445817</v>
      </c>
      <c r="I23" s="566">
        <f t="shared" si="2"/>
        <v>3496.0700526337446</v>
      </c>
      <c r="J23" s="1253"/>
      <c r="K23" s="2608"/>
      <c r="L23"/>
      <c r="M23"/>
      <c r="N23"/>
      <c r="O23"/>
      <c r="P23" s="150"/>
      <c r="Q23" s="150"/>
      <c r="R23" s="150"/>
      <c r="S23" s="150"/>
      <c r="T23" s="150"/>
      <c r="U23" s="150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407" customFormat="1" x14ac:dyDescent="0.2">
      <c r="A24" s="1113" t="s">
        <v>538</v>
      </c>
      <c r="B24" s="12" t="s">
        <v>60</v>
      </c>
      <c r="C24" s="1325">
        <f>DNCHU!C56</f>
        <v>36.522171260000007</v>
      </c>
      <c r="D24" s="1325">
        <f>DNCHU!D56</f>
        <v>38.794008299999994</v>
      </c>
      <c r="E24" s="1325">
        <f>DNCHU!E56</f>
        <v>36.522171260000007</v>
      </c>
      <c r="F24" s="1325">
        <f>DNCHU!F56</f>
        <v>24.26134715920421</v>
      </c>
      <c r="G24" s="1325">
        <f>DNCHU!G56</f>
        <v>24.26134715920421</v>
      </c>
      <c r="H24" s="1325">
        <f>DNCHU!H56</f>
        <v>24.26134715920421</v>
      </c>
      <c r="I24" s="566">
        <f t="shared" si="2"/>
        <v>72.784041477612632</v>
      </c>
      <c r="J24" s="1253"/>
      <c r="K24" s="2608"/>
      <c r="L24"/>
      <c r="M24"/>
      <c r="N24"/>
      <c r="O24"/>
      <c r="P24" s="150"/>
      <c r="Q24" s="150"/>
      <c r="R24" s="150"/>
      <c r="S24" s="150"/>
      <c r="T24" s="150"/>
      <c r="U24" s="150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407" customFormat="1" x14ac:dyDescent="0.2">
      <c r="A25" s="1113" t="s">
        <v>1053</v>
      </c>
      <c r="B25" s="12" t="s">
        <v>60</v>
      </c>
      <c r="C25" s="1325">
        <f>'Island Gen'!C56</f>
        <v>10.402308679999999</v>
      </c>
      <c r="D25" s="1325">
        <f>'Island Gen'!D56</f>
        <v>10.601094420000001</v>
      </c>
      <c r="E25" s="1325">
        <f>'Island Gen'!E56</f>
        <v>10.402308679999999</v>
      </c>
      <c r="F25" s="1325">
        <f>'Island Gen'!F56</f>
        <v>10.257897026305368</v>
      </c>
      <c r="G25" s="1325">
        <f>'Island Gen'!G56</f>
        <v>10.257897026305368</v>
      </c>
      <c r="H25" s="1325">
        <f>'Island Gen'!H56</f>
        <v>10.257897026305368</v>
      </c>
      <c r="I25" s="566">
        <f t="shared" si="2"/>
        <v>30.773691078916105</v>
      </c>
      <c r="J25" s="1253"/>
      <c r="K25" s="2608"/>
      <c r="L25"/>
      <c r="M25"/>
      <c r="N25"/>
      <c r="O25"/>
      <c r="P25" s="150"/>
      <c r="Q25" s="150"/>
      <c r="R25" s="150"/>
      <c r="S25" s="150"/>
      <c r="T25" s="150"/>
      <c r="U25" s="150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407" customFormat="1" x14ac:dyDescent="0.2">
      <c r="A26" s="1113" t="s">
        <v>643</v>
      </c>
      <c r="B26" s="12" t="s">
        <v>60</v>
      </c>
      <c r="C26" s="1325">
        <f>Barge!C56</f>
        <v>80.624988740000006</v>
      </c>
      <c r="D26" s="1325">
        <f>Barge!D56</f>
        <v>86.304581339999999</v>
      </c>
      <c r="E26" s="1325">
        <f>Barge!E56</f>
        <v>80.624988740000006</v>
      </c>
      <c r="F26" s="1325">
        <f>Barge!F56</f>
        <v>27.2202964096772</v>
      </c>
      <c r="G26" s="1325">
        <f>Barge!G56</f>
        <v>27.2202964096772</v>
      </c>
      <c r="H26" s="1325">
        <f>Barge!H56</f>
        <v>27.2202964096772</v>
      </c>
      <c r="I26" s="566">
        <f t="shared" si="2"/>
        <v>81.660889229031596</v>
      </c>
      <c r="J26" s="1253"/>
      <c r="K26" s="2608"/>
      <c r="L26"/>
      <c r="M26"/>
      <c r="N26"/>
      <c r="O26"/>
      <c r="P26" s="150"/>
      <c r="Q26" s="150"/>
      <c r="R26" s="150"/>
      <c r="S26" s="150"/>
      <c r="T26" s="150"/>
      <c r="U26" s="150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407" customFormat="1" x14ac:dyDescent="0.2">
      <c r="A27" s="1113" t="s">
        <v>1183</v>
      </c>
      <c r="B27" s="12" t="s">
        <v>60</v>
      </c>
      <c r="C27" s="1325">
        <f>'30MW-Hambantota'!C58</f>
        <v>29.085821758000002</v>
      </c>
      <c r="D27" s="1325">
        <f>'30MW-Hambantota'!D58</f>
        <v>31.925617758000001</v>
      </c>
      <c r="E27" s="1325">
        <f>'30MW-Hambantota'!E58</f>
        <v>29.085821758000002</v>
      </c>
      <c r="F27" s="1325">
        <f>'30MW-Hambantota'!F58</f>
        <v>30.013268008088069</v>
      </c>
      <c r="G27" s="1325">
        <f>'30MW-Hambantota'!G58</f>
        <v>30.013268008088069</v>
      </c>
      <c r="H27" s="1325">
        <f>'30MW-Hambantota'!H58</f>
        <v>30.013268008088069</v>
      </c>
      <c r="I27" s="566">
        <f t="shared" si="2"/>
        <v>90.039804024264214</v>
      </c>
      <c r="J27" s="1253"/>
      <c r="K27" s="2608"/>
      <c r="L27"/>
      <c r="M27"/>
      <c r="N27"/>
      <c r="O27"/>
      <c r="P27" s="150"/>
      <c r="Q27" s="150"/>
      <c r="R27" s="150"/>
      <c r="S27" s="150"/>
      <c r="T27" s="150"/>
      <c r="U27" s="150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407" customFormat="1" x14ac:dyDescent="0.2">
      <c r="A28" s="1113" t="s">
        <v>1181</v>
      </c>
      <c r="B28" s="12" t="s">
        <v>60</v>
      </c>
      <c r="C28" s="1325">
        <f>'20MW-Mathugama'!C58</f>
        <v>19.390548164000002</v>
      </c>
      <c r="D28" s="1325">
        <f>'20MW-Mathugama'!D58</f>
        <v>21.283746164</v>
      </c>
      <c r="E28" s="1325">
        <f>'20MW-Mathugama'!E58</f>
        <v>19.390548164000002</v>
      </c>
      <c r="F28" s="1325">
        <f>'20MW-Mathugama'!F58</f>
        <v>20.008845664058708</v>
      </c>
      <c r="G28" s="1325">
        <f>'20MW-Mathugama'!G58</f>
        <v>20.008845664058708</v>
      </c>
      <c r="H28" s="1325">
        <f>'20MW-Mathugama'!H58</f>
        <v>20.008845664058708</v>
      </c>
      <c r="I28" s="566">
        <f t="shared" si="2"/>
        <v>60.026536992176119</v>
      </c>
      <c r="J28" s="1253"/>
      <c r="K28" s="2608"/>
      <c r="L28"/>
      <c r="M28"/>
      <c r="N28"/>
      <c r="O28"/>
      <c r="P28" s="150"/>
      <c r="Q28" s="150"/>
      <c r="R28" s="150"/>
      <c r="S28" s="150"/>
      <c r="T28" s="150"/>
      <c r="U28" s="150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407" customFormat="1" x14ac:dyDescent="0.2">
      <c r="A29" s="1113" t="s">
        <v>13</v>
      </c>
      <c r="B29" s="12" t="s">
        <v>60</v>
      </c>
      <c r="C29" s="1325">
        <f>CCKW!C78</f>
        <v>1458.6681605117362</v>
      </c>
      <c r="D29" s="1325">
        <f>CCKW!D78</f>
        <v>1330.1253644467904</v>
      </c>
      <c r="E29" s="1325">
        <f>CCKW!E78</f>
        <v>1458.8508328224391</v>
      </c>
      <c r="F29" s="1325">
        <f>CCKW!F78</f>
        <v>1416.1459672475219</v>
      </c>
      <c r="G29" s="1325">
        <f>CCKW!G78</f>
        <v>1477.5370478924401</v>
      </c>
      <c r="H29" s="1325">
        <f>CCKW!H78</f>
        <v>1434.2294011862321</v>
      </c>
      <c r="I29" s="566">
        <f t="shared" si="2"/>
        <v>4327.912416326194</v>
      </c>
      <c r="J29" s="1253"/>
      <c r="K29" s="2608"/>
      <c r="L29"/>
      <c r="M29"/>
      <c r="N29"/>
      <c r="O29"/>
      <c r="P29" s="150"/>
      <c r="Q29" s="150"/>
      <c r="R29" s="150"/>
      <c r="S29" s="150"/>
      <c r="T29" s="150"/>
      <c r="U29" s="150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407" customFormat="1" x14ac:dyDescent="0.2">
      <c r="A30" s="1113" t="s">
        <v>1321</v>
      </c>
      <c r="B30" s="12" t="s">
        <v>60</v>
      </c>
      <c r="C30" s="1325">
        <f>+'SGPS 100MW'!C49</f>
        <v>0</v>
      </c>
      <c r="D30" s="1325">
        <f>+'SGPS 100MW'!D49</f>
        <v>0</v>
      </c>
      <c r="E30" s="1325">
        <f>+'SGPS 100MW'!E49</f>
        <v>0</v>
      </c>
      <c r="F30" s="1325">
        <f>+'SGPS 100MW'!F49</f>
        <v>0</v>
      </c>
      <c r="G30" s="1325">
        <f>+'SGPS 100MW'!G49</f>
        <v>0</v>
      </c>
      <c r="H30" s="1325">
        <f>+'SGPS 100MW'!H49</f>
        <v>0</v>
      </c>
      <c r="I30" s="566">
        <f t="shared" si="2"/>
        <v>0</v>
      </c>
      <c r="J30" s="1253"/>
      <c r="K30" s="2608"/>
      <c r="L30"/>
      <c r="M30"/>
      <c r="N30"/>
      <c r="O30"/>
      <c r="P30" s="150"/>
      <c r="Q30" s="150"/>
      <c r="R30" s="150"/>
      <c r="S30" s="150"/>
      <c r="T30" s="150"/>
      <c r="U30" s="15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407" customFormat="1" x14ac:dyDescent="0.2">
      <c r="A31" s="1113" t="s">
        <v>11</v>
      </c>
      <c r="B31" s="12" t="s">
        <v>60</v>
      </c>
      <c r="C31" s="1325">
        <f>'ACE-Embilipitíya'!C49</f>
        <v>0</v>
      </c>
      <c r="D31" s="1325">
        <f>'ACE-Embilipitíya'!D49</f>
        <v>0</v>
      </c>
      <c r="E31" s="1325">
        <f>'ACE-Embilipitíya'!E49</f>
        <v>0</v>
      </c>
      <c r="F31" s="1325">
        <f>'ACE-Embilipitíya'!F49</f>
        <v>0</v>
      </c>
      <c r="G31" s="1325">
        <f>'ACE-Embilipitíya'!G49</f>
        <v>0</v>
      </c>
      <c r="H31" s="1325">
        <f>'ACE-Embilipitíya'!H49</f>
        <v>0</v>
      </c>
      <c r="I31" s="566">
        <f t="shared" si="2"/>
        <v>0</v>
      </c>
      <c r="J31" s="1253"/>
      <c r="K31" s="2608"/>
      <c r="L31"/>
      <c r="M31"/>
      <c r="N31"/>
      <c r="O31"/>
      <c r="P31" s="150"/>
      <c r="Q31" s="150"/>
      <c r="R31" s="150"/>
      <c r="S31" s="150"/>
      <c r="T31" s="150"/>
      <c r="U31" s="150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407" customFormat="1" x14ac:dyDescent="0.2">
      <c r="A32" s="1113" t="s">
        <v>9</v>
      </c>
      <c r="B32" s="12" t="s">
        <v>60</v>
      </c>
      <c r="C32" s="1325">
        <f>'ACE-Matara'!C56</f>
        <v>0</v>
      </c>
      <c r="D32" s="1325">
        <f>'ACE-Matara'!D56</f>
        <v>0</v>
      </c>
      <c r="E32" s="1325">
        <f>'ACE-Matara'!E56</f>
        <v>0</v>
      </c>
      <c r="F32" s="1325">
        <f>'ACE-Matara'!F56</f>
        <v>0</v>
      </c>
      <c r="G32" s="1325">
        <f>'ACE-Matara'!G56</f>
        <v>0</v>
      </c>
      <c r="H32" s="1325">
        <f>'ACE-Matara'!H56</f>
        <v>0</v>
      </c>
      <c r="I32" s="566">
        <f t="shared" si="2"/>
        <v>0</v>
      </c>
      <c r="J32" s="1253"/>
      <c r="K32" s="2608"/>
      <c r="L32"/>
      <c r="M32"/>
      <c r="N32"/>
      <c r="O32"/>
      <c r="P32" s="150"/>
      <c r="Q32" s="150"/>
      <c r="R32" s="150"/>
      <c r="S32" s="150"/>
      <c r="T32" s="150"/>
      <c r="U32" s="150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407" customFormat="1" x14ac:dyDescent="0.2">
      <c r="A33" s="1113" t="s">
        <v>1244</v>
      </c>
      <c r="B33" s="12" t="s">
        <v>60</v>
      </c>
      <c r="C33" s="1036">
        <f>+Sobadhanavi!C112</f>
        <v>1243.5195134943376</v>
      </c>
      <c r="D33" s="1036">
        <f>+Sobadhanavi!D112</f>
        <v>1127.2730903431645</v>
      </c>
      <c r="E33" s="1036">
        <f>+Sobadhanavi!E112</f>
        <v>1243.5872256688476</v>
      </c>
      <c r="F33" s="1036">
        <f>+Sobadhanavi!F112</f>
        <v>1233.8760121755038</v>
      </c>
      <c r="G33" s="1036">
        <f>+Sobadhanavi!G112</f>
        <v>1273.3385459146871</v>
      </c>
      <c r="H33" s="1036">
        <f>+Sobadhanavi!H112</f>
        <v>1233.8760121755038</v>
      </c>
      <c r="I33" s="566">
        <f t="shared" si="2"/>
        <v>3741.0905702656946</v>
      </c>
      <c r="J33" s="1253"/>
      <c r="K33" s="2608"/>
      <c r="L33"/>
      <c r="M33"/>
      <c r="N33"/>
      <c r="O33"/>
      <c r="P33" s="150"/>
      <c r="Q33" s="150"/>
      <c r="R33" s="150"/>
      <c r="S33" s="150"/>
      <c r="T33" s="150"/>
      <c r="U33" s="150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407" customFormat="1" x14ac:dyDescent="0.2">
      <c r="A34" s="1113" t="s">
        <v>15</v>
      </c>
      <c r="B34" s="12" t="s">
        <v>60</v>
      </c>
      <c r="C34" s="1036">
        <f>RENW!E53</f>
        <v>0</v>
      </c>
      <c r="D34" s="1036">
        <f>RENW!F53</f>
        <v>0</v>
      </c>
      <c r="E34" s="1036">
        <f>RENW!G53</f>
        <v>0</v>
      </c>
      <c r="F34" s="1036">
        <f>RENW!H53</f>
        <v>0</v>
      </c>
      <c r="G34" s="1036">
        <f>RENW!I53</f>
        <v>0</v>
      </c>
      <c r="H34" s="1036">
        <f>RENW!J53</f>
        <v>0</v>
      </c>
      <c r="I34" s="566">
        <f t="shared" si="2"/>
        <v>0</v>
      </c>
      <c r="J34" s="1253"/>
      <c r="K34" s="314"/>
      <c r="L34"/>
      <c r="M34"/>
      <c r="N34"/>
      <c r="O34"/>
      <c r="P34" s="150"/>
      <c r="Q34" s="150"/>
      <c r="R34" s="150"/>
      <c r="S34" s="150"/>
      <c r="T34" s="150"/>
      <c r="U34" s="150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hidden="1" x14ac:dyDescent="0.2">
      <c r="A35" s="1114" t="s">
        <v>464</v>
      </c>
      <c r="B35" s="571" t="s">
        <v>60</v>
      </c>
      <c r="C35" s="1871"/>
      <c r="D35" s="1871"/>
      <c r="E35" s="1871"/>
      <c r="F35" s="1871"/>
      <c r="G35" s="1871"/>
      <c r="H35" s="1871"/>
      <c r="I35" s="1253"/>
      <c r="J35" s="1253"/>
      <c r="K35" s="1576"/>
    </row>
    <row r="36" spans="1:34" hidden="1" x14ac:dyDescent="0.2">
      <c r="A36" s="1114" t="s">
        <v>3</v>
      </c>
      <c r="B36" s="571" t="s">
        <v>60</v>
      </c>
      <c r="C36" s="1871"/>
      <c r="D36" s="1871"/>
      <c r="E36" s="1871"/>
      <c r="F36" s="1871"/>
      <c r="G36" s="1871"/>
      <c r="H36" s="1871"/>
      <c r="I36" s="1253"/>
      <c r="J36" s="1253"/>
      <c r="K36" s="1576"/>
    </row>
    <row r="37" spans="1:34" hidden="1" x14ac:dyDescent="0.2">
      <c r="A37" s="1114" t="s">
        <v>7</v>
      </c>
      <c r="B37" s="571" t="s">
        <v>60</v>
      </c>
      <c r="C37" s="1871"/>
      <c r="D37" s="1871"/>
      <c r="E37" s="1871"/>
      <c r="F37" s="1871"/>
      <c r="G37" s="1871"/>
      <c r="H37" s="1871"/>
      <c r="I37" s="1253"/>
      <c r="J37" s="1253"/>
      <c r="K37" s="1576"/>
    </row>
    <row r="38" spans="1:34" hidden="1" x14ac:dyDescent="0.2">
      <c r="A38" s="1114" t="s">
        <v>8</v>
      </c>
      <c r="B38" s="571" t="s">
        <v>60</v>
      </c>
      <c r="C38" s="1871"/>
      <c r="D38" s="1871"/>
      <c r="E38" s="1871"/>
      <c r="F38" s="1871"/>
      <c r="G38" s="1871"/>
      <c r="H38" s="1871"/>
      <c r="I38" s="1253"/>
      <c r="J38" s="1253"/>
      <c r="K38" s="1576"/>
    </row>
    <row r="39" spans="1:34" hidden="1" x14ac:dyDescent="0.2">
      <c r="A39" s="1114" t="s">
        <v>10</v>
      </c>
      <c r="B39" s="571" t="s">
        <v>60</v>
      </c>
      <c r="C39" s="1871"/>
      <c r="D39" s="1871"/>
      <c r="E39" s="1871"/>
      <c r="F39" s="1871"/>
      <c r="G39" s="1871"/>
      <c r="H39" s="1871"/>
      <c r="I39" s="1253"/>
      <c r="J39" s="1253"/>
      <c r="K39" s="1576"/>
    </row>
    <row r="40" spans="1:34" hidden="1" x14ac:dyDescent="0.2">
      <c r="A40" s="1114" t="s">
        <v>12</v>
      </c>
      <c r="B40" s="571" t="s">
        <v>60</v>
      </c>
      <c r="C40" s="1871"/>
      <c r="D40" s="1871"/>
      <c r="E40" s="1871"/>
      <c r="F40" s="1871"/>
      <c r="G40" s="1871"/>
      <c r="H40" s="1871"/>
      <c r="I40" s="1253"/>
      <c r="J40" s="1253"/>
      <c r="K40" s="1576"/>
    </row>
    <row r="41" spans="1:34" hidden="1" x14ac:dyDescent="0.2">
      <c r="A41" s="1114" t="s">
        <v>463</v>
      </c>
      <c r="B41" s="571" t="s">
        <v>60</v>
      </c>
      <c r="C41" s="1871"/>
      <c r="D41" s="1871"/>
      <c r="E41" s="1871"/>
      <c r="F41" s="1871"/>
      <c r="G41" s="1871"/>
      <c r="H41" s="1871"/>
      <c r="I41" s="1253"/>
      <c r="J41" s="1253"/>
      <c r="K41" s="1576"/>
    </row>
    <row r="42" spans="1:34" hidden="1" x14ac:dyDescent="0.2">
      <c r="A42" s="1114" t="s">
        <v>19</v>
      </c>
      <c r="B42" s="571" t="s">
        <v>60</v>
      </c>
      <c r="C42" s="1871"/>
      <c r="D42" s="1871"/>
      <c r="E42" s="1871"/>
      <c r="F42" s="1871"/>
      <c r="G42" s="1872"/>
      <c r="H42" s="1871"/>
      <c r="I42" s="1253"/>
      <c r="J42" s="1253"/>
      <c r="K42" s="1576"/>
    </row>
    <row r="43" spans="1:34" hidden="1" x14ac:dyDescent="0.2">
      <c r="A43" s="1114" t="s">
        <v>739</v>
      </c>
      <c r="B43" s="571" t="s">
        <v>60</v>
      </c>
      <c r="C43" s="1871"/>
      <c r="D43" s="1871"/>
      <c r="E43" s="1871"/>
      <c r="F43" s="1871"/>
      <c r="G43" s="1871"/>
      <c r="H43" s="1871"/>
      <c r="I43" s="1253"/>
      <c r="J43" s="1253"/>
      <c r="K43" s="1576"/>
    </row>
    <row r="44" spans="1:34" hidden="1" x14ac:dyDescent="0.2">
      <c r="A44" s="1114" t="s">
        <v>863</v>
      </c>
      <c r="B44" s="571" t="s">
        <v>60</v>
      </c>
      <c r="C44" s="1871"/>
      <c r="D44" s="1871"/>
      <c r="E44" s="1871"/>
      <c r="F44" s="1871"/>
      <c r="G44" s="1871"/>
      <c r="H44" s="1871"/>
      <c r="I44" s="1253"/>
      <c r="J44" s="1253"/>
      <c r="K44" s="1576"/>
    </row>
    <row r="45" spans="1:34" hidden="1" x14ac:dyDescent="0.2">
      <c r="A45" s="1114" t="s">
        <v>864</v>
      </c>
      <c r="B45" s="571" t="s">
        <v>60</v>
      </c>
      <c r="C45" s="1871"/>
      <c r="D45" s="1871"/>
      <c r="E45" s="1871"/>
      <c r="F45" s="1871"/>
      <c r="G45" s="1871"/>
      <c r="H45" s="1871"/>
      <c r="I45" s="1253"/>
      <c r="J45" s="1253"/>
      <c r="K45" s="1576"/>
    </row>
    <row r="46" spans="1:34" hidden="1" x14ac:dyDescent="0.2">
      <c r="A46" s="1114" t="s">
        <v>829</v>
      </c>
      <c r="B46" s="571" t="s">
        <v>60</v>
      </c>
      <c r="C46" s="1871"/>
      <c r="D46" s="1871"/>
      <c r="E46" s="1871"/>
      <c r="F46" s="1871"/>
      <c r="G46" s="1871"/>
      <c r="H46" s="1871"/>
      <c r="I46" s="1253"/>
      <c r="J46" s="1253"/>
      <c r="K46" s="1576"/>
    </row>
    <row r="47" spans="1:34" hidden="1" x14ac:dyDescent="0.2">
      <c r="A47" s="1114" t="s">
        <v>831</v>
      </c>
      <c r="B47" s="571" t="s">
        <v>60</v>
      </c>
      <c r="C47" s="1871"/>
      <c r="D47" s="1871"/>
      <c r="E47" s="1871"/>
      <c r="F47" s="1871"/>
      <c r="G47" s="1871"/>
      <c r="H47" s="1871"/>
      <c r="I47" s="1253"/>
      <c r="J47" s="1253"/>
      <c r="K47" s="1576"/>
    </row>
    <row r="48" spans="1:34" hidden="1" x14ac:dyDescent="0.2">
      <c r="A48" s="1114" t="s">
        <v>826</v>
      </c>
      <c r="B48" s="571" t="s">
        <v>60</v>
      </c>
      <c r="C48" s="1871"/>
      <c r="D48" s="1871"/>
      <c r="E48" s="1871"/>
      <c r="F48" s="1871"/>
      <c r="G48" s="1871"/>
      <c r="H48" s="1871"/>
      <c r="I48" s="1253"/>
      <c r="J48" s="1253"/>
      <c r="K48" s="1576"/>
    </row>
    <row r="49" spans="1:34" hidden="1" x14ac:dyDescent="0.2">
      <c r="A49" s="1114" t="s">
        <v>827</v>
      </c>
      <c r="B49" s="571" t="s">
        <v>60</v>
      </c>
      <c r="C49" s="1871"/>
      <c r="D49" s="1871"/>
      <c r="E49" s="1871"/>
      <c r="F49" s="1871"/>
      <c r="G49" s="1871"/>
      <c r="H49" s="1871"/>
      <c r="I49" s="1253"/>
      <c r="J49" s="1253"/>
      <c r="K49" s="1576"/>
    </row>
    <row r="50" spans="1:34" hidden="1" x14ac:dyDescent="0.2">
      <c r="A50" s="1114" t="s">
        <v>1043</v>
      </c>
      <c r="B50" s="571" t="s">
        <v>60</v>
      </c>
      <c r="C50" s="1871"/>
      <c r="D50" s="1871"/>
      <c r="E50" s="1871"/>
      <c r="F50" s="1871"/>
      <c r="G50" s="1871"/>
      <c r="H50" s="1871"/>
      <c r="I50" s="1253"/>
      <c r="J50" s="1253"/>
      <c r="K50" s="1576"/>
    </row>
    <row r="51" spans="1:34" s="185" customFormat="1" hidden="1" x14ac:dyDescent="0.2">
      <c r="A51" s="1114" t="s">
        <v>1064</v>
      </c>
      <c r="B51" s="571" t="s">
        <v>60</v>
      </c>
      <c r="C51" s="1871"/>
      <c r="D51" s="1871"/>
      <c r="E51" s="1871"/>
      <c r="F51" s="1871"/>
      <c r="G51" s="1871"/>
      <c r="H51" s="1871"/>
      <c r="I51" s="1253"/>
      <c r="J51" s="1253"/>
      <c r="K51" s="1576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hidden="1" x14ac:dyDescent="0.2">
      <c r="A52" s="1114"/>
      <c r="B52" s="571"/>
      <c r="C52" s="1871"/>
      <c r="D52" s="1871"/>
      <c r="E52" s="1871"/>
      <c r="F52" s="1871"/>
      <c r="G52" s="1871"/>
      <c r="H52" s="1871"/>
      <c r="I52" s="1253"/>
      <c r="J52" s="1253"/>
      <c r="K52" s="1576"/>
    </row>
    <row r="53" spans="1:34" x14ac:dyDescent="0.2">
      <c r="A53" s="1113"/>
      <c r="B53" s="12"/>
      <c r="C53" s="1036"/>
      <c r="D53" s="1036"/>
      <c r="E53" s="1036"/>
      <c r="F53" s="1036"/>
      <c r="G53" s="1036"/>
      <c r="H53" s="1036"/>
      <c r="I53" s="1253"/>
      <c r="J53" s="1253"/>
      <c r="K53" s="1576"/>
    </row>
    <row r="54" spans="1:34" x14ac:dyDescent="0.2">
      <c r="A54" s="1115" t="s">
        <v>31</v>
      </c>
      <c r="B54" s="518" t="s">
        <v>60</v>
      </c>
      <c r="C54" s="1873">
        <f>SUM(C13:C53)</f>
        <v>6034.5670625324728</v>
      </c>
      <c r="D54" s="1873">
        <f t="shared" ref="D54:H54" si="3">SUM(D13:D53)</f>
        <v>6215.7372524962138</v>
      </c>
      <c r="E54" s="1873">
        <f>SUM(E13:E53)</f>
        <v>6333.1511421898285</v>
      </c>
      <c r="F54" s="1873">
        <f>SUM(F13:F53)</f>
        <v>6064.1851299777672</v>
      </c>
      <c r="G54" s="1873">
        <f t="shared" si="3"/>
        <v>6167.4236890124739</v>
      </c>
      <c r="H54" s="1873">
        <f t="shared" si="3"/>
        <v>6082.1236073186537</v>
      </c>
      <c r="I54" s="402">
        <f>SUM(F54:H54)</f>
        <v>18313.732426308896</v>
      </c>
      <c r="J54" s="1253"/>
      <c r="K54" s="1576"/>
    </row>
    <row r="55" spans="1:34" hidden="1" x14ac:dyDescent="0.2">
      <c r="A55" s="709" t="s">
        <v>712</v>
      </c>
      <c r="B55" s="710" t="s">
        <v>60</v>
      </c>
      <c r="C55" s="1038" t="e">
        <f>'Transmission Tariff_2'!D97</f>
        <v>#DIV/0!</v>
      </c>
      <c r="D55" s="1038" t="e">
        <f>'Transmission Tariff_2'!E97</f>
        <v>#DIV/0!</v>
      </c>
      <c r="E55" s="1038" t="e">
        <f>'Transmission Tariff_2'!F97</f>
        <v>#DIV/0!</v>
      </c>
      <c r="F55" s="1038">
        <f>'Transmission Tariff_2'!G97</f>
        <v>6042.8408916370936</v>
      </c>
      <c r="G55" s="1038">
        <f>'Transmission Tariff_2'!H97</f>
        <v>6136.3434344169345</v>
      </c>
      <c r="H55" s="1038">
        <f>'Transmission Tariff_2'!I97</f>
        <v>6052.9293565935659</v>
      </c>
      <c r="I55" s="1253"/>
      <c r="J55" s="1253"/>
      <c r="K55" s="1576"/>
    </row>
    <row r="56" spans="1:34" x14ac:dyDescent="0.2">
      <c r="A56" s="1115" t="s">
        <v>752</v>
      </c>
      <c r="B56" s="518" t="s">
        <v>60</v>
      </c>
      <c r="C56" s="1729"/>
      <c r="D56" s="1729"/>
      <c r="E56" s="1729"/>
      <c r="F56" s="1729"/>
      <c r="G56" s="1729"/>
      <c r="H56" s="1729"/>
      <c r="I56" s="1253"/>
      <c r="J56" s="1253"/>
      <c r="K56" s="1576"/>
    </row>
    <row r="57" spans="1:34" x14ac:dyDescent="0.2">
      <c r="A57" s="1833" t="s">
        <v>1093</v>
      </c>
      <c r="B57" s="1086" t="s">
        <v>60</v>
      </c>
      <c r="C57" s="1834"/>
      <c r="D57" s="1834"/>
      <c r="E57" s="1834"/>
      <c r="F57" s="1834"/>
      <c r="G57" s="1834"/>
      <c r="H57" s="1834"/>
      <c r="I57" s="1253"/>
      <c r="J57" s="1253"/>
      <c r="K57" s="1576"/>
    </row>
    <row r="58" spans="1:34" ht="20.25" customHeight="1" x14ac:dyDescent="0.2">
      <c r="A58" s="1833" t="s">
        <v>55</v>
      </c>
      <c r="B58" s="1086" t="s">
        <v>60</v>
      </c>
      <c r="C58" s="1873">
        <f>C54-C56+C57</f>
        <v>6034.5670625324728</v>
      </c>
      <c r="D58" s="1873">
        <f t="shared" ref="D58:H58" si="4">D54-D56+D57</f>
        <v>6215.7372524962138</v>
      </c>
      <c r="E58" s="1873">
        <f>E54-E56+E57</f>
        <v>6333.1511421898285</v>
      </c>
      <c r="F58" s="1873">
        <f t="shared" si="4"/>
        <v>6064.1851299777672</v>
      </c>
      <c r="G58" s="1873">
        <f t="shared" si="4"/>
        <v>6167.4236890124739</v>
      </c>
      <c r="H58" s="1873">
        <f t="shared" si="4"/>
        <v>6082.1236073186537</v>
      </c>
      <c r="I58" s="1253">
        <f>SUM(F58:H58)</f>
        <v>18313.732426308896</v>
      </c>
      <c r="J58" s="1253"/>
      <c r="K58" s="1576"/>
    </row>
    <row r="59" spans="1:34" ht="20.25" customHeight="1" x14ac:dyDescent="0.2">
      <c r="A59" s="1835"/>
      <c r="B59" s="85"/>
      <c r="C59" s="1836"/>
      <c r="D59" s="1836"/>
      <c r="F59" s="1836"/>
      <c r="G59" s="1836"/>
      <c r="H59" s="1836"/>
      <c r="I59" s="150"/>
      <c r="J59" s="1286"/>
    </row>
    <row r="60" spans="1:34" ht="13.2" thickBot="1" x14ac:dyDescent="0.25">
      <c r="A60" s="2929" t="s">
        <v>55</v>
      </c>
      <c r="B60" s="2930"/>
      <c r="C60" s="2930"/>
      <c r="D60" s="2930"/>
      <c r="E60" s="2930"/>
      <c r="F60" s="2930"/>
      <c r="G60" s="2930"/>
      <c r="H60" s="2930"/>
      <c r="I60" s="150"/>
    </row>
    <row r="61" spans="1:34" ht="13.2" thickBot="1" x14ac:dyDescent="0.25">
      <c r="A61" s="354"/>
      <c r="B61" s="355"/>
      <c r="C61" s="355"/>
      <c r="D61" s="355"/>
      <c r="E61" s="355"/>
      <c r="F61" s="355"/>
      <c r="G61" s="355"/>
      <c r="H61" s="356"/>
    </row>
    <row r="62" spans="1:34" ht="13.2" thickBot="1" x14ac:dyDescent="0.25">
      <c r="A62" s="26"/>
      <c r="B62" s="23" t="s">
        <v>36</v>
      </c>
      <c r="C62" s="425">
        <f t="shared" ref="C62:H62" si="5">C4</f>
        <v>46023</v>
      </c>
      <c r="D62" s="425">
        <f t="shared" si="5"/>
        <v>46054</v>
      </c>
      <c r="E62" s="425">
        <f t="shared" si="5"/>
        <v>46082</v>
      </c>
      <c r="F62" s="425">
        <f t="shared" si="5"/>
        <v>46113</v>
      </c>
      <c r="G62" s="425">
        <f t="shared" si="5"/>
        <v>46143</v>
      </c>
      <c r="H62" s="425">
        <f t="shared" si="5"/>
        <v>46174</v>
      </c>
    </row>
    <row r="63" spans="1:34" ht="13.2" thickBot="1" x14ac:dyDescent="0.25">
      <c r="A63" s="88" t="s">
        <v>55</v>
      </c>
      <c r="B63" s="87" t="s">
        <v>42</v>
      </c>
      <c r="C63" s="830" t="e">
        <f>(C54-C56+C57)*1000000/C5</f>
        <v>#DIV/0!</v>
      </c>
      <c r="D63" s="830" t="e">
        <f t="shared" ref="D63:H63" si="6">(D54-D56+D57)*1000000/D5</f>
        <v>#DIV/0!</v>
      </c>
      <c r="E63" s="830" t="e">
        <f t="shared" si="6"/>
        <v>#DIV/0!</v>
      </c>
      <c r="F63" s="830">
        <f t="shared" si="6"/>
        <v>2139181.6193075688</v>
      </c>
      <c r="G63" s="830">
        <f t="shared" si="6"/>
        <v>2259312.5356367775</v>
      </c>
      <c r="H63" s="830">
        <f t="shared" si="6"/>
        <v>2294557.3388860021</v>
      </c>
    </row>
    <row r="64" spans="1:34" ht="13.2" thickBot="1" x14ac:dyDescent="0.25">
      <c r="A64" s="84"/>
      <c r="B64" s="85"/>
      <c r="C64" s="830"/>
      <c r="D64" s="776"/>
      <c r="E64" s="776"/>
      <c r="F64" s="776"/>
      <c r="G64" s="776"/>
      <c r="H64" s="776"/>
    </row>
    <row r="65" spans="1:10" hidden="1" x14ac:dyDescent="0.2">
      <c r="C65" s="402"/>
      <c r="D65" s="402"/>
      <c r="E65" s="402"/>
    </row>
    <row r="66" spans="1:10" ht="13.2" hidden="1" thickBot="1" x14ac:dyDescent="0.25">
      <c r="A66" s="2925" t="s">
        <v>724</v>
      </c>
      <c r="B66" s="2927"/>
      <c r="C66" s="2927"/>
      <c r="D66" s="2927"/>
      <c r="E66" s="2927"/>
      <c r="F66" s="2927"/>
      <c r="G66" s="2927"/>
      <c r="H66" s="2928"/>
    </row>
    <row r="67" spans="1:10" hidden="1" x14ac:dyDescent="0.2">
      <c r="A67" s="775"/>
      <c r="B67" s="2"/>
      <c r="C67" s="2"/>
      <c r="D67" s="2"/>
      <c r="E67" s="2"/>
      <c r="F67" s="2"/>
      <c r="G67" s="2"/>
      <c r="H67" s="2"/>
    </row>
    <row r="68" spans="1:10" ht="13.2" hidden="1" thickBot="1" x14ac:dyDescent="0.25">
      <c r="A68" s="26"/>
      <c r="B68" s="23" t="s">
        <v>36</v>
      </c>
      <c r="C68" s="425">
        <f t="shared" ref="C68:H68" si="7">C4</f>
        <v>46023</v>
      </c>
      <c r="D68" s="425">
        <f t="shared" si="7"/>
        <v>46054</v>
      </c>
      <c r="E68" s="425">
        <f t="shared" si="7"/>
        <v>46082</v>
      </c>
      <c r="F68" s="425">
        <f t="shared" si="7"/>
        <v>46113</v>
      </c>
      <c r="G68" s="425">
        <f t="shared" si="7"/>
        <v>46143</v>
      </c>
      <c r="H68" s="425">
        <f t="shared" si="7"/>
        <v>46174</v>
      </c>
    </row>
    <row r="69" spans="1:10" ht="13.2" hidden="1" thickBot="1" x14ac:dyDescent="0.25">
      <c r="A69" s="736" t="s">
        <v>55</v>
      </c>
      <c r="B69" s="737" t="s">
        <v>42</v>
      </c>
      <c r="C69" s="738" t="e">
        <f t="shared" ref="C69:H69" si="8">(C55)*1000000/C8</f>
        <v>#DIV/0!</v>
      </c>
      <c r="D69" s="738" t="e">
        <f t="shared" si="8"/>
        <v>#DIV/0!</v>
      </c>
      <c r="E69" s="738" t="e">
        <f t="shared" si="8"/>
        <v>#DIV/0!</v>
      </c>
      <c r="F69" s="738">
        <f t="shared" si="8"/>
        <v>2135237.893514209</v>
      </c>
      <c r="G69" s="738">
        <f t="shared" si="8"/>
        <v>2255147.3403856438</v>
      </c>
      <c r="H69" s="739">
        <f t="shared" si="8"/>
        <v>2290327.1674596802</v>
      </c>
    </row>
    <row r="70" spans="1:10" x14ac:dyDescent="0.2">
      <c r="C70" s="184">
        <f>+C58-C29-C33</f>
        <v>3332.3793885263985</v>
      </c>
      <c r="D70" s="184">
        <f t="shared" ref="D70:H70" si="9">+D58-D29-D33</f>
        <v>3758.3387977062584</v>
      </c>
      <c r="E70" s="184">
        <f t="shared" si="9"/>
        <v>3630.7130836985421</v>
      </c>
      <c r="F70" s="184">
        <f t="shared" si="9"/>
        <v>3414.1631505547412</v>
      </c>
      <c r="G70" s="184">
        <f t="shared" si="9"/>
        <v>3416.5480952053472</v>
      </c>
      <c r="H70" s="184">
        <f t="shared" si="9"/>
        <v>3414.0181939569175</v>
      </c>
      <c r="I70" s="150">
        <f>SUM(C70:H70)</f>
        <v>20966.160709648204</v>
      </c>
      <c r="J70" s="184"/>
    </row>
    <row r="71" spans="1:10" x14ac:dyDescent="0.2">
      <c r="A71" s="415"/>
      <c r="C71" s="184"/>
      <c r="D71" s="184"/>
      <c r="E71" s="184"/>
      <c r="F71" s="184"/>
      <c r="G71" s="184"/>
      <c r="H71" s="184"/>
      <c r="I71" s="150"/>
    </row>
    <row r="72" spans="1:10" x14ac:dyDescent="0.2">
      <c r="C72" s="70">
        <f>+C54+D54+E54</f>
        <v>18583.455457218515</v>
      </c>
      <c r="D72" s="70"/>
      <c r="E72" s="70"/>
      <c r="F72" s="70"/>
      <c r="G72" s="70"/>
      <c r="H72" s="70"/>
      <c r="I72" s="70">
        <f>+I70+'[12]Gen. Capacity'!$I$72</f>
        <v>46317.207102477871</v>
      </c>
      <c r="J72" s="402"/>
    </row>
    <row r="73" spans="1:10" x14ac:dyDescent="0.2">
      <c r="C73" s="402"/>
      <c r="D73" s="402"/>
      <c r="E73" s="402"/>
      <c r="F73" s="402"/>
      <c r="G73" s="402"/>
      <c r="H73" s="402"/>
    </row>
    <row r="76" spans="1:10" x14ac:dyDescent="0.2">
      <c r="A76" s="518" t="s">
        <v>60</v>
      </c>
      <c r="B76" s="2580">
        <v>45474</v>
      </c>
      <c r="C76" s="2580">
        <v>45505</v>
      </c>
      <c r="D76" s="2580">
        <v>45536</v>
      </c>
      <c r="E76" s="2580">
        <v>45566</v>
      </c>
      <c r="F76" s="2580">
        <v>45597</v>
      </c>
      <c r="G76" s="2580">
        <v>45627</v>
      </c>
      <c r="H76" s="2580" t="s">
        <v>445</v>
      </c>
    </row>
    <row r="77" spans="1:10" x14ac:dyDescent="0.2">
      <c r="A77" s="484" t="s">
        <v>1270</v>
      </c>
      <c r="B77" s="832">
        <f>+C58</f>
        <v>6034.5670625324728</v>
      </c>
      <c r="C77" s="832">
        <f t="shared" ref="C77:G77" si="10">+D58</f>
        <v>6215.7372524962138</v>
      </c>
      <c r="D77" s="832">
        <f t="shared" si="10"/>
        <v>6333.1511421898285</v>
      </c>
      <c r="E77" s="832">
        <f t="shared" si="10"/>
        <v>6064.1851299777672</v>
      </c>
      <c r="F77" s="832">
        <f t="shared" si="10"/>
        <v>6167.4236890124739</v>
      </c>
      <c r="G77" s="832">
        <f t="shared" si="10"/>
        <v>6082.1236073186537</v>
      </c>
      <c r="H77" s="832">
        <f>SUM(B77:G77)</f>
        <v>36897.187883527411</v>
      </c>
    </row>
    <row r="78" spans="1:10" x14ac:dyDescent="0.2">
      <c r="A78" s="484" t="s">
        <v>1271</v>
      </c>
      <c r="B78" s="832">
        <f>+'TR &amp; BSS, TLF'!C4+'TR &amp; BSS, TLF'!C25</f>
        <v>1713.174254027025</v>
      </c>
      <c r="C78" s="832">
        <f>+'TR &amp; BSS, TLF'!D4+'TR &amp; BSS, TLF'!D25</f>
        <v>1713.174254027025</v>
      </c>
      <c r="D78" s="832">
        <f>+'TR &amp; BSS, TLF'!E4+'TR &amp; BSS, TLF'!E25</f>
        <v>1713.174254027025</v>
      </c>
      <c r="E78" s="832" t="e">
        <f>+'TR &amp; BSS, TLF'!F4+'TR &amp; BSS, TLF'!F25</f>
        <v>#REF!</v>
      </c>
      <c r="F78" s="832" t="e">
        <f>+'TR &amp; BSS, TLF'!G4+'TR &amp; BSS, TLF'!G25</f>
        <v>#REF!</v>
      </c>
      <c r="G78" s="832" t="e">
        <f>+'TR &amp; BSS, TLF'!H4+'TR &amp; BSS, TLF'!H25</f>
        <v>#REF!</v>
      </c>
      <c r="H78" s="832" t="e">
        <f t="shared" ref="H78:H88" si="11">SUM(B78:G78)</f>
        <v>#REF!</v>
      </c>
    </row>
    <row r="79" spans="1:10" x14ac:dyDescent="0.2">
      <c r="A79" s="484" t="s">
        <v>1272</v>
      </c>
      <c r="B79" s="832">
        <f>+'TR &amp; BSS, TLF'!C5+'TR &amp; BSS, TLF'!C16</f>
        <v>201.21274354923665</v>
      </c>
      <c r="C79" s="832">
        <f>+'TR &amp; BSS, TLF'!D5+'TR &amp; BSS, TLF'!D16</f>
        <v>813.71274354923662</v>
      </c>
      <c r="D79" s="832">
        <f>+'TR &amp; BSS, TLF'!E5+'TR &amp; BSS, TLF'!E16</f>
        <v>810.58774354923662</v>
      </c>
      <c r="E79" s="832">
        <f>+'TR &amp; BSS, TLF'!F5+'TR &amp; BSS, TLF'!F16</f>
        <v>807.46274354923662</v>
      </c>
      <c r="F79" s="832">
        <f>+'TR &amp; BSS, TLF'!G5+'TR &amp; BSS, TLF'!G16</f>
        <v>804.33774354923662</v>
      </c>
      <c r="G79" s="832">
        <f>+'TR &amp; BSS, TLF'!H5+'TR &amp; BSS, TLF'!H16</f>
        <v>176.21274354923665</v>
      </c>
      <c r="H79" s="832">
        <f t="shared" si="11"/>
        <v>3613.5264612954197</v>
      </c>
      <c r="I79" s="241"/>
    </row>
    <row r="80" spans="1:10" x14ac:dyDescent="0.2">
      <c r="A80" s="484" t="s">
        <v>593</v>
      </c>
      <c r="B80" s="832">
        <f>+'TR &amp; BSS, TLF'!C7+'TR &amp; BSS, TLF'!C8+'TR &amp; BSS, TLF'!C9+'TR &amp; BSS, TLF'!C10+'TR &amp; BSS, TLF'!C11+'TR &amp; BSS, TLF'!C12+'TR &amp; BSS, TLF'!C13+'TR &amp; BSS, TLF'!C16+'TR &amp; BSS, TLF'!C25</f>
        <v>648.05347931031406</v>
      </c>
      <c r="C80" s="832">
        <f>+'TR &amp; BSS, TLF'!D7+'TR &amp; BSS, TLF'!D8+'TR &amp; BSS, TLF'!D9+'TR &amp; BSS, TLF'!D10+'TR &amp; BSS, TLF'!D11+'TR &amp; BSS, TLF'!D12+'TR &amp; BSS, TLF'!D13+'TR &amp; BSS, TLF'!D16+'TR &amp; BSS, TLF'!D25</f>
        <v>1459.2694849963232</v>
      </c>
      <c r="D80" s="832">
        <f>+'TR &amp; BSS, TLF'!E7+'TR &amp; BSS, TLF'!E8+'TR &amp; BSS, TLF'!E9+'TR &amp; BSS, TLF'!E10+'TR &amp; BSS, TLF'!E11+'TR &amp; BSS, TLF'!E12+'TR &amp; BSS, TLF'!E13+'TR &amp; BSS, TLF'!E16+'TR &amp; BSS, TLF'!E25</f>
        <v>1618.5124770248501</v>
      </c>
      <c r="E80" s="832" t="e">
        <f>+'TR &amp; BSS, TLF'!F7+'TR &amp; BSS, TLF'!F8+'TR &amp; BSS, TLF'!F9+'TR &amp; BSS, TLF'!F10+'TR &amp; BSS, TLF'!F11+'TR &amp; BSS, TLF'!F12+'TR &amp; BSS, TLF'!F13+'TR &amp; BSS, TLF'!F16+'TR &amp; BSS, TLF'!F25</f>
        <v>#REF!</v>
      </c>
      <c r="F80" s="832" t="e">
        <f>+'TR &amp; BSS, TLF'!G7+'TR &amp; BSS, TLF'!G8+'TR &amp; BSS, TLF'!G9+'TR &amp; BSS, TLF'!G10+'TR &amp; BSS, TLF'!G11+'TR &amp; BSS, TLF'!G12+'TR &amp; BSS, TLF'!G13+'TR &amp; BSS, TLF'!G16+'TR &amp; BSS, TLF'!G25</f>
        <v>#REF!</v>
      </c>
      <c r="G80" s="832" t="e">
        <f>+'TR &amp; BSS, TLF'!H7+'TR &amp; BSS, TLF'!H8+'TR &amp; BSS, TLF'!H9+'TR &amp; BSS, TLF'!H10+'TR &amp; BSS, TLF'!H11+'TR &amp; BSS, TLF'!H12+'TR &amp; BSS, TLF'!H13+'TR &amp; BSS, TLF'!H16+'TR &amp; BSS, TLF'!H25</f>
        <v>#REF!</v>
      </c>
      <c r="H80" s="832" t="e">
        <f>SUM(B80:G80)</f>
        <v>#REF!</v>
      </c>
    </row>
    <row r="81" spans="1:8" x14ac:dyDescent="0.2">
      <c r="A81" s="47"/>
      <c r="B81" s="2581">
        <f>SUM(B77:B80)</f>
        <v>8597.007539419048</v>
      </c>
      <c r="C81" s="2581">
        <f t="shared" ref="C81:G81" si="12">SUM(C77:C80)</f>
        <v>10201.893735068799</v>
      </c>
      <c r="D81" s="2581">
        <f t="shared" si="12"/>
        <v>10475.425616790939</v>
      </c>
      <c r="E81" s="2581" t="e">
        <f t="shared" si="12"/>
        <v>#REF!</v>
      </c>
      <c r="F81" s="2581" t="e">
        <f t="shared" si="12"/>
        <v>#REF!</v>
      </c>
      <c r="G81" s="2581" t="e">
        <f t="shared" si="12"/>
        <v>#REF!</v>
      </c>
      <c r="H81" s="2581" t="e">
        <f t="shared" si="11"/>
        <v>#REF!</v>
      </c>
    </row>
    <row r="82" spans="1:8" x14ac:dyDescent="0.2">
      <c r="A82" s="47"/>
      <c r="B82" s="832"/>
      <c r="C82" s="832"/>
      <c r="D82" s="832"/>
      <c r="E82" s="832"/>
      <c r="F82" s="832"/>
      <c r="G82" s="832"/>
      <c r="H82" s="832">
        <f t="shared" si="11"/>
        <v>0</v>
      </c>
    </row>
    <row r="83" spans="1:8" x14ac:dyDescent="0.2">
      <c r="A83" s="484" t="s">
        <v>1273</v>
      </c>
      <c r="B83" s="1071" t="e">
        <f>+'Gen. Energy Cost'!C74</f>
        <v>#DIV/0!</v>
      </c>
      <c r="C83" s="1071" t="e">
        <f>+'Gen. Energy Cost'!D74</f>
        <v>#DIV/0!</v>
      </c>
      <c r="D83" s="1071" t="e">
        <f>+'Gen. Energy Cost'!E74</f>
        <v>#DIV/0!</v>
      </c>
      <c r="E83" s="1071">
        <f>+'Gen. Energy Cost'!F74</f>
        <v>41135.637809293497</v>
      </c>
      <c r="F83" s="1071">
        <f>+'Gen. Energy Cost'!G74</f>
        <v>34937.319352503917</v>
      </c>
      <c r="G83" s="1071">
        <f>+'Gen. Energy Cost'!H74</f>
        <v>35377.841691582595</v>
      </c>
      <c r="H83" s="1071" t="e">
        <f t="shared" si="11"/>
        <v>#DIV/0!</v>
      </c>
    </row>
    <row r="84" spans="1:8" x14ac:dyDescent="0.2">
      <c r="A84" s="1053" t="s">
        <v>494</v>
      </c>
      <c r="B84" s="2582" t="e">
        <f>+B77+B78+B79+B80+B83</f>
        <v>#DIV/0!</v>
      </c>
      <c r="C84" s="2582" t="e">
        <f t="shared" ref="C84:G84" si="13">+C77+C78+C79+C80+C83</f>
        <v>#DIV/0!</v>
      </c>
      <c r="D84" s="2582" t="e">
        <f t="shared" si="13"/>
        <v>#DIV/0!</v>
      </c>
      <c r="E84" s="2582" t="e">
        <f t="shared" si="13"/>
        <v>#REF!</v>
      </c>
      <c r="F84" s="2582" t="e">
        <f t="shared" si="13"/>
        <v>#REF!</v>
      </c>
      <c r="G84" s="2582" t="e">
        <f t="shared" si="13"/>
        <v>#REF!</v>
      </c>
      <c r="H84" s="2582" t="e">
        <f>SUM(B84:G84)</f>
        <v>#DIV/0!</v>
      </c>
    </row>
    <row r="85" spans="1:8" x14ac:dyDescent="0.2">
      <c r="A85" s="484"/>
      <c r="B85" s="1071"/>
      <c r="C85" s="1071"/>
      <c r="D85" s="1071"/>
      <c r="E85" s="1071"/>
      <c r="F85" s="1071"/>
      <c r="G85" s="1071"/>
      <c r="H85" s="1071">
        <f t="shared" si="11"/>
        <v>0</v>
      </c>
    </row>
    <row r="86" spans="1:8" x14ac:dyDescent="0.2">
      <c r="A86" s="484"/>
      <c r="B86" s="1071"/>
      <c r="C86" s="1071"/>
      <c r="D86" s="1071"/>
      <c r="E86" s="1071"/>
      <c r="F86" s="1071"/>
      <c r="G86" s="1071"/>
      <c r="H86" s="1071">
        <f t="shared" si="11"/>
        <v>0</v>
      </c>
    </row>
    <row r="87" spans="1:8" x14ac:dyDescent="0.2">
      <c r="A87" s="47"/>
      <c r="B87" s="832"/>
      <c r="C87" s="832"/>
      <c r="D87" s="832"/>
      <c r="E87" s="832"/>
      <c r="F87" s="832"/>
      <c r="G87" s="832"/>
      <c r="H87" s="832">
        <f t="shared" si="11"/>
        <v>0</v>
      </c>
    </row>
    <row r="88" spans="1:8" ht="25.2" x14ac:dyDescent="0.2">
      <c r="A88" s="1936" t="s">
        <v>1274</v>
      </c>
      <c r="B88" s="2583">
        <f>+'Gen. Energy Cost'!C70</f>
        <v>0</v>
      </c>
      <c r="C88" s="2583">
        <f>+'Gen. Energy Cost'!D70</f>
        <v>0</v>
      </c>
      <c r="D88" s="2583">
        <f>+'Gen. Energy Cost'!E70</f>
        <v>0</v>
      </c>
      <c r="E88" s="2583">
        <f>+'Gen. Energy Cost'!F70</f>
        <v>1505.2036644100003</v>
      </c>
      <c r="F88" s="2583">
        <f>+'Gen. Energy Cost'!G70</f>
        <v>1612.9662837999999</v>
      </c>
      <c r="G88" s="2583">
        <f>+'Gen. Energy Cost'!H70</f>
        <v>1576.353901</v>
      </c>
      <c r="H88" s="2583">
        <f t="shared" si="11"/>
        <v>4694.5238492099998</v>
      </c>
    </row>
    <row r="89" spans="1:8" x14ac:dyDescent="0.2">
      <c r="A89" s="2584" t="s">
        <v>751</v>
      </c>
      <c r="B89" s="2585" t="e">
        <f>+B84/B88</f>
        <v>#DIV/0!</v>
      </c>
      <c r="C89" s="2585" t="e">
        <f t="shared" ref="C89:G89" si="14">+C84/C88</f>
        <v>#DIV/0!</v>
      </c>
      <c r="D89" s="2585" t="e">
        <f t="shared" si="14"/>
        <v>#DIV/0!</v>
      </c>
      <c r="E89" s="2585" t="e">
        <f t="shared" si="14"/>
        <v>#REF!</v>
      </c>
      <c r="F89" s="2585" t="e">
        <f t="shared" si="14"/>
        <v>#REF!</v>
      </c>
      <c r="G89" s="2585" t="e">
        <f t="shared" si="14"/>
        <v>#REF!</v>
      </c>
      <c r="H89" s="2585" t="e">
        <f>+H84/H88</f>
        <v>#DIV/0!</v>
      </c>
    </row>
    <row r="92" spans="1:8" x14ac:dyDescent="0.2">
      <c r="H92" s="414"/>
    </row>
  </sheetData>
  <mergeCells count="18">
    <mergeCell ref="J11:K11"/>
    <mergeCell ref="R11:S11"/>
    <mergeCell ref="A66:H66"/>
    <mergeCell ref="A60:H60"/>
    <mergeCell ref="AL11:AM11"/>
    <mergeCell ref="AB11:AC11"/>
    <mergeCell ref="AD11:AE11"/>
    <mergeCell ref="AF11:AG11"/>
    <mergeCell ref="AH11:AI11"/>
    <mergeCell ref="AJ11:AK11"/>
    <mergeCell ref="Z11:AA11"/>
    <mergeCell ref="N11:O11"/>
    <mergeCell ref="P11:Q11"/>
    <mergeCell ref="A11:H11"/>
    <mergeCell ref="X11:Y11"/>
    <mergeCell ref="V11:W11"/>
    <mergeCell ref="T11:U11"/>
    <mergeCell ref="L11:M11"/>
  </mergeCells>
  <phoneticPr fontId="54" type="noConversion"/>
  <pageMargins left="0.75" right="0.37" top="0.76" bottom="0.63" header="0" footer="0"/>
  <pageSetup paperSize="9" scale="8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autoLine="0" autoPict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5</xdr:col>
                <xdr:colOff>754380</xdr:colOff>
                <xdr:row>1</xdr:row>
                <xdr:rowOff>99060</xdr:rowOff>
              </to>
            </anchor>
          </controlPr>
        </control>
      </mc:Choice>
      <mc:Fallback>
        <control shapeId="6145" r:id="rId4" name="CommandButton1"/>
      </mc:Fallback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19">
    <tabColor rgb="FFFF0000"/>
  </sheetPr>
  <dimension ref="A2:J47"/>
  <sheetViews>
    <sheetView showGridLines="0" zoomScale="85" workbookViewId="0">
      <selection activeCell="H53" sqref="H53"/>
    </sheetView>
  </sheetViews>
  <sheetFormatPr defaultColWidth="11" defaultRowHeight="12.6" x14ac:dyDescent="0.2"/>
  <cols>
    <col min="1" max="1" width="41.6328125" customWidth="1"/>
    <col min="2" max="2" width="10" customWidth="1"/>
    <col min="3" max="3" width="18.453125" customWidth="1"/>
    <col min="4" max="4" width="12.453125" bestFit="1" customWidth="1"/>
    <col min="5" max="8" width="12.26953125" bestFit="1" customWidth="1"/>
  </cols>
  <sheetData>
    <row r="2" spans="1:10" ht="19.2" x14ac:dyDescent="0.35">
      <c r="A2" s="53" t="s">
        <v>462</v>
      </c>
      <c r="B2" s="350" t="s">
        <v>604</v>
      </c>
    </row>
    <row r="3" spans="1:10" ht="18" thickBot="1" x14ac:dyDescent="0.35">
      <c r="A3" s="53"/>
      <c r="B3" s="53"/>
      <c r="C3" s="123"/>
      <c r="D3" s="123"/>
      <c r="E3" s="123"/>
      <c r="F3" s="123"/>
      <c r="G3" s="123"/>
      <c r="H3" s="123"/>
    </row>
    <row r="4" spans="1:10" x14ac:dyDescent="0.2">
      <c r="A4" s="46" t="s">
        <v>27</v>
      </c>
      <c r="B4" s="66" t="s">
        <v>36</v>
      </c>
      <c r="C4" s="38">
        <v>1</v>
      </c>
      <c r="D4" s="38">
        <v>2</v>
      </c>
      <c r="E4" s="38">
        <v>3</v>
      </c>
      <c r="F4" s="38">
        <v>4</v>
      </c>
      <c r="G4" s="38">
        <v>5</v>
      </c>
      <c r="H4" s="39">
        <v>6</v>
      </c>
      <c r="I4" s="75"/>
    </row>
    <row r="5" spans="1:10" ht="13.2" x14ac:dyDescent="0.25">
      <c r="A5" s="55" t="s">
        <v>136</v>
      </c>
      <c r="B5" s="61"/>
      <c r="C5" s="47"/>
      <c r="D5" s="47"/>
      <c r="E5" s="47"/>
      <c r="F5" s="47"/>
      <c r="G5" s="47"/>
      <c r="H5" s="48"/>
      <c r="I5" s="75"/>
    </row>
    <row r="6" spans="1:10" x14ac:dyDescent="0.2">
      <c r="A6" s="6"/>
      <c r="B6" s="20"/>
      <c r="C6" s="49"/>
      <c r="D6" s="8"/>
      <c r="E6" s="8"/>
      <c r="F6" s="8"/>
      <c r="G6" s="8"/>
      <c r="H6" s="9"/>
      <c r="I6" s="75"/>
    </row>
    <row r="7" spans="1:10" x14ac:dyDescent="0.2">
      <c r="A7" s="6"/>
      <c r="B7" s="30"/>
      <c r="C7" s="8"/>
      <c r="D7" s="8"/>
      <c r="E7" s="8"/>
      <c r="F7" s="8"/>
      <c r="G7" s="8"/>
      <c r="H7" s="9"/>
      <c r="I7" s="75"/>
    </row>
    <row r="8" spans="1:10" ht="13.2" x14ac:dyDescent="0.25">
      <c r="A8" s="55" t="s">
        <v>122</v>
      </c>
      <c r="B8" s="61"/>
      <c r="C8" s="47"/>
      <c r="D8" s="47"/>
      <c r="E8" s="47"/>
      <c r="F8" s="47"/>
      <c r="G8" s="47"/>
      <c r="H8" s="48"/>
      <c r="I8" s="75"/>
    </row>
    <row r="9" spans="1:10" ht="13.2" x14ac:dyDescent="0.25">
      <c r="A9" s="57" t="s">
        <v>99</v>
      </c>
      <c r="B9" s="63"/>
      <c r="C9" s="49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117" t="s">
        <v>431</v>
      </c>
      <c r="B10" s="20"/>
      <c r="C10" s="195">
        <v>15</v>
      </c>
      <c r="D10" s="195">
        <v>15</v>
      </c>
      <c r="E10" s="195">
        <v>15</v>
      </c>
      <c r="F10" s="195">
        <v>14.99</v>
      </c>
      <c r="G10" s="195">
        <v>15</v>
      </c>
      <c r="H10" s="195">
        <v>18.154370833333338</v>
      </c>
      <c r="I10" s="75"/>
    </row>
    <row r="11" spans="1:10" x14ac:dyDescent="0.2">
      <c r="A11" s="117" t="s">
        <v>432</v>
      </c>
      <c r="B11" s="20"/>
      <c r="C11" s="115">
        <v>31</v>
      </c>
      <c r="D11" s="115">
        <v>29</v>
      </c>
      <c r="E11" s="115">
        <v>31</v>
      </c>
      <c r="F11" s="115">
        <v>30</v>
      </c>
      <c r="G11" s="115">
        <v>31</v>
      </c>
      <c r="H11" s="115">
        <v>30</v>
      </c>
      <c r="I11" s="75"/>
    </row>
    <row r="12" spans="1:10" x14ac:dyDescent="0.2">
      <c r="A12" s="117" t="s">
        <v>433</v>
      </c>
      <c r="B12" s="20"/>
      <c r="C12" s="49">
        <f>615</f>
        <v>615</v>
      </c>
      <c r="D12" s="49">
        <f>615</f>
        <v>615</v>
      </c>
      <c r="E12" s="49">
        <f>615</f>
        <v>615</v>
      </c>
      <c r="F12" s="49">
        <f>615</f>
        <v>615</v>
      </c>
      <c r="G12" s="49">
        <f>615</f>
        <v>615</v>
      </c>
      <c r="H12" s="49">
        <f>615</f>
        <v>615</v>
      </c>
      <c r="I12" s="75"/>
    </row>
    <row r="13" spans="1:10" x14ac:dyDescent="0.2">
      <c r="A13" s="117"/>
      <c r="B13" s="20"/>
      <c r="C13" s="49"/>
      <c r="D13" s="8"/>
      <c r="E13" s="8"/>
      <c r="F13" s="8"/>
      <c r="G13" s="8"/>
      <c r="H13" s="124"/>
      <c r="I13" s="75"/>
    </row>
    <row r="14" spans="1:10" ht="13.2" x14ac:dyDescent="0.25">
      <c r="A14" s="55" t="s">
        <v>24</v>
      </c>
      <c r="B14" s="61"/>
      <c r="C14" s="126"/>
      <c r="D14" s="47"/>
      <c r="E14" s="47"/>
      <c r="F14" s="47"/>
      <c r="G14" s="47"/>
      <c r="H14" s="48"/>
      <c r="I14" s="75"/>
    </row>
    <row r="15" spans="1:10" ht="13.2" x14ac:dyDescent="0.25">
      <c r="A15" s="57" t="s">
        <v>99</v>
      </c>
      <c r="B15" s="208"/>
      <c r="C15" s="211" t="s">
        <v>97</v>
      </c>
      <c r="D15" s="172"/>
      <c r="E15" s="172"/>
      <c r="F15" s="172"/>
      <c r="G15" s="172"/>
      <c r="H15" s="171"/>
      <c r="I15" s="75"/>
    </row>
    <row r="16" spans="1:10" s="36" customFormat="1" ht="13.2" x14ac:dyDescent="0.25">
      <c r="A16" s="116" t="s">
        <v>276</v>
      </c>
      <c r="B16" s="209"/>
      <c r="C16" s="119">
        <v>1</v>
      </c>
      <c r="D16" s="119"/>
      <c r="E16" s="119"/>
      <c r="F16" s="119"/>
      <c r="G16" s="119"/>
      <c r="H16" s="207"/>
      <c r="I16" s="121"/>
    </row>
    <row r="17" spans="1:9" x14ac:dyDescent="0.2">
      <c r="A17" s="117" t="s">
        <v>434</v>
      </c>
      <c r="B17" s="160"/>
      <c r="C17" s="49">
        <f t="shared" ref="C17:H17" si="0">0.006045*1.0526</f>
        <v>6.3629669999999998E-3</v>
      </c>
      <c r="D17" s="49">
        <f t="shared" si="0"/>
        <v>6.3629669999999998E-3</v>
      </c>
      <c r="E17" s="49">
        <f t="shared" si="0"/>
        <v>6.3629669999999998E-3</v>
      </c>
      <c r="F17" s="49">
        <f t="shared" si="0"/>
        <v>6.3629669999999998E-3</v>
      </c>
      <c r="G17" s="49">
        <f t="shared" si="0"/>
        <v>6.3629669999999998E-3</v>
      </c>
      <c r="H17" s="79">
        <f t="shared" si="0"/>
        <v>6.3629669999999998E-3</v>
      </c>
      <c r="I17" s="75"/>
    </row>
    <row r="18" spans="1:9" x14ac:dyDescent="0.2">
      <c r="A18" s="117" t="s">
        <v>435</v>
      </c>
      <c r="B18" s="124"/>
      <c r="C18" s="49">
        <f t="shared" ref="C18:H18" si="1">C17*$C$16</f>
        <v>6.3629669999999998E-3</v>
      </c>
      <c r="D18" s="49">
        <f t="shared" si="1"/>
        <v>6.3629669999999998E-3</v>
      </c>
      <c r="E18" s="49">
        <f t="shared" si="1"/>
        <v>6.3629669999999998E-3</v>
      </c>
      <c r="F18" s="49">
        <f t="shared" si="1"/>
        <v>6.3629669999999998E-3</v>
      </c>
      <c r="G18" s="49">
        <f t="shared" si="1"/>
        <v>6.3629669999999998E-3</v>
      </c>
      <c r="H18" s="79">
        <f t="shared" si="1"/>
        <v>6.3629669999999998E-3</v>
      </c>
      <c r="I18" s="75"/>
    </row>
    <row r="19" spans="1:9" s="36" customFormat="1" ht="13.2" x14ac:dyDescent="0.25">
      <c r="A19" s="57"/>
      <c r="B19" s="209"/>
      <c r="C19" s="119"/>
      <c r="D19" s="119"/>
      <c r="E19" s="119"/>
      <c r="F19" s="119"/>
      <c r="G19" s="119"/>
      <c r="H19" s="207"/>
      <c r="I19" s="121"/>
    </row>
    <row r="20" spans="1:9" s="36" customFormat="1" ht="13.2" x14ac:dyDescent="0.25">
      <c r="A20" s="57" t="s">
        <v>99</v>
      </c>
      <c r="B20" s="209"/>
      <c r="C20" s="49" t="s">
        <v>94</v>
      </c>
      <c r="D20" s="119"/>
      <c r="E20" s="119"/>
      <c r="F20" s="119"/>
      <c r="G20" s="119"/>
      <c r="H20" s="207"/>
      <c r="I20" s="121"/>
    </row>
    <row r="21" spans="1:9" s="36" customFormat="1" ht="13.2" x14ac:dyDescent="0.25">
      <c r="A21" s="116" t="s">
        <v>276</v>
      </c>
      <c r="B21" s="209"/>
      <c r="C21" s="119">
        <v>1</v>
      </c>
      <c r="D21" s="119"/>
      <c r="E21" s="119"/>
      <c r="F21" s="119"/>
      <c r="G21" s="119"/>
      <c r="H21" s="207"/>
      <c r="I21" s="121"/>
    </row>
    <row r="22" spans="1:9" s="36" customFormat="1" x14ac:dyDescent="0.2">
      <c r="A22" s="117" t="s">
        <v>436</v>
      </c>
      <c r="B22" s="160"/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79">
        <v>0</v>
      </c>
      <c r="I22" s="121"/>
    </row>
    <row r="23" spans="1:9" s="36" customFormat="1" x14ac:dyDescent="0.2">
      <c r="A23" s="117" t="s">
        <v>437</v>
      </c>
      <c r="B23" s="124"/>
      <c r="C23" s="49">
        <f t="shared" ref="C23:H23" si="2">C22*C21</f>
        <v>0</v>
      </c>
      <c r="D23" s="49">
        <f t="shared" si="2"/>
        <v>0</v>
      </c>
      <c r="E23" s="49">
        <f t="shared" si="2"/>
        <v>0</v>
      </c>
      <c r="F23" s="49">
        <f t="shared" si="2"/>
        <v>0</v>
      </c>
      <c r="G23" s="49">
        <f t="shared" si="2"/>
        <v>0</v>
      </c>
      <c r="H23" s="79">
        <f t="shared" si="2"/>
        <v>0</v>
      </c>
      <c r="I23" s="121"/>
    </row>
    <row r="24" spans="1:9" s="36" customFormat="1" x14ac:dyDescent="0.2">
      <c r="A24" s="117"/>
      <c r="B24" s="124"/>
      <c r="C24" s="8"/>
      <c r="D24" s="119"/>
      <c r="E24" s="119"/>
      <c r="F24" s="119"/>
      <c r="G24" s="119"/>
      <c r="H24" s="207"/>
      <c r="I24" s="121"/>
    </row>
    <row r="25" spans="1:9" s="36" customFormat="1" ht="13.2" x14ac:dyDescent="0.25">
      <c r="A25" s="57" t="s">
        <v>99</v>
      </c>
      <c r="B25" s="209"/>
      <c r="C25" s="49" t="s">
        <v>94</v>
      </c>
      <c r="D25" s="119"/>
      <c r="E25" s="119"/>
      <c r="F25" s="119"/>
      <c r="G25" s="119"/>
      <c r="H25" s="207"/>
      <c r="I25" s="121"/>
    </row>
    <row r="26" spans="1:9" s="36" customFormat="1" ht="13.2" x14ac:dyDescent="0.25">
      <c r="A26" s="116" t="s">
        <v>276</v>
      </c>
      <c r="B26" s="209"/>
      <c r="C26" s="119">
        <v>1</v>
      </c>
      <c r="D26" s="119"/>
      <c r="E26" s="119"/>
      <c r="F26" s="119"/>
      <c r="G26" s="119"/>
      <c r="H26" s="207"/>
      <c r="I26" s="121"/>
    </row>
    <row r="27" spans="1:9" s="36" customFormat="1" ht="13.2" x14ac:dyDescent="0.25">
      <c r="A27" s="57" t="s">
        <v>438</v>
      </c>
      <c r="B27" s="209"/>
      <c r="C27" s="49">
        <v>0.2707</v>
      </c>
      <c r="D27" s="119"/>
      <c r="E27" s="119"/>
      <c r="F27" s="119"/>
      <c r="G27" s="119"/>
      <c r="H27" s="207"/>
      <c r="I27" s="121"/>
    </row>
    <row r="28" spans="1:9" s="36" customFormat="1" ht="13.2" x14ac:dyDescent="0.25">
      <c r="A28" s="57" t="s">
        <v>439</v>
      </c>
      <c r="B28" s="209"/>
      <c r="C28" s="115">
        <v>79.831999999999994</v>
      </c>
      <c r="D28" s="115">
        <v>118.83199999999999</v>
      </c>
      <c r="E28" s="115">
        <v>118.83199999999999</v>
      </c>
      <c r="F28" s="115">
        <v>118.83199999999999</v>
      </c>
      <c r="G28" s="115">
        <v>118.83199999999999</v>
      </c>
      <c r="H28" s="115">
        <v>118.83199999999999</v>
      </c>
      <c r="I28" s="121"/>
    </row>
    <row r="29" spans="1:9" s="36" customFormat="1" ht="13.2" x14ac:dyDescent="0.25">
      <c r="A29" s="57" t="s">
        <v>440</v>
      </c>
      <c r="B29" s="209"/>
      <c r="C29" s="49">
        <f t="shared" ref="C29:H29" si="3">$C$27*C28*$C$26</f>
        <v>21.610522399999997</v>
      </c>
      <c r="D29" s="49">
        <f t="shared" si="3"/>
        <v>32.167822399999999</v>
      </c>
      <c r="E29" s="49">
        <f t="shared" si="3"/>
        <v>32.167822399999999</v>
      </c>
      <c r="F29" s="49">
        <f>$C$27*F28*$C$26</f>
        <v>32.167822399999999</v>
      </c>
      <c r="G29" s="49">
        <f t="shared" si="3"/>
        <v>32.167822399999999</v>
      </c>
      <c r="H29" s="79">
        <f t="shared" si="3"/>
        <v>32.167822399999999</v>
      </c>
      <c r="I29" s="121"/>
    </row>
    <row r="30" spans="1:9" s="36" customFormat="1" ht="13.2" x14ac:dyDescent="0.25">
      <c r="A30" s="57"/>
      <c r="B30" s="210"/>
      <c r="C30" s="119"/>
      <c r="D30" s="119"/>
      <c r="E30" s="119"/>
      <c r="F30" s="119"/>
      <c r="G30" s="119"/>
      <c r="H30" s="207"/>
      <c r="I30" s="121"/>
    </row>
    <row r="31" spans="1:9" ht="12.75" customHeight="1" x14ac:dyDescent="0.2">
      <c r="A31" s="185" t="s">
        <v>493</v>
      </c>
      <c r="B31" s="185"/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0">
        <v>0</v>
      </c>
      <c r="I31" s="75"/>
    </row>
    <row r="32" spans="1:9" ht="12.75" customHeight="1" x14ac:dyDescent="0.25">
      <c r="A32" s="55" t="s">
        <v>145</v>
      </c>
      <c r="B32" s="89" t="s">
        <v>97</v>
      </c>
      <c r="C32" s="90">
        <f>VLOOKUP($B32,Inputs!$A$21:$H$24,3,)</f>
        <v>313.51760000000002</v>
      </c>
      <c r="D32" s="90">
        <f>VLOOKUP($B32,Inputs!$A$21:$H$24,4,)</f>
        <v>313.51760000000002</v>
      </c>
      <c r="E32" s="90">
        <f>VLOOKUP($B32,Inputs!$A$21:$H$24,5,)</f>
        <v>313.51760000000002</v>
      </c>
      <c r="F32" s="90">
        <f>VLOOKUP($B32,Inputs!$A$21:$H$24,6,)</f>
        <v>313.51760000000002</v>
      </c>
      <c r="G32" s="90">
        <f>VLOOKUP($B32,Inputs!$A$21:$H$24,7,)</f>
        <v>313.51760000000002</v>
      </c>
      <c r="H32" s="90">
        <f>VLOOKUP($B32,Inputs!$A$21:$H$24,8,)</f>
        <v>313.51760000000002</v>
      </c>
      <c r="I32" s="75"/>
    </row>
    <row r="33" spans="1:10" ht="13.2" thickBot="1" x14ac:dyDescent="0.25">
      <c r="A33" s="6"/>
      <c r="B33" s="30"/>
      <c r="C33" s="8"/>
      <c r="D33" s="8"/>
      <c r="E33" s="8"/>
      <c r="F33" s="8"/>
      <c r="G33" s="8"/>
      <c r="H33" s="9"/>
      <c r="I33" s="75"/>
    </row>
    <row r="34" spans="1:10" x14ac:dyDescent="0.2">
      <c r="A34" s="45" t="s">
        <v>148</v>
      </c>
      <c r="B34" s="91" t="s">
        <v>60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75"/>
      <c r="J34" s="70"/>
    </row>
    <row r="35" spans="1:10" x14ac:dyDescent="0.2">
      <c r="A35" s="6" t="s">
        <v>149</v>
      </c>
      <c r="B35" s="20" t="s">
        <v>60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5"/>
    </row>
    <row r="36" spans="1:10" x14ac:dyDescent="0.2">
      <c r="A36" s="78" t="s">
        <v>150</v>
      </c>
      <c r="B36" s="79" t="s">
        <v>39</v>
      </c>
      <c r="C36" s="80">
        <v>15</v>
      </c>
      <c r="D36" s="80"/>
      <c r="E36" s="80"/>
      <c r="F36" s="80"/>
      <c r="G36" s="80"/>
      <c r="H36" s="81"/>
      <c r="I36" s="75"/>
    </row>
    <row r="37" spans="1:10" x14ac:dyDescent="0.2">
      <c r="A37" s="78" t="s">
        <v>134</v>
      </c>
      <c r="B37" s="79" t="s">
        <v>56</v>
      </c>
      <c r="C37" s="54">
        <v>0</v>
      </c>
      <c r="D37" s="233">
        <v>0</v>
      </c>
      <c r="E37" s="54">
        <v>0</v>
      </c>
      <c r="F37" s="54">
        <v>0</v>
      </c>
      <c r="G37" s="54">
        <v>0</v>
      </c>
      <c r="H37" s="41">
        <v>0</v>
      </c>
      <c r="I37" s="75"/>
    </row>
    <row r="38" spans="1:10" ht="13.8" thickBot="1" x14ac:dyDescent="0.3">
      <c r="A38" s="60" t="s">
        <v>135</v>
      </c>
      <c r="B38" s="76" t="s">
        <v>88</v>
      </c>
      <c r="C38" s="77">
        <v>0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5"/>
    </row>
    <row r="41" spans="1:10" x14ac:dyDescent="0.2">
      <c r="A41" s="183"/>
    </row>
    <row r="42" spans="1:10" x14ac:dyDescent="0.2">
      <c r="A42" s="192"/>
    </row>
    <row r="43" spans="1:10" x14ac:dyDescent="0.2">
      <c r="A43" s="192"/>
    </row>
    <row r="44" spans="1:10" x14ac:dyDescent="0.2">
      <c r="A44" s="192"/>
    </row>
    <row r="47" spans="1:10" ht="19.8" x14ac:dyDescent="0.3">
      <c r="A47" s="244" t="s">
        <v>526</v>
      </c>
    </row>
  </sheetData>
  <phoneticPr fontId="54" type="noConversion"/>
  <dataValidations count="1">
    <dataValidation type="list" allowBlank="1" showInputMessage="1" showErrorMessage="1" sqref="B32 C20 C9 C15 C25" xr:uid="{00000000-0002-0000-27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51">
    <tabColor rgb="FF002060"/>
  </sheetPr>
  <dimension ref="A1:K79"/>
  <sheetViews>
    <sheetView showGridLines="0" zoomScale="85" workbookViewId="0">
      <selection activeCell="C9" sqref="C9"/>
    </sheetView>
  </sheetViews>
  <sheetFormatPr defaultColWidth="11" defaultRowHeight="12.6" x14ac:dyDescent="0.2"/>
  <cols>
    <col min="1" max="1" width="41.6328125" style="453" customWidth="1"/>
    <col min="2" max="2" width="10" style="453" customWidth="1"/>
    <col min="3" max="3" width="18.453125" style="453" customWidth="1"/>
    <col min="4" max="7" width="18.08984375" style="453" bestFit="1" customWidth="1"/>
    <col min="8" max="8" width="16.26953125" style="453" bestFit="1" customWidth="1"/>
    <col min="9" max="16384" width="11" style="453"/>
  </cols>
  <sheetData>
    <row r="1" spans="1:10" ht="17.399999999999999" x14ac:dyDescent="0.3">
      <c r="A1" s="898" t="s">
        <v>1043</v>
      </c>
      <c r="B1" s="899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425">
        <f>DispatchSchedule!K3</f>
        <v>46174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1394">
        <v>130</v>
      </c>
      <c r="D9" s="1394">
        <v>130</v>
      </c>
      <c r="E9" s="1394">
        <v>130</v>
      </c>
      <c r="F9" s="1394">
        <v>130</v>
      </c>
      <c r="G9" s="1394">
        <v>130</v>
      </c>
      <c r="H9" s="1394">
        <v>130</v>
      </c>
      <c r="J9" s="1256"/>
    </row>
    <row r="10" spans="1:10" x14ac:dyDescent="0.2">
      <c r="A10" s="916" t="s">
        <v>432</v>
      </c>
      <c r="B10" s="907"/>
      <c r="C10" s="1396">
        <v>31</v>
      </c>
      <c r="D10" s="1396">
        <v>28</v>
      </c>
      <c r="E10" s="1396">
        <v>31</v>
      </c>
      <c r="F10" s="1396">
        <v>30</v>
      </c>
      <c r="G10" s="1396">
        <v>31</v>
      </c>
      <c r="H10" s="1379">
        <v>30</v>
      </c>
      <c r="J10" s="1256"/>
    </row>
    <row r="11" spans="1:10" x14ac:dyDescent="0.2">
      <c r="A11" s="916" t="s">
        <v>433</v>
      </c>
      <c r="B11" s="907"/>
      <c r="C11" s="1397">
        <v>479.28</v>
      </c>
      <c r="D11" s="1397">
        <v>479.28</v>
      </c>
      <c r="E11" s="1397">
        <v>479.28</v>
      </c>
      <c r="F11" s="1397">
        <v>479.28</v>
      </c>
      <c r="G11" s="1397">
        <v>479.28</v>
      </c>
      <c r="H11" s="1397">
        <v>479.28</v>
      </c>
      <c r="J11" s="1256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1256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7">
        <v>1</v>
      </c>
      <c r="E15" s="917">
        <v>1</v>
      </c>
      <c r="F15" s="917">
        <v>1</v>
      </c>
      <c r="G15" s="917">
        <v>1</v>
      </c>
      <c r="H15" s="917">
        <v>1</v>
      </c>
    </row>
    <row r="16" spans="1:10" x14ac:dyDescent="0.2">
      <c r="A16" s="927" t="s">
        <v>434</v>
      </c>
      <c r="B16" s="908"/>
      <c r="C16" s="1733">
        <v>8.1538461538461539E-4</v>
      </c>
      <c r="D16" s="1733">
        <v>8.1538461538461539E-4</v>
      </c>
      <c r="E16" s="1733">
        <v>8.1538461538461539E-4</v>
      </c>
      <c r="F16" s="1733">
        <v>8.1538461538461539E-4</v>
      </c>
      <c r="G16" s="1733">
        <v>8.1538461538461539E-4</v>
      </c>
      <c r="H16" s="1733">
        <v>8.1538461538461539E-4</v>
      </c>
    </row>
    <row r="17" spans="1:9" x14ac:dyDescent="0.2">
      <c r="A17" s="927" t="s">
        <v>435</v>
      </c>
      <c r="B17" s="909"/>
      <c r="C17" s="917">
        <f>C16*C15</f>
        <v>8.1538461538461539E-4</v>
      </c>
      <c r="D17" s="917">
        <f t="shared" ref="D17:H17" si="0">D16*D15</f>
        <v>8.1538461538461539E-4</v>
      </c>
      <c r="E17" s="917">
        <f t="shared" si="0"/>
        <v>8.1538461538461539E-4</v>
      </c>
      <c r="F17" s="917">
        <f t="shared" si="0"/>
        <v>8.1538461538461539E-4</v>
      </c>
      <c r="G17" s="917">
        <f t="shared" si="0"/>
        <v>8.1538461538461539E-4</v>
      </c>
      <c r="H17" s="917">
        <f t="shared" si="0"/>
        <v>8.1538461538461539E-4</v>
      </c>
    </row>
    <row r="18" spans="1:9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9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9" ht="13.2" x14ac:dyDescent="0.25">
      <c r="A20" s="925" t="s">
        <v>276</v>
      </c>
      <c r="B20" s="926"/>
      <c r="C20" s="917">
        <v>1</v>
      </c>
      <c r="D20" s="917">
        <v>1</v>
      </c>
      <c r="E20" s="917">
        <v>0</v>
      </c>
      <c r="F20" s="917">
        <v>0</v>
      </c>
      <c r="G20" s="917">
        <v>0</v>
      </c>
      <c r="H20" s="917">
        <v>0</v>
      </c>
    </row>
    <row r="21" spans="1:9" x14ac:dyDescent="0.2">
      <c r="A21" s="927" t="s">
        <v>436</v>
      </c>
      <c r="B21" s="908"/>
      <c r="C21" s="1397">
        <v>0</v>
      </c>
      <c r="D21" s="1397">
        <v>0</v>
      </c>
      <c r="E21" s="1397">
        <v>0</v>
      </c>
      <c r="F21" s="1397">
        <v>0</v>
      </c>
      <c r="G21" s="1397">
        <v>0</v>
      </c>
      <c r="H21" s="1397">
        <v>0</v>
      </c>
    </row>
    <row r="22" spans="1:9" x14ac:dyDescent="0.2">
      <c r="A22" s="1259" t="s">
        <v>442</v>
      </c>
      <c r="B22" s="909"/>
      <c r="C22" s="1399">
        <f>Inputs!C21</f>
        <v>313.51760000000002</v>
      </c>
      <c r="D22" s="1399">
        <f>Inputs!D21</f>
        <v>313.51760000000002</v>
      </c>
      <c r="E22" s="1399">
        <f>Inputs!E21</f>
        <v>313.51760000000002</v>
      </c>
      <c r="F22" s="1399">
        <f>Inputs!F21</f>
        <v>313.51760000000002</v>
      </c>
      <c r="G22" s="1399">
        <f>Inputs!G21</f>
        <v>313.51760000000002</v>
      </c>
      <c r="H22" s="1399">
        <f>Inputs!H21</f>
        <v>313.51760000000002</v>
      </c>
    </row>
    <row r="23" spans="1:9" x14ac:dyDescent="0.2">
      <c r="A23" s="927" t="s">
        <v>437</v>
      </c>
      <c r="B23" s="909"/>
      <c r="C23" s="917">
        <f>C21</f>
        <v>0</v>
      </c>
      <c r="D23" s="917">
        <f t="shared" ref="D23:H23" si="1">D21</f>
        <v>0</v>
      </c>
      <c r="E23" s="917">
        <f t="shared" si="1"/>
        <v>0</v>
      </c>
      <c r="F23" s="917">
        <f t="shared" si="1"/>
        <v>0</v>
      </c>
      <c r="G23" s="917">
        <f t="shared" si="1"/>
        <v>0</v>
      </c>
      <c r="H23" s="917">
        <f t="shared" si="1"/>
        <v>0</v>
      </c>
    </row>
    <row r="24" spans="1:9" x14ac:dyDescent="0.2">
      <c r="A24" s="927"/>
      <c r="B24" s="909"/>
      <c r="C24" s="918"/>
      <c r="D24" s="918"/>
      <c r="E24" s="918"/>
      <c r="F24" s="918"/>
      <c r="G24" s="918"/>
      <c r="H24" s="919"/>
    </row>
    <row r="25" spans="1:9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9" ht="13.2" x14ac:dyDescent="0.25">
      <c r="A26" s="925" t="s">
        <v>276</v>
      </c>
      <c r="B26" s="926"/>
      <c r="C26" s="917">
        <v>1</v>
      </c>
      <c r="D26" s="917">
        <v>1</v>
      </c>
      <c r="E26" s="917">
        <v>1</v>
      </c>
      <c r="F26" s="917">
        <v>1</v>
      </c>
      <c r="G26" s="917">
        <v>1</v>
      </c>
      <c r="H26" s="917">
        <v>1</v>
      </c>
    </row>
    <row r="27" spans="1:9" ht="13.2" x14ac:dyDescent="0.25">
      <c r="A27" s="922" t="s">
        <v>438</v>
      </c>
      <c r="B27" s="926"/>
      <c r="C27" s="1734">
        <v>0.24678461538461541</v>
      </c>
      <c r="D27" s="1734">
        <v>0.24678461538461541</v>
      </c>
      <c r="E27" s="1734">
        <v>0.24678461538461541</v>
      </c>
      <c r="F27" s="1734">
        <v>0.24678461538461541</v>
      </c>
      <c r="G27" s="1734">
        <v>0.24678461538461541</v>
      </c>
      <c r="H27" s="1734">
        <v>0.24678461538461541</v>
      </c>
    </row>
    <row r="28" spans="1:9" ht="13.2" x14ac:dyDescent="0.25">
      <c r="A28" s="928" t="s">
        <v>530</v>
      </c>
      <c r="B28" s="926"/>
      <c r="C28" s="1396">
        <v>104</v>
      </c>
      <c r="D28" s="1396">
        <v>104</v>
      </c>
      <c r="E28" s="1396">
        <v>104</v>
      </c>
      <c r="F28" s="1396">
        <v>104</v>
      </c>
      <c r="G28" s="1396">
        <v>104</v>
      </c>
      <c r="H28" s="1396">
        <v>104</v>
      </c>
    </row>
    <row r="29" spans="1:9" ht="13.2" x14ac:dyDescent="0.25">
      <c r="A29" s="922" t="s">
        <v>440</v>
      </c>
      <c r="B29" s="926"/>
      <c r="C29" s="917">
        <f t="shared" ref="C29:H29" si="2">$C$27*C28*$C$26</f>
        <v>25.665600000000001</v>
      </c>
      <c r="D29" s="917">
        <f t="shared" si="2"/>
        <v>25.665600000000001</v>
      </c>
      <c r="E29" s="917">
        <f>$C$27*E28*$C$26</f>
        <v>25.665600000000001</v>
      </c>
      <c r="F29" s="917">
        <f t="shared" si="2"/>
        <v>25.665600000000001</v>
      </c>
      <c r="G29" s="917">
        <f t="shared" si="2"/>
        <v>25.665600000000001</v>
      </c>
      <c r="H29" s="930">
        <f t="shared" si="2"/>
        <v>25.665600000000001</v>
      </c>
    </row>
    <row r="30" spans="1:9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9" ht="12.75" customHeight="1" x14ac:dyDescent="0.25">
      <c r="A31" s="1270" t="s">
        <v>493</v>
      </c>
      <c r="B31" s="1271"/>
      <c r="C31" s="1398">
        <v>0.2</v>
      </c>
      <c r="D31" s="1398">
        <v>0.2</v>
      </c>
      <c r="E31" s="1398">
        <v>0</v>
      </c>
      <c r="F31" s="1398">
        <v>0</v>
      </c>
      <c r="G31" s="1398">
        <v>0</v>
      </c>
      <c r="H31" s="1398">
        <v>0</v>
      </c>
    </row>
    <row r="32" spans="1:9" ht="12.75" customHeight="1" x14ac:dyDescent="0.25">
      <c r="A32" s="902" t="s">
        <v>145</v>
      </c>
      <c r="B32" s="931" t="s">
        <v>97</v>
      </c>
      <c r="C32" s="1264">
        <f>Inputs!C21</f>
        <v>313.51760000000002</v>
      </c>
      <c r="D32" s="1264">
        <f>Inputs!D21</f>
        <v>313.51760000000002</v>
      </c>
      <c r="E32" s="1264">
        <f>Inputs!E21</f>
        <v>313.51760000000002</v>
      </c>
      <c r="F32" s="1264">
        <f>Inputs!F21</f>
        <v>313.51760000000002</v>
      </c>
      <c r="G32" s="1264">
        <f>Inputs!G21</f>
        <v>313.51760000000002</v>
      </c>
      <c r="H32" s="1264">
        <f>Inputs!H21</f>
        <v>313.51760000000002</v>
      </c>
      <c r="I32" s="1263"/>
    </row>
    <row r="33" spans="1:9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9" x14ac:dyDescent="0.2">
      <c r="A34" s="933" t="s">
        <v>148</v>
      </c>
      <c r="B34" s="934" t="s">
        <v>60</v>
      </c>
      <c r="C34" s="1265">
        <f>(C9*C10*C11*C32/1000000)</f>
        <v>605.55874277184</v>
      </c>
      <c r="D34" s="1265">
        <f t="shared" ref="D34:H34" si="3">(D9*D10*D11*D32/1000000)</f>
        <v>546.95628379392008</v>
      </c>
      <c r="E34" s="1265">
        <f t="shared" si="3"/>
        <v>605.55874277184</v>
      </c>
      <c r="F34" s="1265">
        <f t="shared" si="3"/>
        <v>586.02458977920003</v>
      </c>
      <c r="G34" s="1265">
        <f t="shared" si="3"/>
        <v>605.55874277184</v>
      </c>
      <c r="H34" s="1265">
        <f t="shared" si="3"/>
        <v>586.02458977920003</v>
      </c>
      <c r="I34" s="450"/>
    </row>
    <row r="35" spans="1:9" x14ac:dyDescent="0.2">
      <c r="A35" s="906" t="s">
        <v>149</v>
      </c>
      <c r="B35" s="907" t="s">
        <v>60</v>
      </c>
      <c r="C35" s="1266">
        <f>((C29+C23+C17*C32)*C37)+C31</f>
        <v>0.2</v>
      </c>
      <c r="D35" s="1266">
        <f t="shared" ref="D35:H35" si="4">((D29+D23+D17*D32)*D37)+D31</f>
        <v>0.2</v>
      </c>
      <c r="E35" s="1266">
        <f t="shared" si="4"/>
        <v>0</v>
      </c>
      <c r="F35" s="1266">
        <f t="shared" si="4"/>
        <v>0</v>
      </c>
      <c r="G35" s="1266">
        <f t="shared" si="4"/>
        <v>0</v>
      </c>
      <c r="H35" s="1266">
        <f t="shared" si="4"/>
        <v>0</v>
      </c>
    </row>
    <row r="36" spans="1:9" x14ac:dyDescent="0.2">
      <c r="A36" s="906" t="s">
        <v>150</v>
      </c>
      <c r="B36" s="907" t="s">
        <v>39</v>
      </c>
      <c r="C36" s="1268">
        <f>C9</f>
        <v>130</v>
      </c>
      <c r="D36" s="1268">
        <f t="shared" ref="D36:H36" si="5">D9</f>
        <v>130</v>
      </c>
      <c r="E36" s="1268">
        <f t="shared" si="5"/>
        <v>130</v>
      </c>
      <c r="F36" s="1268">
        <f t="shared" si="5"/>
        <v>130</v>
      </c>
      <c r="G36" s="1268">
        <f t="shared" si="5"/>
        <v>130</v>
      </c>
      <c r="H36" s="1268">
        <f t="shared" si="5"/>
        <v>130</v>
      </c>
    </row>
    <row r="37" spans="1:9" x14ac:dyDescent="0.2">
      <c r="A37" s="938" t="s">
        <v>516</v>
      </c>
      <c r="B37" s="907" t="s">
        <v>56</v>
      </c>
      <c r="C37" s="1269">
        <f>DispatchSchedule!F58</f>
        <v>0</v>
      </c>
      <c r="D37" s="1269">
        <f>DispatchSchedule!G58</f>
        <v>0</v>
      </c>
      <c r="E37" s="1269">
        <f>DispatchSchedule!H58</f>
        <v>0</v>
      </c>
      <c r="F37" s="1269">
        <f>DispatchSchedule!I58</f>
        <v>0</v>
      </c>
      <c r="G37" s="1269">
        <f>DispatchSchedule!J58</f>
        <v>0</v>
      </c>
      <c r="H37" s="1269">
        <f>DispatchSchedule!K58</f>
        <v>0</v>
      </c>
    </row>
    <row r="38" spans="1:9" ht="13.8" thickBot="1" x14ac:dyDescent="0.3">
      <c r="A38" s="940" t="s">
        <v>135</v>
      </c>
      <c r="B38" s="941" t="s">
        <v>88</v>
      </c>
      <c r="C38" s="1248">
        <f t="shared" ref="C38:H38" si="6">IF(C37=0,0,(C35/C37))</f>
        <v>0</v>
      </c>
      <c r="D38" s="1248">
        <f t="shared" si="6"/>
        <v>0</v>
      </c>
      <c r="E38" s="1248">
        <f t="shared" si="6"/>
        <v>0</v>
      </c>
      <c r="F38" s="1248">
        <f t="shared" si="6"/>
        <v>0</v>
      </c>
      <c r="G38" s="1248">
        <f t="shared" si="6"/>
        <v>0</v>
      </c>
      <c r="H38" s="1249">
        <f t="shared" si="6"/>
        <v>0</v>
      </c>
    </row>
    <row r="39" spans="1:9" x14ac:dyDescent="0.2">
      <c r="A39" s="484" t="s">
        <v>806</v>
      </c>
      <c r="B39" s="1749" t="s">
        <v>88</v>
      </c>
      <c r="C39" s="1753" t="e">
        <f>C34/C37</f>
        <v>#DIV/0!</v>
      </c>
      <c r="D39" s="1753" t="e">
        <f t="shared" ref="D39:H39" si="7">D34/D37</f>
        <v>#DIV/0!</v>
      </c>
      <c r="E39" s="1753" t="e">
        <f t="shared" si="7"/>
        <v>#DIV/0!</v>
      </c>
      <c r="F39" s="1753" t="e">
        <f t="shared" si="7"/>
        <v>#DIV/0!</v>
      </c>
      <c r="G39" s="1753" t="e">
        <f t="shared" si="7"/>
        <v>#DIV/0!</v>
      </c>
      <c r="H39" s="1753" t="e">
        <f t="shared" si="7"/>
        <v>#DIV/0!</v>
      </c>
    </row>
    <row r="40" spans="1:9" x14ac:dyDescent="0.2">
      <c r="A40" s="484" t="s">
        <v>806</v>
      </c>
      <c r="B40" s="1754" t="s">
        <v>1055</v>
      </c>
      <c r="C40" s="1753">
        <f>C34*1000/C36</f>
        <v>4658.1441751679995</v>
      </c>
      <c r="D40" s="1753">
        <f t="shared" ref="D40:H40" si="8">D34*1000/D36</f>
        <v>4207.3560291840004</v>
      </c>
      <c r="E40" s="1753">
        <f t="shared" si="8"/>
        <v>4658.1441751679995</v>
      </c>
      <c r="F40" s="1753">
        <f t="shared" si="8"/>
        <v>4507.8814598400004</v>
      </c>
      <c r="G40" s="1753">
        <f t="shared" si="8"/>
        <v>4658.1441751679995</v>
      </c>
      <c r="H40" s="1753">
        <f t="shared" si="8"/>
        <v>4507.8814598400004</v>
      </c>
    </row>
    <row r="41" spans="1:9" ht="17.399999999999999" x14ac:dyDescent="0.3">
      <c r="A41" s="453" t="str">
        <f>'[13]VPWR-HMB'!A40</f>
        <v>Note</v>
      </c>
      <c r="C41" s="942"/>
      <c r="D41" s="942"/>
      <c r="E41" s="942"/>
      <c r="F41" s="942"/>
      <c r="G41" s="1033"/>
      <c r="H41" s="942"/>
    </row>
    <row r="42" spans="1:9" x14ac:dyDescent="0.2">
      <c r="A42" s="453" t="str">
        <f>'[13]VPWR-HMB'!A41</f>
        <v># APC (GPC was taken), Fuel Price and Indexes(US PI, CCPI ) are based on the Most recently available figures</v>
      </c>
    </row>
    <row r="43" spans="1:9" x14ac:dyDescent="0.2">
      <c r="A43" s="453" t="str">
        <f>'[13]VPWR-HMB'!A42</f>
        <v>Settlements = Estimated value of Tax Reimbursibles and Delay Interests</v>
      </c>
    </row>
    <row r="44" spans="1:9" x14ac:dyDescent="0.2">
      <c r="A44" s="453" t="str">
        <f>'[13]VPWR-HMB'!A43</f>
        <v>* Energy Sent out is based on Energy Dispatch Forcast July 2020 to December 2020  issued by System Control Branch</v>
      </c>
    </row>
    <row r="45" spans="1:9" x14ac:dyDescent="0.2">
      <c r="A45" s="453" t="str">
        <f>'[13]VPWR-HMB'!A44</f>
        <v>Exchange Rate as at 2020-07-22 was considered.</v>
      </c>
    </row>
    <row r="47" spans="1:9" x14ac:dyDescent="0.2">
      <c r="C47" s="942"/>
      <c r="D47" s="942"/>
      <c r="E47" s="942"/>
      <c r="F47" s="942"/>
      <c r="G47" s="1282"/>
      <c r="H47" s="942"/>
    </row>
    <row r="48" spans="1:9" x14ac:dyDescent="0.2">
      <c r="C48" s="942"/>
      <c r="D48" s="942"/>
      <c r="E48" s="942"/>
      <c r="F48" s="942"/>
      <c r="G48" s="942"/>
      <c r="H48" s="942"/>
    </row>
    <row r="49" spans="3:11" x14ac:dyDescent="0.2">
      <c r="C49" s="942"/>
      <c r="D49" s="942"/>
      <c r="E49" s="942"/>
      <c r="F49" s="942"/>
      <c r="G49" s="942"/>
      <c r="H49" s="942"/>
    </row>
    <row r="50" spans="3:11" x14ac:dyDescent="0.2">
      <c r="C50" s="942"/>
      <c r="D50" s="942"/>
      <c r="E50" s="942"/>
      <c r="F50" s="942"/>
      <c r="G50" s="942"/>
      <c r="H50" s="942"/>
    </row>
    <row r="51" spans="3:11" x14ac:dyDescent="0.2">
      <c r="C51" s="942"/>
      <c r="D51" s="942"/>
      <c r="E51" s="942"/>
      <c r="F51" s="942"/>
      <c r="G51" s="942"/>
      <c r="H51" s="942"/>
    </row>
    <row r="52" spans="3:11" x14ac:dyDescent="0.2">
      <c r="C52" s="942"/>
      <c r="D52" s="942"/>
      <c r="E52" s="942"/>
      <c r="F52" s="942"/>
      <c r="G52" s="942"/>
      <c r="H52" s="942"/>
    </row>
    <row r="53" spans="3:11" x14ac:dyDescent="0.2">
      <c r="C53" s="942"/>
      <c r="D53" s="942"/>
      <c r="E53" s="942"/>
      <c r="F53" s="942"/>
      <c r="G53" s="942"/>
      <c r="H53" s="942"/>
    </row>
    <row r="54" spans="3:11" x14ac:dyDescent="0.2">
      <c r="C54" s="942"/>
      <c r="D54" s="942"/>
      <c r="E54" s="942"/>
      <c r="F54" s="942"/>
      <c r="G54" s="942"/>
      <c r="H54" s="942"/>
    </row>
    <row r="55" spans="3:11" x14ac:dyDescent="0.2">
      <c r="C55" s="942"/>
      <c r="D55" s="942"/>
      <c r="E55" s="942"/>
      <c r="F55" s="942"/>
      <c r="G55" s="942"/>
      <c r="H55" s="942"/>
    </row>
    <row r="56" spans="3:11" x14ac:dyDescent="0.2">
      <c r="C56" s="1280"/>
      <c r="D56" s="1280"/>
      <c r="E56" s="1280"/>
      <c r="F56" s="1280"/>
      <c r="G56" s="1280"/>
      <c r="H56" s="1280"/>
      <c r="I56" s="942"/>
    </row>
    <row r="57" spans="3:11" x14ac:dyDescent="0.2">
      <c r="C57" s="1280"/>
      <c r="D57" s="1280"/>
      <c r="E57" s="1280"/>
      <c r="F57" s="1280"/>
      <c r="G57" s="1280"/>
      <c r="H57" s="1280"/>
      <c r="I57" s="942"/>
      <c r="J57" s="942"/>
    </row>
    <row r="58" spans="3:11" x14ac:dyDescent="0.2">
      <c r="C58" s="1280"/>
      <c r="D58" s="1280"/>
      <c r="E58" s="1280"/>
      <c r="F58" s="1280"/>
      <c r="G58" s="1280"/>
      <c r="H58" s="1280"/>
    </row>
    <row r="59" spans="3:11" x14ac:dyDescent="0.2">
      <c r="C59" s="1280"/>
      <c r="D59" s="1280"/>
      <c r="E59" s="1280"/>
      <c r="F59" s="1280"/>
      <c r="G59" s="1280"/>
      <c r="H59" s="1280"/>
      <c r="I59" s="942"/>
      <c r="J59" s="942"/>
    </row>
    <row r="60" spans="3:11" x14ac:dyDescent="0.2">
      <c r="C60" s="1280"/>
      <c r="D60" s="1280"/>
      <c r="E60" s="1280"/>
      <c r="F60" s="1280"/>
      <c r="G60" s="1280"/>
      <c r="H60" s="1280"/>
      <c r="I60" s="942"/>
      <c r="J60" s="942"/>
      <c r="K60" s="942"/>
    </row>
    <row r="61" spans="3:11" x14ac:dyDescent="0.2">
      <c r="C61" s="1280"/>
      <c r="D61" s="942"/>
      <c r="E61" s="942"/>
      <c r="F61" s="942"/>
      <c r="G61" s="942"/>
      <c r="H61" s="942"/>
    </row>
    <row r="62" spans="3:11" x14ac:dyDescent="0.2">
      <c r="C62" s="942"/>
      <c r="D62" s="942"/>
      <c r="E62" s="942"/>
      <c r="F62" s="942"/>
      <c r="G62" s="942"/>
      <c r="H62" s="942"/>
    </row>
    <row r="63" spans="3:11" x14ac:dyDescent="0.2">
      <c r="C63" s="942"/>
      <c r="D63" s="942"/>
      <c r="E63" s="942"/>
      <c r="F63" s="942"/>
      <c r="G63" s="942"/>
      <c r="H63" s="942"/>
    </row>
    <row r="64" spans="3:11" x14ac:dyDescent="0.2">
      <c r="C64" s="942"/>
      <c r="D64" s="942"/>
    </row>
    <row r="65" spans="3:4" x14ac:dyDescent="0.2">
      <c r="C65" s="942"/>
      <c r="D65" s="942"/>
    </row>
    <row r="66" spans="3:4" x14ac:dyDescent="0.2">
      <c r="C66" s="942"/>
      <c r="D66" s="942"/>
    </row>
    <row r="67" spans="3:4" x14ac:dyDescent="0.2">
      <c r="C67" s="942"/>
      <c r="D67" s="942"/>
    </row>
    <row r="68" spans="3:4" x14ac:dyDescent="0.2">
      <c r="C68" s="942"/>
      <c r="D68" s="942"/>
    </row>
    <row r="69" spans="3:4" x14ac:dyDescent="0.2">
      <c r="C69" s="942"/>
      <c r="D69" s="942"/>
    </row>
    <row r="70" spans="3:4" x14ac:dyDescent="0.2">
      <c r="C70" s="942"/>
      <c r="D70" s="942"/>
    </row>
    <row r="71" spans="3:4" x14ac:dyDescent="0.2">
      <c r="C71" s="942"/>
      <c r="D71" s="942"/>
    </row>
    <row r="72" spans="3:4" x14ac:dyDescent="0.2">
      <c r="C72" s="942"/>
      <c r="D72" s="942"/>
    </row>
    <row r="73" spans="3:4" x14ac:dyDescent="0.2">
      <c r="C73" s="942"/>
      <c r="D73" s="942"/>
    </row>
    <row r="74" spans="3:4" x14ac:dyDescent="0.2">
      <c r="C74" s="942"/>
      <c r="D74" s="942"/>
    </row>
    <row r="75" spans="3:4" x14ac:dyDescent="0.2">
      <c r="C75" s="942"/>
      <c r="D75" s="942"/>
    </row>
    <row r="76" spans="3:4" x14ac:dyDescent="0.2">
      <c r="C76" s="942"/>
      <c r="D76" s="942"/>
    </row>
    <row r="77" spans="3:4" x14ac:dyDescent="0.2">
      <c r="C77" s="942"/>
      <c r="D77" s="942"/>
    </row>
    <row r="78" spans="3:4" x14ac:dyDescent="0.2">
      <c r="C78" s="942"/>
      <c r="D78" s="942"/>
    </row>
    <row r="79" spans="3:4" x14ac:dyDescent="0.2">
      <c r="C79" s="942"/>
      <c r="D79" s="942"/>
    </row>
  </sheetData>
  <dataValidations count="1">
    <dataValidation type="list" allowBlank="1" showInputMessage="1" showErrorMessage="1" sqref="B32 C25 C8 C14 C19" xr:uid="{00000000-0002-0000-28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20">
    <tabColor rgb="FF002060"/>
  </sheetPr>
  <dimension ref="A1:K68"/>
  <sheetViews>
    <sheetView showGridLines="0" topLeftCell="A27" zoomScale="85" workbookViewId="0">
      <selection activeCell="F51" sqref="F51"/>
    </sheetView>
  </sheetViews>
  <sheetFormatPr defaultColWidth="11" defaultRowHeight="12.6" x14ac:dyDescent="0.2"/>
  <cols>
    <col min="1" max="1" width="41.6328125" style="279" customWidth="1"/>
    <col min="2" max="2" width="10" style="279" customWidth="1"/>
    <col min="3" max="3" width="18.453125" style="279" customWidth="1"/>
    <col min="4" max="7" width="18.08984375" style="279" bestFit="1" customWidth="1"/>
    <col min="8" max="8" width="16.26953125" style="279" bestFit="1" customWidth="1"/>
    <col min="9" max="16384" width="11" style="279"/>
  </cols>
  <sheetData>
    <row r="1" spans="1:10" ht="17.399999999999999" x14ac:dyDescent="0.3">
      <c r="A1" s="898" t="s">
        <v>430</v>
      </c>
      <c r="B1" s="899" t="s">
        <v>862</v>
      </c>
      <c r="C1" s="453"/>
      <c r="D1" s="453"/>
      <c r="E1" s="453"/>
      <c r="F1" s="453"/>
      <c r="G1" s="453"/>
      <c r="H1" s="453"/>
    </row>
    <row r="2" spans="1:10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10" ht="13.2" thickBot="1" x14ac:dyDescent="0.25">
      <c r="A3" s="900" t="s">
        <v>27</v>
      </c>
      <c r="B3" s="901" t="s">
        <v>36</v>
      </c>
      <c r="C3" s="425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425">
        <f>DispatchSchedule!K3</f>
        <v>46174</v>
      </c>
      <c r="I3" s="175"/>
    </row>
    <row r="4" spans="1:10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10" x14ac:dyDescent="0.2">
      <c r="A5" s="906"/>
      <c r="B5" s="907"/>
      <c r="C5" s="908"/>
      <c r="D5" s="909"/>
      <c r="E5" s="909"/>
      <c r="F5" s="909"/>
      <c r="G5" s="909"/>
      <c r="H5" s="910"/>
    </row>
    <row r="6" spans="1:10" x14ac:dyDescent="0.2">
      <c r="A6" s="906"/>
      <c r="B6" s="911"/>
      <c r="C6" s="909"/>
      <c r="D6" s="909"/>
      <c r="E6" s="909"/>
      <c r="F6" s="909"/>
      <c r="G6" s="909"/>
      <c r="H6" s="910"/>
    </row>
    <row r="7" spans="1:10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10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10" x14ac:dyDescent="0.2">
      <c r="A9" s="914" t="s">
        <v>527</v>
      </c>
      <c r="B9" s="907"/>
      <c r="C9" s="915">
        <v>27</v>
      </c>
      <c r="D9" s="915">
        <v>27</v>
      </c>
      <c r="E9" s="915">
        <v>27</v>
      </c>
      <c r="F9" s="915">
        <v>27</v>
      </c>
      <c r="G9" s="915">
        <v>27</v>
      </c>
      <c r="H9" s="1438">
        <v>27</v>
      </c>
      <c r="I9" s="438"/>
      <c r="J9" s="499"/>
    </row>
    <row r="10" spans="1:10" x14ac:dyDescent="0.2">
      <c r="A10" s="916" t="s">
        <v>432</v>
      </c>
      <c r="B10" s="907"/>
      <c r="C10" s="530">
        <v>30</v>
      </c>
      <c r="D10" s="530">
        <v>31</v>
      </c>
      <c r="E10" s="530">
        <v>30</v>
      </c>
      <c r="F10" s="530">
        <v>31</v>
      </c>
      <c r="G10" s="530">
        <v>31</v>
      </c>
      <c r="H10" s="1439">
        <v>30</v>
      </c>
      <c r="J10" s="499"/>
    </row>
    <row r="11" spans="1:10" x14ac:dyDescent="0.2">
      <c r="A11" s="916" t="s">
        <v>433</v>
      </c>
      <c r="B11" s="907"/>
      <c r="C11" s="530">
        <v>616</v>
      </c>
      <c r="D11" s="530">
        <v>616</v>
      </c>
      <c r="E11" s="530">
        <v>616</v>
      </c>
      <c r="F11" s="530">
        <v>616</v>
      </c>
      <c r="G11" s="530">
        <v>616</v>
      </c>
      <c r="H11" s="1439">
        <v>616</v>
      </c>
      <c r="J11" s="499"/>
    </row>
    <row r="12" spans="1:10" x14ac:dyDescent="0.2">
      <c r="A12" s="916"/>
      <c r="B12" s="907"/>
      <c r="C12" s="917"/>
      <c r="D12" s="918"/>
      <c r="E12" s="918"/>
      <c r="F12" s="918"/>
      <c r="G12" s="918"/>
      <c r="H12" s="919"/>
      <c r="J12" s="499"/>
    </row>
    <row r="13" spans="1:10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10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10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10" x14ac:dyDescent="0.2">
      <c r="A16" s="927" t="s">
        <v>434</v>
      </c>
      <c r="B16" s="908"/>
      <c r="C16" s="530">
        <v>1.2E-2</v>
      </c>
      <c r="D16" s="918"/>
      <c r="E16" s="918"/>
      <c r="F16" s="918"/>
      <c r="G16" s="918"/>
      <c r="H16" s="919"/>
    </row>
    <row r="17" spans="1:9" x14ac:dyDescent="0.2">
      <c r="A17" s="1259" t="s">
        <v>287</v>
      </c>
      <c r="B17" s="909"/>
      <c r="C17" s="530">
        <v>205.352</v>
      </c>
      <c r="D17" s="918"/>
      <c r="E17" s="918"/>
      <c r="F17" s="918"/>
      <c r="G17" s="918"/>
      <c r="H17" s="919"/>
    </row>
    <row r="18" spans="1:9" x14ac:dyDescent="0.2">
      <c r="A18" s="1440" t="s">
        <v>528</v>
      </c>
      <c r="B18" s="909"/>
      <c r="C18" s="530">
        <v>241.35</v>
      </c>
      <c r="D18" s="530">
        <v>241.35</v>
      </c>
      <c r="E18" s="530">
        <v>241.35</v>
      </c>
      <c r="F18" s="530">
        <v>241.35</v>
      </c>
      <c r="G18" s="530">
        <v>241.35</v>
      </c>
      <c r="H18" s="530">
        <v>241.35</v>
      </c>
      <c r="I18" s="451"/>
    </row>
    <row r="19" spans="1:9" x14ac:dyDescent="0.2">
      <c r="A19" s="927" t="s">
        <v>435</v>
      </c>
      <c r="B19" s="909"/>
      <c r="C19" s="917">
        <f t="shared" ref="C19:H19" si="0">$C$16*C18/$C$17</f>
        <v>1.410358798550781E-2</v>
      </c>
      <c r="D19" s="917">
        <f t="shared" si="0"/>
        <v>1.410358798550781E-2</v>
      </c>
      <c r="E19" s="917">
        <f t="shared" si="0"/>
        <v>1.410358798550781E-2</v>
      </c>
      <c r="F19" s="917">
        <f t="shared" si="0"/>
        <v>1.410358798550781E-2</v>
      </c>
      <c r="G19" s="917">
        <f t="shared" si="0"/>
        <v>1.410358798550781E-2</v>
      </c>
      <c r="H19" s="930">
        <f t="shared" si="0"/>
        <v>1.410358798550781E-2</v>
      </c>
    </row>
    <row r="20" spans="1:9" ht="13.2" x14ac:dyDescent="0.25">
      <c r="A20" s="922"/>
      <c r="B20" s="926"/>
      <c r="C20" s="918"/>
      <c r="D20" s="918"/>
      <c r="E20" s="918"/>
      <c r="F20" s="918"/>
      <c r="G20" s="918"/>
      <c r="H20" s="919"/>
    </row>
    <row r="21" spans="1:9" ht="13.2" x14ac:dyDescent="0.25">
      <c r="A21" s="922" t="s">
        <v>99</v>
      </c>
      <c r="B21" s="926"/>
      <c r="C21" s="917" t="s">
        <v>94</v>
      </c>
      <c r="D21" s="918"/>
      <c r="E21" s="918"/>
      <c r="F21" s="918"/>
      <c r="G21" s="918"/>
      <c r="H21" s="919"/>
    </row>
    <row r="22" spans="1:9" ht="13.2" x14ac:dyDescent="0.25">
      <c r="A22" s="925" t="s">
        <v>276</v>
      </c>
      <c r="B22" s="926"/>
      <c r="C22" s="917">
        <v>1</v>
      </c>
      <c r="D22" s="918"/>
      <c r="E22" s="918"/>
      <c r="F22" s="918"/>
      <c r="G22" s="918"/>
      <c r="H22" s="919"/>
    </row>
    <row r="23" spans="1:9" x14ac:dyDescent="0.2">
      <c r="A23" s="927" t="s">
        <v>436</v>
      </c>
      <c r="B23" s="908"/>
      <c r="C23" s="530">
        <v>5.4999999999999997E-3</v>
      </c>
      <c r="D23" s="918"/>
      <c r="E23" s="918"/>
      <c r="F23" s="918"/>
      <c r="G23" s="918"/>
      <c r="H23" s="919"/>
    </row>
    <row r="24" spans="1:9" x14ac:dyDescent="0.2">
      <c r="A24" s="1259" t="s">
        <v>441</v>
      </c>
      <c r="B24" s="909"/>
      <c r="C24" s="530">
        <v>100.01</v>
      </c>
      <c r="D24" s="918"/>
      <c r="E24" s="918"/>
      <c r="F24" s="918"/>
      <c r="G24" s="918"/>
      <c r="H24" s="530">
        <v>100.01</v>
      </c>
    </row>
    <row r="25" spans="1:9" x14ac:dyDescent="0.2">
      <c r="A25" s="1440" t="s">
        <v>529</v>
      </c>
      <c r="B25" s="909"/>
      <c r="C25" s="552">
        <v>190.9</v>
      </c>
      <c r="D25" s="552">
        <v>190.9</v>
      </c>
      <c r="E25" s="552">
        <v>190.9</v>
      </c>
      <c r="F25" s="552">
        <v>190.9</v>
      </c>
      <c r="G25" s="552">
        <v>190.9</v>
      </c>
      <c r="H25" s="552">
        <v>190.9</v>
      </c>
    </row>
    <row r="26" spans="1:9" x14ac:dyDescent="0.2">
      <c r="A26" s="1259" t="s">
        <v>442</v>
      </c>
      <c r="B26" s="909"/>
      <c r="C26" s="530">
        <v>104</v>
      </c>
      <c r="D26" s="918"/>
      <c r="E26" s="918"/>
      <c r="F26" s="918"/>
      <c r="G26" s="918"/>
      <c r="H26" s="919"/>
    </row>
    <row r="27" spans="1:9" x14ac:dyDescent="0.2">
      <c r="A27" s="927" t="s">
        <v>437</v>
      </c>
      <c r="B27" s="909"/>
      <c r="C27" s="917">
        <f>$C$23*$C$26*(C25/$C$24)</f>
        <v>1.0918388161183881</v>
      </c>
      <c r="D27" s="917">
        <f>$C$23*$C$26*(D25/$C$24)</f>
        <v>1.0918388161183881</v>
      </c>
      <c r="E27" s="917">
        <f>$C$23*$C$26*(E25/$C$24)</f>
        <v>1.0918388161183881</v>
      </c>
      <c r="F27" s="917">
        <f>$C$23*$C$26*(F25/$C$24)</f>
        <v>1.0918388161183881</v>
      </c>
      <c r="G27" s="917">
        <f>$C$23*$C$26*(G25/$C$24)</f>
        <v>1.0918388161183881</v>
      </c>
      <c r="H27" s="930">
        <f>$C$23*$C$26*(H25/$H$24)</f>
        <v>1.0918388161183881</v>
      </c>
    </row>
    <row r="28" spans="1:9" x14ac:dyDescent="0.2">
      <c r="A28" s="927"/>
      <c r="B28" s="909"/>
      <c r="C28" s="918"/>
      <c r="D28" s="918"/>
      <c r="E28" s="918"/>
      <c r="F28" s="918"/>
      <c r="G28" s="918"/>
      <c r="H28" s="919"/>
    </row>
    <row r="29" spans="1:9" ht="13.2" x14ac:dyDescent="0.25">
      <c r="A29" s="922" t="s">
        <v>99</v>
      </c>
      <c r="B29" s="926"/>
      <c r="C29" s="917" t="s">
        <v>94</v>
      </c>
      <c r="D29" s="918"/>
      <c r="E29" s="918"/>
      <c r="F29" s="918"/>
      <c r="G29" s="918"/>
      <c r="H29" s="919"/>
    </row>
    <row r="30" spans="1:9" ht="13.2" x14ac:dyDescent="0.25">
      <c r="A30" s="925" t="s">
        <v>276</v>
      </c>
      <c r="B30" s="926"/>
      <c r="C30" s="917">
        <v>1</v>
      </c>
      <c r="D30" s="918"/>
      <c r="E30" s="918"/>
      <c r="F30" s="918"/>
      <c r="G30" s="918"/>
      <c r="H30" s="919"/>
    </row>
    <row r="31" spans="1:9" ht="13.2" x14ac:dyDescent="0.25">
      <c r="A31" s="922" t="s">
        <v>438</v>
      </c>
      <c r="B31" s="926"/>
      <c r="C31" s="530">
        <v>0.22900000000000001</v>
      </c>
      <c r="D31" s="918"/>
      <c r="E31" s="918"/>
      <c r="F31" s="918"/>
      <c r="G31" s="918"/>
      <c r="H31" s="919"/>
    </row>
    <row r="32" spans="1:9" ht="13.2" x14ac:dyDescent="0.25">
      <c r="A32" s="928" t="s">
        <v>530</v>
      </c>
      <c r="B32" s="926"/>
      <c r="C32" s="897">
        <v>94.6</v>
      </c>
      <c r="D32" s="897">
        <v>94.6</v>
      </c>
      <c r="E32" s="897">
        <v>94.6</v>
      </c>
      <c r="F32" s="897">
        <v>94.6</v>
      </c>
      <c r="G32" s="897">
        <v>94.6</v>
      </c>
      <c r="H32" s="897">
        <v>94.6</v>
      </c>
    </row>
    <row r="33" spans="1:9" ht="13.2" x14ac:dyDescent="0.25">
      <c r="A33" s="922" t="s">
        <v>440</v>
      </c>
      <c r="B33" s="926"/>
      <c r="C33" s="917">
        <f t="shared" ref="C33:H33" si="1">$C$31*C32*$C$30</f>
        <v>21.663399999999999</v>
      </c>
      <c r="D33" s="917">
        <f t="shared" si="1"/>
        <v>21.663399999999999</v>
      </c>
      <c r="E33" s="917">
        <f>$C$31*E32*$C$30</f>
        <v>21.663399999999999</v>
      </c>
      <c r="F33" s="917">
        <f t="shared" si="1"/>
        <v>21.663399999999999</v>
      </c>
      <c r="G33" s="917">
        <f t="shared" si="1"/>
        <v>21.663399999999999</v>
      </c>
      <c r="H33" s="930">
        <f t="shared" si="1"/>
        <v>21.663399999999999</v>
      </c>
    </row>
    <row r="34" spans="1:9" ht="13.2" x14ac:dyDescent="0.25">
      <c r="A34" s="922"/>
      <c r="B34" s="926"/>
      <c r="C34" s="918"/>
      <c r="D34" s="918"/>
      <c r="E34" s="918"/>
      <c r="F34" s="918"/>
      <c r="G34" s="918"/>
      <c r="H34" s="919"/>
    </row>
    <row r="35" spans="1:9" ht="12.75" customHeight="1" x14ac:dyDescent="0.25">
      <c r="A35" s="1270" t="s">
        <v>493</v>
      </c>
      <c r="B35" s="1441"/>
      <c r="C35" s="1442">
        <v>0.21</v>
      </c>
      <c r="D35" s="1442">
        <v>0.21</v>
      </c>
      <c r="E35" s="1442">
        <v>0.21</v>
      </c>
      <c r="F35" s="1442">
        <v>0.21</v>
      </c>
      <c r="G35" s="1442">
        <v>0.21</v>
      </c>
      <c r="H35" s="1443">
        <v>0.21</v>
      </c>
    </row>
    <row r="36" spans="1:9" ht="12.75" customHeight="1" x14ac:dyDescent="0.25">
      <c r="A36" s="902" t="s">
        <v>145</v>
      </c>
      <c r="B36" s="931" t="s">
        <v>97</v>
      </c>
      <c r="C36" s="932">
        <f>Inputs!C21</f>
        <v>313.51760000000002</v>
      </c>
      <c r="D36" s="932">
        <f>Inputs!D21</f>
        <v>313.51760000000002</v>
      </c>
      <c r="E36" s="932">
        <f>Inputs!E21</f>
        <v>313.51760000000002</v>
      </c>
      <c r="F36" s="932">
        <f>Inputs!F21</f>
        <v>313.51760000000002</v>
      </c>
      <c r="G36" s="932">
        <f>Inputs!G21</f>
        <v>313.51760000000002</v>
      </c>
      <c r="H36" s="932">
        <f>Inputs!H21</f>
        <v>313.51760000000002</v>
      </c>
      <c r="I36" s="451"/>
    </row>
    <row r="37" spans="1:9" ht="13.2" thickBot="1" x14ac:dyDescent="0.25">
      <c r="A37" s="906"/>
      <c r="B37" s="911"/>
      <c r="C37" s="909"/>
      <c r="D37" s="909"/>
      <c r="E37" s="909"/>
      <c r="F37" s="909"/>
      <c r="G37" s="909"/>
      <c r="H37" s="910"/>
    </row>
    <row r="38" spans="1:9" x14ac:dyDescent="0.2">
      <c r="A38" s="933" t="s">
        <v>148</v>
      </c>
      <c r="B38" s="934" t="s">
        <v>60</v>
      </c>
      <c r="C38" s="1265">
        <f>(C9*C10*C11*C36/1000000)</f>
        <v>156.43274169600002</v>
      </c>
      <c r="D38" s="1265">
        <f t="shared" ref="D38:H38" si="2">(D9*D10*D11*D36/1000000)</f>
        <v>161.6471664192</v>
      </c>
      <c r="E38" s="1265">
        <f t="shared" si="2"/>
        <v>156.43274169600002</v>
      </c>
      <c r="F38" s="1265">
        <f t="shared" si="2"/>
        <v>161.6471664192</v>
      </c>
      <c r="G38" s="1265">
        <f t="shared" si="2"/>
        <v>161.6471664192</v>
      </c>
      <c r="H38" s="1265">
        <f t="shared" si="2"/>
        <v>156.43274169600002</v>
      </c>
      <c r="I38" s="450"/>
    </row>
    <row r="39" spans="1:9" x14ac:dyDescent="0.2">
      <c r="A39" s="906" t="s">
        <v>149</v>
      </c>
      <c r="B39" s="907" t="s">
        <v>60</v>
      </c>
      <c r="C39" s="1266">
        <f>((C33+C27+C19*C36)*C41)+C35</f>
        <v>0.21</v>
      </c>
      <c r="D39" s="1266">
        <f t="shared" ref="D39:H39" si="3">((D33+D27+D19*D36)*D41)+D35</f>
        <v>0.21</v>
      </c>
      <c r="E39" s="1266">
        <f t="shared" si="3"/>
        <v>0.21</v>
      </c>
      <c r="F39" s="1266">
        <f t="shared" si="3"/>
        <v>0.21</v>
      </c>
      <c r="G39" s="1266">
        <f t="shared" si="3"/>
        <v>0.21</v>
      </c>
      <c r="H39" s="1267">
        <f t="shared" si="3"/>
        <v>0.21</v>
      </c>
    </row>
    <row r="40" spans="1:9" x14ac:dyDescent="0.2">
      <c r="A40" s="906" t="s">
        <v>150</v>
      </c>
      <c r="B40" s="907" t="s">
        <v>39</v>
      </c>
      <c r="C40" s="1444">
        <v>20</v>
      </c>
      <c r="D40" s="1444">
        <v>20</v>
      </c>
      <c r="E40" s="1444">
        <v>20</v>
      </c>
      <c r="F40" s="1444">
        <v>20</v>
      </c>
      <c r="G40" s="1444">
        <v>20</v>
      </c>
      <c r="H40" s="1444">
        <v>20</v>
      </c>
    </row>
    <row r="41" spans="1:9" x14ac:dyDescent="0.2">
      <c r="A41" s="938" t="s">
        <v>516</v>
      </c>
      <c r="B41" s="907" t="s">
        <v>56</v>
      </c>
      <c r="C41" s="1269">
        <f>[13]DispatchSchedule!F43</f>
        <v>0</v>
      </c>
      <c r="D41" s="1269">
        <f>[13]DispatchSchedule!G43</f>
        <v>0</v>
      </c>
      <c r="E41" s="1269">
        <f>[13]DispatchSchedule!H43</f>
        <v>0</v>
      </c>
      <c r="F41" s="1269">
        <f>[13]DispatchSchedule!I43</f>
        <v>0</v>
      </c>
      <c r="G41" s="1269">
        <f>[13]DispatchSchedule!J43</f>
        <v>0</v>
      </c>
      <c r="H41" s="1445">
        <f>[13]DispatchSchedule!K43</f>
        <v>0</v>
      </c>
    </row>
    <row r="42" spans="1:9" ht="13.8" thickBot="1" x14ac:dyDescent="0.3">
      <c r="A42" s="940" t="s">
        <v>135</v>
      </c>
      <c r="B42" s="941" t="s">
        <v>88</v>
      </c>
      <c r="C42" s="1248">
        <f t="shared" ref="C42:H42" si="4">IF(C41=0,0,(C39/C41))</f>
        <v>0</v>
      </c>
      <c r="D42" s="1248">
        <f t="shared" si="4"/>
        <v>0</v>
      </c>
      <c r="E42" s="1248">
        <f t="shared" si="4"/>
        <v>0</v>
      </c>
      <c r="F42" s="1248">
        <f t="shared" si="4"/>
        <v>0</v>
      </c>
      <c r="G42" s="1248">
        <f t="shared" si="4"/>
        <v>0</v>
      </c>
      <c r="H42" s="1249">
        <f t="shared" si="4"/>
        <v>0</v>
      </c>
    </row>
    <row r="43" spans="1:9" x14ac:dyDescent="0.2">
      <c r="A43" s="484" t="s">
        <v>806</v>
      </c>
      <c r="B43" s="1749" t="s">
        <v>88</v>
      </c>
      <c r="C43" s="1753">
        <f>IF(C41=0,0,C38/C41)</f>
        <v>0</v>
      </c>
      <c r="D43" s="1753">
        <f t="shared" ref="D43:H43" si="5">IF(D41=0,0,D38/D41)</f>
        <v>0</v>
      </c>
      <c r="E43" s="1753">
        <f t="shared" si="5"/>
        <v>0</v>
      </c>
      <c r="F43" s="1753">
        <f t="shared" si="5"/>
        <v>0</v>
      </c>
      <c r="G43" s="1753">
        <f t="shared" si="5"/>
        <v>0</v>
      </c>
      <c r="H43" s="1753">
        <f t="shared" si="5"/>
        <v>0</v>
      </c>
    </row>
    <row r="44" spans="1:9" x14ac:dyDescent="0.2">
      <c r="A44" s="484" t="s">
        <v>806</v>
      </c>
      <c r="B44" s="1754" t="s">
        <v>1055</v>
      </c>
      <c r="C44" s="1753">
        <f>C38*1000/C40</f>
        <v>7821.6370848000006</v>
      </c>
      <c r="D44" s="1753">
        <f t="shared" ref="D44:H44" si="6">D38*1000/D40</f>
        <v>8082.358320960001</v>
      </c>
      <c r="E44" s="1753">
        <f t="shared" si="6"/>
        <v>7821.6370848000006</v>
      </c>
      <c r="F44" s="1753">
        <f t="shared" si="6"/>
        <v>8082.358320960001</v>
      </c>
      <c r="G44" s="1753">
        <f t="shared" si="6"/>
        <v>8082.358320960001</v>
      </c>
      <c r="H44" s="1753">
        <f t="shared" si="6"/>
        <v>7821.6370848000006</v>
      </c>
    </row>
    <row r="45" spans="1:9" x14ac:dyDescent="0.2">
      <c r="A45" s="453" t="s">
        <v>467</v>
      </c>
      <c r="B45" s="453"/>
      <c r="C45" s="453"/>
      <c r="D45" s="453"/>
      <c r="E45" s="453"/>
      <c r="F45" s="453"/>
      <c r="G45" s="453"/>
      <c r="H45" s="453"/>
    </row>
    <row r="46" spans="1:9" x14ac:dyDescent="0.2">
      <c r="A46" s="454" t="s">
        <v>743</v>
      </c>
      <c r="B46" s="453"/>
      <c r="C46" s="453"/>
      <c r="D46" s="453"/>
      <c r="E46" s="453"/>
      <c r="F46" s="453"/>
      <c r="G46" s="453"/>
      <c r="H46" s="453"/>
    </row>
    <row r="47" spans="1:9" ht="16.2" x14ac:dyDescent="0.3">
      <c r="A47" s="454" t="s">
        <v>648</v>
      </c>
      <c r="B47" s="453"/>
      <c r="C47" s="453"/>
      <c r="D47" s="453"/>
      <c r="E47" s="453"/>
      <c r="F47" s="453"/>
      <c r="G47" s="453"/>
      <c r="H47" s="453"/>
    </row>
    <row r="48" spans="1:9" x14ac:dyDescent="0.2">
      <c r="A48" s="439" t="s">
        <v>744</v>
      </c>
      <c r="B48" s="453"/>
      <c r="C48" s="453"/>
      <c r="D48" s="453"/>
      <c r="E48" s="453"/>
      <c r="F48" s="453"/>
      <c r="G48" s="453"/>
      <c r="H48" s="453"/>
    </row>
    <row r="49" spans="1:11" x14ac:dyDescent="0.2">
      <c r="A49" s="415"/>
      <c r="B49" s="453"/>
      <c r="C49" s="453"/>
      <c r="D49" s="453"/>
      <c r="E49" s="453"/>
      <c r="F49" s="453"/>
      <c r="G49" s="453"/>
      <c r="H49" s="453"/>
    </row>
    <row r="50" spans="1:11" x14ac:dyDescent="0.2">
      <c r="A50" s="453"/>
      <c r="B50" s="453"/>
      <c r="C50" s="453"/>
      <c r="D50" s="453"/>
      <c r="E50" s="453"/>
      <c r="F50" s="453"/>
      <c r="G50" s="453"/>
      <c r="H50" s="453"/>
    </row>
    <row r="51" spans="1:11" ht="13.8" x14ac:dyDescent="0.25">
      <c r="A51" s="1446"/>
      <c r="B51" s="453"/>
      <c r="C51" s="453"/>
      <c r="D51" s="453"/>
      <c r="E51" s="453"/>
      <c r="F51" s="453"/>
      <c r="G51" s="453"/>
      <c r="H51" s="453"/>
    </row>
    <row r="52" spans="1:11" x14ac:dyDescent="0.2">
      <c r="A52" s="453"/>
      <c r="B52" s="453"/>
      <c r="C52" s="453"/>
      <c r="D52" s="453"/>
      <c r="E52" s="453"/>
      <c r="F52" s="453"/>
      <c r="G52" s="453"/>
      <c r="H52" s="453"/>
    </row>
    <row r="53" spans="1:11" x14ac:dyDescent="0.2">
      <c r="A53" s="453"/>
      <c r="B53" s="453"/>
      <c r="C53" s="453"/>
      <c r="D53" s="453"/>
      <c r="E53" s="453"/>
      <c r="F53" s="453"/>
      <c r="G53" s="453"/>
      <c r="H53" s="453"/>
    </row>
    <row r="54" spans="1:11" ht="17.399999999999999" x14ac:dyDescent="0.3">
      <c r="A54" s="453"/>
      <c r="B54" s="453"/>
      <c r="C54" s="453"/>
      <c r="D54" s="453"/>
      <c r="E54" s="453"/>
      <c r="F54" s="1033"/>
      <c r="G54" s="453"/>
      <c r="H54" s="453"/>
    </row>
    <row r="55" spans="1:11" ht="33.75" customHeight="1" x14ac:dyDescent="0.3">
      <c r="A55" s="453"/>
      <c r="B55" s="453"/>
      <c r="C55" s="1799" t="s">
        <v>1079</v>
      </c>
      <c r="D55" s="453"/>
      <c r="E55" s="453"/>
      <c r="F55" s="453"/>
      <c r="G55" s="453"/>
      <c r="H55" s="453"/>
    </row>
    <row r="56" spans="1:11" x14ac:dyDescent="0.2">
      <c r="A56" s="453"/>
      <c r="B56" s="453"/>
      <c r="C56" s="942"/>
      <c r="D56" s="942"/>
      <c r="E56" s="942"/>
      <c r="F56" s="942"/>
      <c r="G56" s="942"/>
      <c r="H56" s="942"/>
    </row>
    <row r="57" spans="1:11" x14ac:dyDescent="0.2">
      <c r="A57" s="453"/>
      <c r="B57" s="453"/>
      <c r="C57" s="942"/>
      <c r="D57" s="942"/>
      <c r="E57" s="942"/>
      <c r="F57" s="942"/>
      <c r="G57" s="942"/>
      <c r="H57" s="942"/>
    </row>
    <row r="58" spans="1:11" x14ac:dyDescent="0.2">
      <c r="C58" s="452"/>
      <c r="D58" s="452"/>
      <c r="E58" s="452"/>
      <c r="F58" s="452"/>
      <c r="G58" s="452"/>
      <c r="H58" s="452"/>
    </row>
    <row r="59" spans="1:11" x14ac:dyDescent="0.2">
      <c r="C59" s="452"/>
      <c r="D59" s="452"/>
      <c r="E59" s="452"/>
      <c r="F59" s="452"/>
      <c r="G59" s="452"/>
      <c r="H59" s="452"/>
      <c r="I59" s="452"/>
    </row>
    <row r="60" spans="1:11" x14ac:dyDescent="0.2">
      <c r="C60" s="452"/>
      <c r="D60" s="452"/>
      <c r="E60" s="452"/>
      <c r="F60" s="452"/>
      <c r="G60" s="452"/>
      <c r="H60" s="452"/>
      <c r="I60" s="452"/>
      <c r="J60" s="452"/>
    </row>
    <row r="61" spans="1:11" x14ac:dyDescent="0.2">
      <c r="C61" s="452"/>
      <c r="D61" s="452"/>
      <c r="E61" s="452"/>
      <c r="F61" s="452"/>
      <c r="G61" s="452"/>
      <c r="H61" s="452"/>
    </row>
    <row r="62" spans="1:11" x14ac:dyDescent="0.2">
      <c r="C62" s="452"/>
      <c r="D62" s="452"/>
      <c r="E62" s="452"/>
      <c r="F62" s="452"/>
      <c r="G62" s="452"/>
      <c r="H62" s="452"/>
      <c r="I62" s="452"/>
      <c r="J62" s="452"/>
    </row>
    <row r="63" spans="1:11" x14ac:dyDescent="0.2">
      <c r="C63" s="452"/>
      <c r="D63" s="452"/>
      <c r="E63" s="452"/>
      <c r="F63" s="452"/>
      <c r="G63" s="452"/>
      <c r="H63" s="452"/>
      <c r="I63" s="452"/>
      <c r="J63" s="452"/>
      <c r="K63" s="452"/>
    </row>
    <row r="64" spans="1:11" x14ac:dyDescent="0.2">
      <c r="C64" s="452"/>
      <c r="D64" s="452"/>
      <c r="E64" s="452"/>
      <c r="F64" s="452"/>
      <c r="G64" s="452"/>
      <c r="H64" s="452"/>
    </row>
    <row r="65" spans="3:8" x14ac:dyDescent="0.2">
      <c r="C65" s="452"/>
      <c r="D65" s="452"/>
      <c r="E65" s="452"/>
      <c r="F65" s="452"/>
      <c r="G65" s="452"/>
      <c r="H65" s="452"/>
    </row>
    <row r="66" spans="3:8" x14ac:dyDescent="0.2">
      <c r="C66" s="452"/>
      <c r="D66" s="452"/>
      <c r="E66" s="452"/>
      <c r="F66" s="452"/>
      <c r="G66" s="452"/>
      <c r="H66" s="452"/>
    </row>
    <row r="67" spans="3:8" x14ac:dyDescent="0.2">
      <c r="C67" s="452"/>
      <c r="D67" s="452"/>
      <c r="E67" s="452"/>
      <c r="F67" s="452"/>
      <c r="G67" s="452"/>
      <c r="H67" s="452"/>
    </row>
    <row r="68" spans="3:8" x14ac:dyDescent="0.2">
      <c r="C68" s="452"/>
      <c r="D68" s="452"/>
      <c r="E68" s="452"/>
      <c r="F68" s="452"/>
      <c r="G68" s="452"/>
      <c r="H68" s="452"/>
    </row>
  </sheetData>
  <phoneticPr fontId="54" type="noConversion"/>
  <dataValidations disablePrompts="1" count="1">
    <dataValidation type="list" allowBlank="1" showInputMessage="1" showErrorMessage="1" sqref="B36 C29 C8 C21 C14" xr:uid="{00000000-0002-0000-29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2">
    <tabColor rgb="FF002060"/>
  </sheetPr>
  <dimension ref="A1:H55"/>
  <sheetViews>
    <sheetView workbookViewId="0"/>
  </sheetViews>
  <sheetFormatPr defaultRowHeight="12.6" x14ac:dyDescent="0.2"/>
  <cols>
    <col min="1" max="1" width="53.6328125" bestFit="1" customWidth="1"/>
    <col min="3" max="3" width="14.08984375" customWidth="1"/>
    <col min="4" max="4" width="13" customWidth="1"/>
    <col min="5" max="6" width="15.08984375" customWidth="1"/>
    <col min="7" max="7" width="14" customWidth="1"/>
    <col min="8" max="8" width="16.08984375" customWidth="1"/>
  </cols>
  <sheetData>
    <row r="1" spans="1:8" ht="17.399999999999999" x14ac:dyDescent="0.3">
      <c r="A1" s="1119" t="s">
        <v>802</v>
      </c>
      <c r="B1" s="899"/>
      <c r="C1" s="453"/>
      <c r="D1" s="453"/>
      <c r="E1" s="1033"/>
      <c r="F1" s="453"/>
      <c r="G1" s="453"/>
      <c r="H1" s="453"/>
    </row>
    <row r="2" spans="1:8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8" ht="13.2" thickBot="1" x14ac:dyDescent="0.25">
      <c r="A3" s="900" t="s">
        <v>27</v>
      </c>
      <c r="B3" s="901" t="s">
        <v>36</v>
      </c>
      <c r="C3" s="425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425">
        <f>DispatchSchedule!K3</f>
        <v>46174</v>
      </c>
    </row>
    <row r="4" spans="1:8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8" x14ac:dyDescent="0.2">
      <c r="A5" s="906"/>
      <c r="B5" s="907"/>
      <c r="C5" s="908"/>
      <c r="D5" s="909"/>
      <c r="E5" s="909"/>
      <c r="F5" s="909"/>
      <c r="G5" s="909"/>
      <c r="H5" s="910"/>
    </row>
    <row r="6" spans="1:8" x14ac:dyDescent="0.2">
      <c r="A6" s="906"/>
      <c r="B6" s="911"/>
      <c r="C6" s="909"/>
      <c r="D6" s="909"/>
      <c r="E6" s="909"/>
      <c r="F6" s="909"/>
      <c r="G6" s="909"/>
      <c r="H6" s="910"/>
    </row>
    <row r="7" spans="1:8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8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8" x14ac:dyDescent="0.2">
      <c r="A9" s="914" t="s">
        <v>527</v>
      </c>
      <c r="B9" s="907"/>
      <c r="C9" s="915">
        <v>56</v>
      </c>
      <c r="D9" s="915">
        <v>56</v>
      </c>
      <c r="E9" s="915">
        <v>56</v>
      </c>
      <c r="F9" s="915">
        <v>56</v>
      </c>
      <c r="G9" s="915">
        <v>56</v>
      </c>
      <c r="H9" s="915">
        <v>56</v>
      </c>
    </row>
    <row r="10" spans="1:8" x14ac:dyDescent="0.2">
      <c r="A10" s="916" t="s">
        <v>432</v>
      </c>
      <c r="B10" s="907"/>
      <c r="C10" s="530">
        <v>31</v>
      </c>
      <c r="D10" s="530">
        <v>31</v>
      </c>
      <c r="E10" s="530">
        <v>30</v>
      </c>
      <c r="F10" s="530">
        <v>6</v>
      </c>
      <c r="G10" s="530">
        <v>0</v>
      </c>
      <c r="H10" s="530">
        <v>0</v>
      </c>
    </row>
    <row r="11" spans="1:8" x14ac:dyDescent="0.2">
      <c r="A11" s="916" t="s">
        <v>433</v>
      </c>
      <c r="B11" s="907"/>
      <c r="C11" s="530">
        <v>696</v>
      </c>
      <c r="D11" s="530">
        <v>696</v>
      </c>
      <c r="E11" s="530">
        <v>696</v>
      </c>
      <c r="F11" s="530">
        <v>696</v>
      </c>
      <c r="G11" s="530">
        <v>696</v>
      </c>
      <c r="H11" s="530">
        <v>696</v>
      </c>
    </row>
    <row r="12" spans="1:8" x14ac:dyDescent="0.2">
      <c r="A12" s="916"/>
      <c r="B12" s="907"/>
      <c r="C12" s="917"/>
      <c r="D12" s="918"/>
      <c r="E12" s="918"/>
      <c r="F12" s="918"/>
      <c r="G12" s="918"/>
      <c r="H12" s="919"/>
    </row>
    <row r="13" spans="1:8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8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8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8" x14ac:dyDescent="0.2">
      <c r="A16" s="927" t="s">
        <v>434</v>
      </c>
      <c r="B16" s="908"/>
      <c r="C16" s="530">
        <v>0</v>
      </c>
      <c r="D16" s="918">
        <v>0</v>
      </c>
      <c r="E16" s="918">
        <v>0</v>
      </c>
      <c r="F16" s="918">
        <v>0</v>
      </c>
      <c r="G16" s="918">
        <v>0</v>
      </c>
      <c r="H16" s="918">
        <v>0</v>
      </c>
    </row>
    <row r="17" spans="1:8" ht="13.2" x14ac:dyDescent="0.25">
      <c r="A17" s="922"/>
      <c r="B17" s="926"/>
      <c r="C17" s="918"/>
      <c r="D17" s="918"/>
      <c r="E17" s="918"/>
      <c r="F17" s="918"/>
      <c r="G17" s="918"/>
      <c r="H17" s="919"/>
    </row>
    <row r="18" spans="1:8" ht="13.2" x14ac:dyDescent="0.25">
      <c r="A18" s="922" t="s">
        <v>99</v>
      </c>
      <c r="B18" s="926"/>
      <c r="C18" s="917" t="s">
        <v>94</v>
      </c>
      <c r="D18" s="918"/>
      <c r="E18" s="918"/>
      <c r="F18" s="918"/>
      <c r="G18" s="918"/>
      <c r="H18" s="919"/>
    </row>
    <row r="19" spans="1:8" ht="13.2" x14ac:dyDescent="0.25">
      <c r="A19" s="925" t="s">
        <v>276</v>
      </c>
      <c r="B19" s="926"/>
      <c r="C19" s="917">
        <v>1</v>
      </c>
      <c r="D19" s="918"/>
      <c r="E19" s="918"/>
      <c r="F19" s="918"/>
      <c r="G19" s="918"/>
      <c r="H19" s="919"/>
    </row>
    <row r="20" spans="1:8" x14ac:dyDescent="0.2">
      <c r="A20" s="927" t="s">
        <v>436</v>
      </c>
      <c r="B20" s="908"/>
      <c r="C20" s="530">
        <v>0</v>
      </c>
      <c r="D20" s="918">
        <v>0</v>
      </c>
      <c r="E20" s="918">
        <v>0</v>
      </c>
      <c r="F20" s="918">
        <v>0</v>
      </c>
      <c r="G20" s="918">
        <v>0</v>
      </c>
      <c r="H20" s="918">
        <v>0</v>
      </c>
    </row>
    <row r="21" spans="1:8" x14ac:dyDescent="0.2">
      <c r="A21" s="927"/>
      <c r="B21" s="909"/>
      <c r="C21" s="918"/>
      <c r="D21" s="918"/>
      <c r="E21" s="918"/>
      <c r="F21" s="918"/>
      <c r="G21" s="918"/>
      <c r="H21" s="919"/>
    </row>
    <row r="22" spans="1:8" ht="13.2" x14ac:dyDescent="0.25">
      <c r="A22" s="922" t="s">
        <v>99</v>
      </c>
      <c r="B22" s="926"/>
      <c r="C22" s="917" t="s">
        <v>94</v>
      </c>
      <c r="D22" s="918"/>
      <c r="E22" s="918"/>
      <c r="F22" s="918"/>
      <c r="G22" s="918"/>
      <c r="H22" s="919"/>
    </row>
    <row r="23" spans="1:8" ht="13.2" x14ac:dyDescent="0.25">
      <c r="A23" s="925" t="s">
        <v>276</v>
      </c>
      <c r="B23" s="926"/>
      <c r="C23" s="917">
        <v>1</v>
      </c>
      <c r="D23" s="918"/>
      <c r="E23" s="918"/>
      <c r="F23" s="918"/>
      <c r="G23" s="918"/>
      <c r="H23" s="919"/>
    </row>
    <row r="24" spans="1:8" ht="13.2" x14ac:dyDescent="0.25">
      <c r="A24" s="922" t="s">
        <v>438</v>
      </c>
      <c r="B24" s="926"/>
      <c r="C24" s="530">
        <v>0.249</v>
      </c>
      <c r="D24" s="918"/>
      <c r="E24" s="918"/>
      <c r="F24" s="918"/>
      <c r="G24" s="918"/>
      <c r="H24" s="919"/>
    </row>
    <row r="25" spans="1:8" ht="13.2" x14ac:dyDescent="0.25">
      <c r="A25" s="928" t="s">
        <v>530</v>
      </c>
      <c r="B25" s="926"/>
      <c r="C25" s="897">
        <v>95</v>
      </c>
      <c r="D25" s="897">
        <f>[14]Inputs!D48</f>
        <v>95</v>
      </c>
      <c r="E25" s="897">
        <f>[14]Inputs!E48</f>
        <v>95</v>
      </c>
      <c r="F25" s="897">
        <f>[14]Inputs!F48</f>
        <v>95</v>
      </c>
      <c r="G25" s="897">
        <f>[14]Inputs!G48</f>
        <v>95</v>
      </c>
      <c r="H25" s="929">
        <f>[14]Inputs!H48</f>
        <v>95</v>
      </c>
    </row>
    <row r="26" spans="1:8" ht="13.2" x14ac:dyDescent="0.25">
      <c r="A26" s="922" t="s">
        <v>440</v>
      </c>
      <c r="B26" s="926"/>
      <c r="C26" s="917">
        <f t="shared" ref="C26:H26" si="0">$C$24*C25*$C$23</f>
        <v>23.655000000000001</v>
      </c>
      <c r="D26" s="917">
        <f t="shared" si="0"/>
        <v>23.655000000000001</v>
      </c>
      <c r="E26" s="917">
        <f>$C$24*E25*$C$23</f>
        <v>23.655000000000001</v>
      </c>
      <c r="F26" s="917">
        <f t="shared" si="0"/>
        <v>23.655000000000001</v>
      </c>
      <c r="G26" s="917">
        <f t="shared" si="0"/>
        <v>23.655000000000001</v>
      </c>
      <c r="H26" s="930">
        <f t="shared" si="0"/>
        <v>23.655000000000001</v>
      </c>
    </row>
    <row r="27" spans="1:8" ht="13.2" x14ac:dyDescent="0.25">
      <c r="A27" s="922"/>
      <c r="B27" s="926"/>
      <c r="C27" s="918"/>
      <c r="D27" s="918"/>
      <c r="E27" s="918"/>
      <c r="F27" s="918"/>
      <c r="G27" s="918"/>
      <c r="H27" s="919"/>
    </row>
    <row r="28" spans="1:8" ht="13.8" x14ac:dyDescent="0.25">
      <c r="A28" s="557"/>
      <c r="B28" s="558"/>
      <c r="C28" s="559"/>
      <c r="D28" s="559"/>
      <c r="E28" s="559"/>
      <c r="F28" s="559"/>
      <c r="G28" s="559"/>
      <c r="H28" s="560"/>
    </row>
    <row r="29" spans="1:8" ht="13.2" x14ac:dyDescent="0.25">
      <c r="A29" s="902" t="s">
        <v>145</v>
      </c>
      <c r="B29" s="931" t="s">
        <v>97</v>
      </c>
      <c r="C29" s="932">
        <f>Inputs!C21</f>
        <v>313.51760000000002</v>
      </c>
      <c r="D29" s="932">
        <f>Inputs!D21</f>
        <v>313.51760000000002</v>
      </c>
      <c r="E29" s="932">
        <f>Inputs!E21</f>
        <v>313.51760000000002</v>
      </c>
      <c r="F29" s="932">
        <f>Inputs!F21</f>
        <v>313.51760000000002</v>
      </c>
      <c r="G29" s="932">
        <f>Inputs!G21</f>
        <v>313.51760000000002</v>
      </c>
      <c r="H29" s="932">
        <f>Inputs!H21</f>
        <v>313.51760000000002</v>
      </c>
    </row>
    <row r="30" spans="1:8" ht="13.2" thickBot="1" x14ac:dyDescent="0.25">
      <c r="A30" s="906"/>
      <c r="B30" s="911"/>
      <c r="C30" s="909"/>
      <c r="D30" s="909"/>
      <c r="E30" s="909"/>
      <c r="F30" s="909"/>
      <c r="G30" s="909"/>
      <c r="H30" s="910"/>
    </row>
    <row r="31" spans="1:8" x14ac:dyDescent="0.2">
      <c r="A31" s="933" t="s">
        <v>148</v>
      </c>
      <c r="B31" s="934" t="s">
        <v>60</v>
      </c>
      <c r="C31" s="935">
        <f>C9*C10*C11*C29/1000000</f>
        <v>378.80952130560007</v>
      </c>
      <c r="D31" s="935">
        <f>D9*D10*D11*D29/1000000</f>
        <v>378.80952130560007</v>
      </c>
      <c r="E31" s="935">
        <f>E9*E10*E11*E29/1000000</f>
        <v>366.58985932799999</v>
      </c>
      <c r="F31" s="935">
        <f>F9*F10*F11*F29/1000000+F28</f>
        <v>73.317971865600001</v>
      </c>
      <c r="G31" s="935">
        <f>G9*G10*G11*G29/1000000+G28</f>
        <v>0</v>
      </c>
      <c r="H31" s="935">
        <f>H9*H10*H11*H29/1000000+H28</f>
        <v>0</v>
      </c>
    </row>
    <row r="32" spans="1:8" x14ac:dyDescent="0.2">
      <c r="A32" s="906" t="s">
        <v>149</v>
      </c>
      <c r="B32" s="907" t="s">
        <v>60</v>
      </c>
      <c r="C32" s="936">
        <f>((C26+C20+C16*C29)*C34)+C28</f>
        <v>0</v>
      </c>
      <c r="D32" s="936">
        <f>((D26+D20+D16*D29)*D34)+D28</f>
        <v>0</v>
      </c>
      <c r="E32" s="936">
        <f t="shared" ref="E32:H32" si="1">((E26+E20+E16*E29)*E34)+E28</f>
        <v>0</v>
      </c>
      <c r="F32" s="936">
        <f t="shared" si="1"/>
        <v>0</v>
      </c>
      <c r="G32" s="936">
        <f t="shared" si="1"/>
        <v>0</v>
      </c>
      <c r="H32" s="936">
        <f t="shared" si="1"/>
        <v>0</v>
      </c>
    </row>
    <row r="33" spans="1:8" ht="13.2" thickBot="1" x14ac:dyDescent="0.25">
      <c r="A33" s="906" t="s">
        <v>150</v>
      </c>
      <c r="B33" s="907" t="s">
        <v>39</v>
      </c>
      <c r="C33" s="937">
        <v>56</v>
      </c>
      <c r="D33" s="937">
        <v>56</v>
      </c>
      <c r="E33" s="937">
        <v>56</v>
      </c>
      <c r="F33" s="937">
        <v>56</v>
      </c>
      <c r="G33" s="937">
        <v>56</v>
      </c>
      <c r="H33" s="937">
        <v>56</v>
      </c>
    </row>
    <row r="34" spans="1:8" ht="13.2" thickBot="1" x14ac:dyDescent="0.25">
      <c r="A34" s="938" t="s">
        <v>516</v>
      </c>
      <c r="B34" s="907" t="s">
        <v>56</v>
      </c>
      <c r="C34" s="939">
        <f>DispatchSchedule!F58</f>
        <v>0</v>
      </c>
      <c r="D34" s="939">
        <f>DispatchSchedule!G58</f>
        <v>0</v>
      </c>
      <c r="E34" s="939">
        <f>DispatchSchedule!H58</f>
        <v>0</v>
      </c>
      <c r="F34" s="939">
        <f>DispatchSchedule!I58</f>
        <v>0</v>
      </c>
      <c r="G34" s="939">
        <f>DispatchSchedule!J58</f>
        <v>0</v>
      </c>
      <c r="H34" s="939">
        <f>DispatchSchedule!K58</f>
        <v>0</v>
      </c>
    </row>
    <row r="35" spans="1:8" ht="13.8" thickBot="1" x14ac:dyDescent="0.3">
      <c r="A35" s="940" t="s">
        <v>135</v>
      </c>
      <c r="B35" s="941" t="s">
        <v>88</v>
      </c>
      <c r="C35" s="548">
        <f t="shared" ref="C35:H35" si="2">IF(C34=0,0,(C32/C34))</f>
        <v>0</v>
      </c>
      <c r="D35" s="548">
        <f t="shared" si="2"/>
        <v>0</v>
      </c>
      <c r="E35" s="548">
        <f t="shared" si="2"/>
        <v>0</v>
      </c>
      <c r="F35" s="548">
        <f t="shared" si="2"/>
        <v>0</v>
      </c>
      <c r="G35" s="548">
        <f t="shared" si="2"/>
        <v>0</v>
      </c>
      <c r="H35" s="549">
        <f t="shared" si="2"/>
        <v>0</v>
      </c>
    </row>
    <row r="36" spans="1:8" x14ac:dyDescent="0.2">
      <c r="A36" s="453"/>
      <c r="B36" s="453"/>
      <c r="C36" s="453"/>
      <c r="D36" s="453"/>
      <c r="E36" s="453"/>
      <c r="F36" s="453"/>
      <c r="G36" s="453"/>
      <c r="H36" s="453"/>
    </row>
    <row r="37" spans="1:8" x14ac:dyDescent="0.2">
      <c r="A37" s="453"/>
      <c r="B37" s="453"/>
      <c r="C37" s="942"/>
      <c r="D37" s="942"/>
      <c r="E37" s="942"/>
      <c r="F37" s="942"/>
      <c r="G37" s="942"/>
      <c r="H37" s="942"/>
    </row>
    <row r="38" spans="1:8" x14ac:dyDescent="0.2">
      <c r="A38" s="453" t="s">
        <v>467</v>
      </c>
      <c r="B38" s="453"/>
      <c r="C38" s="453"/>
      <c r="D38" s="453"/>
      <c r="E38" s="453"/>
      <c r="F38" s="453"/>
      <c r="G38" s="453"/>
      <c r="H38" s="453"/>
    </row>
    <row r="39" spans="1:8" ht="17.399999999999999" x14ac:dyDescent="0.3">
      <c r="A39" s="454" t="s">
        <v>741</v>
      </c>
      <c r="B39" s="453"/>
      <c r="C39" s="453"/>
      <c r="D39" s="453"/>
      <c r="E39" s="1033"/>
      <c r="F39" s="453"/>
      <c r="G39" s="453"/>
      <c r="H39" s="453"/>
    </row>
    <row r="40" spans="1:8" x14ac:dyDescent="0.2">
      <c r="A40" s="454"/>
      <c r="B40" s="453"/>
      <c r="C40" s="453"/>
      <c r="D40" s="453"/>
      <c r="E40" s="453"/>
      <c r="F40" s="453"/>
      <c r="G40" s="453"/>
      <c r="H40" s="453"/>
    </row>
    <row r="41" spans="1:8" x14ac:dyDescent="0.2">
      <c r="A41" s="439" t="s">
        <v>745</v>
      </c>
      <c r="B41" s="453"/>
      <c r="C41" s="453"/>
      <c r="D41" s="453"/>
      <c r="E41" s="453"/>
      <c r="F41" s="453"/>
      <c r="G41" s="453"/>
      <c r="H41" s="453"/>
    </row>
    <row r="42" spans="1:8" x14ac:dyDescent="0.2">
      <c r="A42" s="415" t="s">
        <v>646</v>
      </c>
      <c r="B42" s="453"/>
      <c r="C42" s="453"/>
      <c r="D42" s="453"/>
      <c r="E42" s="453"/>
      <c r="F42" s="453"/>
      <c r="G42" s="453"/>
      <c r="H42" s="453"/>
    </row>
    <row r="43" spans="1:8" x14ac:dyDescent="0.2">
      <c r="A43" s="453"/>
      <c r="B43" s="453"/>
      <c r="C43" s="453"/>
      <c r="D43" s="453"/>
      <c r="E43" s="453"/>
      <c r="F43" s="453"/>
      <c r="G43" s="453"/>
      <c r="H43" s="453"/>
    </row>
    <row r="49" spans="3:8" x14ac:dyDescent="0.2">
      <c r="C49" s="429"/>
      <c r="D49" s="429"/>
      <c r="E49" s="429"/>
      <c r="F49" s="429"/>
      <c r="G49" s="429"/>
      <c r="H49" s="429"/>
    </row>
    <row r="50" spans="3:8" x14ac:dyDescent="0.2">
      <c r="C50" s="429"/>
      <c r="D50" s="429"/>
      <c r="E50" s="429"/>
      <c r="F50" s="429"/>
      <c r="G50" s="429"/>
      <c r="H50" s="429"/>
    </row>
    <row r="51" spans="3:8" x14ac:dyDescent="0.2">
      <c r="C51" s="429"/>
      <c r="D51" s="429"/>
      <c r="E51" s="429"/>
      <c r="F51" s="429"/>
      <c r="G51" s="429"/>
      <c r="H51" s="429"/>
    </row>
    <row r="52" spans="3:8" x14ac:dyDescent="0.2">
      <c r="C52" s="429"/>
      <c r="D52" s="429"/>
      <c r="E52" s="429"/>
      <c r="F52" s="429"/>
      <c r="G52" s="429"/>
      <c r="H52" s="429"/>
    </row>
    <row r="53" spans="3:8" x14ac:dyDescent="0.2">
      <c r="C53" s="429"/>
      <c r="D53" s="429"/>
      <c r="E53" s="429"/>
      <c r="F53" s="429"/>
      <c r="G53" s="429"/>
      <c r="H53" s="429"/>
    </row>
    <row r="54" spans="3:8" x14ac:dyDescent="0.2">
      <c r="C54" s="429"/>
      <c r="D54" s="429"/>
      <c r="E54" s="429"/>
      <c r="F54" s="429"/>
      <c r="G54" s="429"/>
      <c r="H54" s="429"/>
    </row>
    <row r="55" spans="3:8" x14ac:dyDescent="0.2">
      <c r="C55" s="184"/>
      <c r="D55" s="184"/>
      <c r="E55" s="184"/>
      <c r="F55" s="184"/>
      <c r="G55" s="184"/>
      <c r="H55" s="184"/>
    </row>
  </sheetData>
  <dataValidations count="1">
    <dataValidation type="list" allowBlank="1" showInputMessage="1" showErrorMessage="1" sqref="B29 C22 C8 C14 C18" xr:uid="{00000000-0002-0000-2A00-000000000000}">
      <formula1>Currency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9">
    <tabColor rgb="FF002060"/>
  </sheetPr>
  <dimension ref="A1"/>
  <sheetViews>
    <sheetView workbookViewId="0">
      <selection activeCell="J19" sqref="J19"/>
    </sheetView>
  </sheetViews>
  <sheetFormatPr defaultRowHeight="12.6" x14ac:dyDescent="0.2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2060"/>
  </sheetPr>
  <dimension ref="A1:H62"/>
  <sheetViews>
    <sheetView topLeftCell="A30" workbookViewId="0">
      <selection activeCell="H35" sqref="H35"/>
    </sheetView>
  </sheetViews>
  <sheetFormatPr defaultRowHeight="12.6" x14ac:dyDescent="0.2"/>
  <cols>
    <col min="1" max="1" width="42.6328125" customWidth="1"/>
  </cols>
  <sheetData>
    <row r="1" spans="1:8" ht="17.399999999999999" x14ac:dyDescent="0.3">
      <c r="A1" s="898" t="s">
        <v>1064</v>
      </c>
      <c r="B1" s="899"/>
      <c r="C1" s="453"/>
      <c r="D1" s="453"/>
      <c r="E1" s="453"/>
      <c r="F1" s="453"/>
      <c r="G1" s="453"/>
      <c r="H1" s="453"/>
    </row>
    <row r="2" spans="1:8" ht="18" thickBot="1" x14ac:dyDescent="0.35">
      <c r="A2" s="898"/>
      <c r="B2" s="898"/>
      <c r="C2" s="298"/>
      <c r="D2" s="298"/>
      <c r="E2" s="298"/>
      <c r="F2" s="298"/>
      <c r="G2" s="298"/>
      <c r="H2" s="298"/>
    </row>
    <row r="3" spans="1:8" ht="13.2" thickBot="1" x14ac:dyDescent="0.25">
      <c r="A3" s="900" t="s">
        <v>27</v>
      </c>
      <c r="B3" s="901" t="s">
        <v>36</v>
      </c>
      <c r="C3" s="425">
        <f>+DispatchSchedule!F3</f>
        <v>46023</v>
      </c>
      <c r="D3" s="425">
        <f>+DispatchSchedule!G3</f>
        <v>46054</v>
      </c>
      <c r="E3" s="425">
        <f>+DispatchSchedule!H3</f>
        <v>46082</v>
      </c>
      <c r="F3" s="425">
        <f>+DispatchSchedule!I3</f>
        <v>46113</v>
      </c>
      <c r="G3" s="425">
        <f>+DispatchSchedule!J3</f>
        <v>46143</v>
      </c>
      <c r="H3" s="1034">
        <f>+DispatchSchedule!K3</f>
        <v>46174</v>
      </c>
    </row>
    <row r="4" spans="1:8" ht="13.2" x14ac:dyDescent="0.25">
      <c r="A4" s="902" t="s">
        <v>136</v>
      </c>
      <c r="B4" s="903"/>
      <c r="C4" s="904"/>
      <c r="D4" s="904"/>
      <c r="E4" s="904"/>
      <c r="F4" s="904"/>
      <c r="G4" s="904"/>
      <c r="H4" s="905"/>
    </row>
    <row r="5" spans="1:8" x14ac:dyDescent="0.2">
      <c r="A5" s="906"/>
      <c r="B5" s="907"/>
      <c r="C5" s="908"/>
      <c r="D5" s="909"/>
      <c r="E5" s="909"/>
      <c r="F5" s="909"/>
      <c r="G5" s="909"/>
      <c r="H5" s="910"/>
    </row>
    <row r="6" spans="1:8" x14ac:dyDescent="0.2">
      <c r="A6" s="906"/>
      <c r="B6" s="911"/>
      <c r="C6" s="909"/>
      <c r="D6" s="909"/>
      <c r="E6" s="909"/>
      <c r="F6" s="909"/>
      <c r="G6" s="909"/>
      <c r="H6" s="910"/>
    </row>
    <row r="7" spans="1:8" ht="13.2" x14ac:dyDescent="0.25">
      <c r="A7" s="902" t="s">
        <v>122</v>
      </c>
      <c r="B7" s="903"/>
      <c r="C7" s="904"/>
      <c r="D7" s="904"/>
      <c r="E7" s="904"/>
      <c r="F7" s="904"/>
      <c r="G7" s="904"/>
      <c r="H7" s="905"/>
    </row>
    <row r="8" spans="1:8" ht="13.2" x14ac:dyDescent="0.25">
      <c r="A8" s="912" t="s">
        <v>99</v>
      </c>
      <c r="B8" s="913"/>
      <c r="C8" s="908" t="s">
        <v>97</v>
      </c>
      <c r="D8" s="909"/>
      <c r="E8" s="909"/>
      <c r="F8" s="909"/>
      <c r="G8" s="909"/>
      <c r="H8" s="910"/>
    </row>
    <row r="9" spans="1:8" x14ac:dyDescent="0.2">
      <c r="A9" s="914" t="s">
        <v>527</v>
      </c>
      <c r="B9" s="907"/>
      <c r="C9" s="1255">
        <v>24</v>
      </c>
      <c r="D9" s="1255">
        <v>24</v>
      </c>
      <c r="E9" s="1255">
        <v>24</v>
      </c>
      <c r="F9" s="1255">
        <v>24</v>
      </c>
      <c r="G9" s="1255">
        <v>24</v>
      </c>
      <c r="H9" s="1773">
        <v>24</v>
      </c>
    </row>
    <row r="10" spans="1:8" x14ac:dyDescent="0.2">
      <c r="A10" s="916" t="s">
        <v>432</v>
      </c>
      <c r="B10" s="907"/>
      <c r="C10" s="1257">
        <v>31</v>
      </c>
      <c r="D10" s="1257">
        <v>31</v>
      </c>
      <c r="E10" s="1257">
        <v>30</v>
      </c>
      <c r="F10" s="1257">
        <v>7</v>
      </c>
      <c r="G10" s="1257">
        <v>0</v>
      </c>
      <c r="H10" s="1258">
        <v>0</v>
      </c>
    </row>
    <row r="11" spans="1:8" x14ac:dyDescent="0.2">
      <c r="A11" s="916" t="s">
        <v>433</v>
      </c>
      <c r="B11" s="907"/>
      <c r="C11" s="1257">
        <v>425.73</v>
      </c>
      <c r="D11" s="1257">
        <f>C11</f>
        <v>425.73</v>
      </c>
      <c r="E11" s="1257">
        <f t="shared" ref="E11:H11" si="0">D11</f>
        <v>425.73</v>
      </c>
      <c r="F11" s="1257">
        <f t="shared" si="0"/>
        <v>425.73</v>
      </c>
      <c r="G11" s="1257">
        <f t="shared" si="0"/>
        <v>425.73</v>
      </c>
      <c r="H11" s="1774">
        <f t="shared" si="0"/>
        <v>425.73</v>
      </c>
    </row>
    <row r="12" spans="1:8" x14ac:dyDescent="0.2">
      <c r="A12" s="916"/>
      <c r="B12" s="907"/>
      <c r="C12" s="917">
        <v>0</v>
      </c>
      <c r="D12" s="918"/>
      <c r="E12" s="918"/>
      <c r="F12" s="918"/>
      <c r="G12" s="918"/>
      <c r="H12" s="919"/>
    </row>
    <row r="13" spans="1:8" ht="13.2" x14ac:dyDescent="0.25">
      <c r="A13" s="902" t="s">
        <v>24</v>
      </c>
      <c r="B13" s="903"/>
      <c r="C13" s="920"/>
      <c r="D13" s="920"/>
      <c r="E13" s="920"/>
      <c r="F13" s="920"/>
      <c r="G13" s="920"/>
      <c r="H13" s="921"/>
    </row>
    <row r="14" spans="1:8" ht="13.2" x14ac:dyDescent="0.25">
      <c r="A14" s="922" t="s">
        <v>99</v>
      </c>
      <c r="B14" s="923"/>
      <c r="C14" s="917" t="s">
        <v>97</v>
      </c>
      <c r="D14" s="924"/>
      <c r="E14" s="924"/>
      <c r="F14" s="924"/>
      <c r="G14" s="924"/>
      <c r="H14" s="919"/>
    </row>
    <row r="15" spans="1:8" ht="13.2" x14ac:dyDescent="0.25">
      <c r="A15" s="925" t="s">
        <v>276</v>
      </c>
      <c r="B15" s="926"/>
      <c r="C15" s="917">
        <v>1</v>
      </c>
      <c r="D15" s="918"/>
      <c r="E15" s="918"/>
      <c r="F15" s="918"/>
      <c r="G15" s="918"/>
      <c r="H15" s="919"/>
    </row>
    <row r="16" spans="1:8" x14ac:dyDescent="0.2">
      <c r="A16" s="927" t="s">
        <v>434</v>
      </c>
      <c r="B16" s="908"/>
      <c r="C16" s="1257">
        <v>0</v>
      </c>
      <c r="D16" s="918"/>
      <c r="E16" s="918"/>
      <c r="F16" s="918"/>
      <c r="G16" s="918"/>
      <c r="H16" s="919"/>
    </row>
    <row r="17" spans="1:8" x14ac:dyDescent="0.2">
      <c r="A17" s="927" t="s">
        <v>435</v>
      </c>
      <c r="B17" s="909"/>
      <c r="C17" s="917">
        <f>$C$16</f>
        <v>0</v>
      </c>
      <c r="D17" s="917">
        <f t="shared" ref="D17:H17" si="1">$C$16</f>
        <v>0</v>
      </c>
      <c r="E17" s="917">
        <f t="shared" si="1"/>
        <v>0</v>
      </c>
      <c r="F17" s="917">
        <f t="shared" si="1"/>
        <v>0</v>
      </c>
      <c r="G17" s="917">
        <f t="shared" si="1"/>
        <v>0</v>
      </c>
      <c r="H17" s="1307">
        <f t="shared" si="1"/>
        <v>0</v>
      </c>
    </row>
    <row r="18" spans="1:8" ht="13.2" x14ac:dyDescent="0.25">
      <c r="A18" s="922"/>
      <c r="B18" s="926"/>
      <c r="C18" s="918"/>
      <c r="D18" s="918"/>
      <c r="E18" s="918"/>
      <c r="F18" s="918"/>
      <c r="G18" s="918"/>
      <c r="H18" s="919"/>
    </row>
    <row r="19" spans="1:8" ht="13.2" x14ac:dyDescent="0.25">
      <c r="A19" s="922" t="s">
        <v>99</v>
      </c>
      <c r="B19" s="926"/>
      <c r="C19" s="917" t="s">
        <v>94</v>
      </c>
      <c r="D19" s="918"/>
      <c r="E19" s="918"/>
      <c r="F19" s="918"/>
      <c r="G19" s="918"/>
      <c r="H19" s="919"/>
    </row>
    <row r="20" spans="1:8" ht="13.2" x14ac:dyDescent="0.25">
      <c r="A20" s="925" t="s">
        <v>276</v>
      </c>
      <c r="B20" s="926"/>
      <c r="C20" s="917"/>
      <c r="D20" s="918"/>
      <c r="E20" s="918"/>
      <c r="F20" s="918"/>
      <c r="G20" s="918"/>
      <c r="H20" s="919"/>
    </row>
    <row r="21" spans="1:8" x14ac:dyDescent="0.2">
      <c r="A21" s="927" t="s">
        <v>436</v>
      </c>
      <c r="B21" s="908"/>
      <c r="C21" s="1257">
        <v>0</v>
      </c>
      <c r="D21" s="918"/>
      <c r="E21" s="918"/>
      <c r="F21" s="918"/>
      <c r="G21" s="918"/>
      <c r="H21" s="919"/>
    </row>
    <row r="22" spans="1:8" x14ac:dyDescent="0.2">
      <c r="A22" s="1259" t="s">
        <v>442</v>
      </c>
      <c r="B22" s="909"/>
      <c r="C22" s="1260"/>
      <c r="D22" s="918"/>
      <c r="E22" s="918"/>
      <c r="F22" s="918"/>
      <c r="G22" s="918"/>
      <c r="H22" s="919"/>
    </row>
    <row r="23" spans="1:8" x14ac:dyDescent="0.2">
      <c r="A23" s="927" t="s">
        <v>437</v>
      </c>
      <c r="B23" s="909"/>
      <c r="C23" s="917">
        <f>C21</f>
        <v>0</v>
      </c>
      <c r="D23" s="917">
        <f t="shared" ref="D23:H23" si="2">D21</f>
        <v>0</v>
      </c>
      <c r="E23" s="917">
        <f t="shared" si="2"/>
        <v>0</v>
      </c>
      <c r="F23" s="917">
        <f t="shared" si="2"/>
        <v>0</v>
      </c>
      <c r="G23" s="917">
        <f t="shared" si="2"/>
        <v>0</v>
      </c>
      <c r="H23" s="1307">
        <f t="shared" si="2"/>
        <v>0</v>
      </c>
    </row>
    <row r="24" spans="1:8" x14ac:dyDescent="0.2">
      <c r="A24" s="927"/>
      <c r="B24" s="909"/>
      <c r="C24" s="918"/>
      <c r="D24" s="918"/>
      <c r="E24" s="918"/>
      <c r="F24" s="918"/>
      <c r="G24" s="918"/>
      <c r="H24" s="919"/>
    </row>
    <row r="25" spans="1:8" ht="13.2" x14ac:dyDescent="0.25">
      <c r="A25" s="922" t="s">
        <v>99</v>
      </c>
      <c r="B25" s="926"/>
      <c r="C25" s="917" t="s">
        <v>94</v>
      </c>
      <c r="D25" s="918"/>
      <c r="E25" s="918"/>
      <c r="F25" s="918"/>
      <c r="G25" s="918"/>
      <c r="H25" s="919"/>
    </row>
    <row r="26" spans="1:8" ht="13.2" x14ac:dyDescent="0.25">
      <c r="A26" s="925" t="s">
        <v>276</v>
      </c>
      <c r="B26" s="926"/>
      <c r="C26" s="917">
        <v>1</v>
      </c>
      <c r="D26" s="918"/>
      <c r="E26" s="918"/>
      <c r="F26" s="918"/>
      <c r="G26" s="918"/>
      <c r="H26" s="919"/>
    </row>
    <row r="27" spans="1:8" ht="13.2" x14ac:dyDescent="0.25">
      <c r="A27" s="922" t="s">
        <v>438</v>
      </c>
      <c r="B27" s="926"/>
      <c r="C27" s="1257">
        <v>0.246</v>
      </c>
      <c r="D27" s="918"/>
      <c r="E27" s="918"/>
      <c r="F27" s="918"/>
      <c r="G27" s="918"/>
      <c r="H27" s="919"/>
    </row>
    <row r="28" spans="1:8" ht="14.4" x14ac:dyDescent="0.3">
      <c r="A28" s="928" t="s">
        <v>530</v>
      </c>
      <c r="B28" s="926"/>
      <c r="C28" s="1281">
        <v>104</v>
      </c>
      <c r="D28" s="1281">
        <v>104</v>
      </c>
      <c r="E28" s="1281">
        <v>104</v>
      </c>
      <c r="F28" s="1281">
        <v>104</v>
      </c>
      <c r="G28" s="1281">
        <v>104</v>
      </c>
      <c r="H28" s="1775">
        <v>104</v>
      </c>
    </row>
    <row r="29" spans="1:8" ht="13.2" x14ac:dyDescent="0.25">
      <c r="A29" s="922" t="s">
        <v>440</v>
      </c>
      <c r="B29" s="926"/>
      <c r="C29" s="917">
        <f t="shared" ref="C29:H29" si="3">$C$27*C28*$C$26</f>
        <v>25.584</v>
      </c>
      <c r="D29" s="917">
        <f t="shared" si="3"/>
        <v>25.584</v>
      </c>
      <c r="E29" s="917">
        <f>$C$27*E28*$C$26</f>
        <v>25.584</v>
      </c>
      <c r="F29" s="917">
        <f t="shared" si="3"/>
        <v>25.584</v>
      </c>
      <c r="G29" s="917">
        <f t="shared" si="3"/>
        <v>25.584</v>
      </c>
      <c r="H29" s="930">
        <f t="shared" si="3"/>
        <v>25.584</v>
      </c>
    </row>
    <row r="30" spans="1:8" ht="13.2" x14ac:dyDescent="0.25">
      <c r="A30" s="922"/>
      <c r="B30" s="926"/>
      <c r="C30" s="918"/>
      <c r="D30" s="918"/>
      <c r="E30" s="918"/>
      <c r="F30" s="918"/>
      <c r="G30" s="918"/>
      <c r="H30" s="919"/>
    </row>
    <row r="31" spans="1:8" ht="13.8" x14ac:dyDescent="0.25">
      <c r="A31" s="1270" t="s">
        <v>493</v>
      </c>
      <c r="B31" s="1271"/>
      <c r="C31" s="1272">
        <v>0.2</v>
      </c>
      <c r="D31" s="1272">
        <v>0.2</v>
      </c>
      <c r="E31" s="1272">
        <v>0.2</v>
      </c>
      <c r="F31" s="1272">
        <v>0.2</v>
      </c>
      <c r="G31" s="1272">
        <v>0</v>
      </c>
      <c r="H31" s="1776">
        <v>0</v>
      </c>
    </row>
    <row r="32" spans="1:8" ht="13.2" x14ac:dyDescent="0.25">
      <c r="A32" s="902" t="s">
        <v>145</v>
      </c>
      <c r="B32" s="931" t="s">
        <v>97</v>
      </c>
      <c r="C32" s="1264">
        <f>Inputs!C21</f>
        <v>313.51760000000002</v>
      </c>
      <c r="D32" s="1264">
        <f>Inputs!D21</f>
        <v>313.51760000000002</v>
      </c>
      <c r="E32" s="1264">
        <f>Inputs!E21</f>
        <v>313.51760000000002</v>
      </c>
      <c r="F32" s="1264">
        <f>Inputs!F21</f>
        <v>313.51760000000002</v>
      </c>
      <c r="G32" s="1264">
        <f>Inputs!G21</f>
        <v>313.51760000000002</v>
      </c>
      <c r="H32" s="1777">
        <f>Inputs!H21</f>
        <v>313.51760000000002</v>
      </c>
    </row>
    <row r="33" spans="1:8" ht="13.2" thickBot="1" x14ac:dyDescent="0.25">
      <c r="A33" s="906"/>
      <c r="B33" s="911"/>
      <c r="C33" s="909"/>
      <c r="D33" s="909"/>
      <c r="E33" s="909"/>
      <c r="F33" s="909"/>
      <c r="G33" s="909"/>
      <c r="H33" s="910"/>
    </row>
    <row r="34" spans="1:8" x14ac:dyDescent="0.2">
      <c r="A34" s="933" t="s">
        <v>148</v>
      </c>
      <c r="B34" s="934" t="s">
        <v>60</v>
      </c>
      <c r="C34" s="1265">
        <f>(C9*C10*C11*C32/1000000)</f>
        <v>99.30454279891201</v>
      </c>
      <c r="D34" s="1265">
        <f t="shared" ref="D34:H34" si="4">(D9*D10*D11*D32/1000000)</f>
        <v>99.30454279891201</v>
      </c>
      <c r="E34" s="1265">
        <f t="shared" si="4"/>
        <v>96.101170450560019</v>
      </c>
      <c r="F34" s="1265">
        <f t="shared" si="4"/>
        <v>22.423606438464002</v>
      </c>
      <c r="G34" s="1265">
        <f t="shared" si="4"/>
        <v>0</v>
      </c>
      <c r="H34" s="1778">
        <f t="shared" si="4"/>
        <v>0</v>
      </c>
    </row>
    <row r="35" spans="1:8" x14ac:dyDescent="0.2">
      <c r="A35" s="906" t="s">
        <v>149</v>
      </c>
      <c r="B35" s="907" t="s">
        <v>60</v>
      </c>
      <c r="C35" s="1266">
        <f>((C29+C23+C17*C32)*C37)+C31</f>
        <v>0.2</v>
      </c>
      <c r="D35" s="1266">
        <f t="shared" ref="D35:H35" si="5">((D29+D23+D17*D32)*D37)+D31</f>
        <v>0.2</v>
      </c>
      <c r="E35" s="1266">
        <f t="shared" si="5"/>
        <v>0.2</v>
      </c>
      <c r="F35" s="1266">
        <f t="shared" si="5"/>
        <v>0.2</v>
      </c>
      <c r="G35" s="1266">
        <f t="shared" si="5"/>
        <v>0</v>
      </c>
      <c r="H35" s="1267">
        <f t="shared" si="5"/>
        <v>0</v>
      </c>
    </row>
    <row r="36" spans="1:8" x14ac:dyDescent="0.2">
      <c r="A36" s="906" t="s">
        <v>150</v>
      </c>
      <c r="B36" s="907" t="s">
        <v>39</v>
      </c>
      <c r="C36" s="1268">
        <f>C9</f>
        <v>24</v>
      </c>
      <c r="D36" s="1268">
        <f t="shared" ref="D36:H36" si="6">D9</f>
        <v>24</v>
      </c>
      <c r="E36" s="1268">
        <f t="shared" si="6"/>
        <v>24</v>
      </c>
      <c r="F36" s="1268">
        <f t="shared" si="6"/>
        <v>24</v>
      </c>
      <c r="G36" s="1268">
        <f t="shared" si="6"/>
        <v>24</v>
      </c>
      <c r="H36" s="1779">
        <f t="shared" si="6"/>
        <v>24</v>
      </c>
    </row>
    <row r="37" spans="1:8" x14ac:dyDescent="0.2">
      <c r="A37" s="938" t="s">
        <v>516</v>
      </c>
      <c r="B37" s="907" t="s">
        <v>56</v>
      </c>
      <c r="C37" s="1269">
        <f>DispatchSchedule!F59</f>
        <v>0</v>
      </c>
      <c r="D37" s="1269">
        <f>DispatchSchedule!G59</f>
        <v>0</v>
      </c>
      <c r="E37" s="1269">
        <f>DispatchSchedule!H59</f>
        <v>0</v>
      </c>
      <c r="F37" s="1269">
        <f>DispatchSchedule!I59</f>
        <v>0</v>
      </c>
      <c r="G37" s="1269">
        <f>DispatchSchedule!J59</f>
        <v>0</v>
      </c>
      <c r="H37" s="1780">
        <f>DispatchSchedule!K59</f>
        <v>0</v>
      </c>
    </row>
    <row r="38" spans="1:8" ht="13.8" thickBot="1" x14ac:dyDescent="0.3">
      <c r="A38" s="940" t="s">
        <v>135</v>
      </c>
      <c r="B38" s="941" t="s">
        <v>88</v>
      </c>
      <c r="C38" s="1248">
        <f t="shared" ref="C38:H38" si="7">IF(C37=0,0,(C35/C37))</f>
        <v>0</v>
      </c>
      <c r="D38" s="1248">
        <f t="shared" si="7"/>
        <v>0</v>
      </c>
      <c r="E38" s="1248">
        <f t="shared" si="7"/>
        <v>0</v>
      </c>
      <c r="F38" s="1248">
        <f t="shared" si="7"/>
        <v>0</v>
      </c>
      <c r="G38" s="1248">
        <f t="shared" si="7"/>
        <v>0</v>
      </c>
      <c r="H38" s="1249">
        <f t="shared" si="7"/>
        <v>0</v>
      </c>
    </row>
    <row r="39" spans="1:8" x14ac:dyDescent="0.2">
      <c r="A39" s="453"/>
      <c r="B39" s="453"/>
      <c r="C39" s="453"/>
      <c r="D39" s="453"/>
      <c r="E39" s="453"/>
      <c r="F39" s="453"/>
      <c r="G39" s="453"/>
      <c r="H39" s="453"/>
    </row>
    <row r="40" spans="1:8" ht="17.399999999999999" x14ac:dyDescent="0.3">
      <c r="A40" s="453" t="s">
        <v>467</v>
      </c>
      <c r="B40" s="453"/>
      <c r="C40" s="942"/>
      <c r="D40" s="942"/>
      <c r="E40" s="942"/>
      <c r="F40" s="942"/>
      <c r="G40" s="1033"/>
      <c r="H40" s="942"/>
    </row>
    <row r="41" spans="1:8" x14ac:dyDescent="0.2">
      <c r="A41" s="453" t="s">
        <v>743</v>
      </c>
      <c r="B41" s="453"/>
      <c r="C41" s="453"/>
      <c r="D41" s="453"/>
      <c r="E41" s="453"/>
      <c r="F41" s="453"/>
      <c r="G41" s="453"/>
      <c r="H41" s="453"/>
    </row>
    <row r="42" spans="1:8" x14ac:dyDescent="0.2">
      <c r="A42" s="453" t="s">
        <v>858</v>
      </c>
      <c r="B42" s="453"/>
      <c r="C42" s="453"/>
      <c r="D42" s="453"/>
      <c r="E42" s="453"/>
      <c r="F42" s="453"/>
      <c r="G42" s="453"/>
      <c r="H42" s="453"/>
    </row>
    <row r="43" spans="1:8" x14ac:dyDescent="0.2">
      <c r="A43" s="453" t="s">
        <v>1074</v>
      </c>
      <c r="B43" s="453"/>
      <c r="C43" s="453"/>
      <c r="D43" s="453"/>
      <c r="E43" s="453"/>
      <c r="F43" s="453"/>
      <c r="G43" s="453"/>
      <c r="H43" s="453"/>
    </row>
    <row r="44" spans="1:8" x14ac:dyDescent="0.2">
      <c r="A44" s="453" t="s">
        <v>1075</v>
      </c>
      <c r="B44" s="453"/>
      <c r="C44" s="453"/>
      <c r="D44" s="453"/>
      <c r="E44" s="453"/>
      <c r="F44" s="453"/>
      <c r="G44" s="453"/>
      <c r="H44" s="453"/>
    </row>
    <row r="45" spans="1:8" x14ac:dyDescent="0.2">
      <c r="A45" s="453"/>
      <c r="B45" s="453"/>
      <c r="C45" s="453"/>
      <c r="D45" s="453"/>
      <c r="E45" s="453"/>
      <c r="F45" s="453"/>
      <c r="G45" s="453"/>
      <c r="H45" s="453"/>
    </row>
    <row r="46" spans="1:8" x14ac:dyDescent="0.2">
      <c r="A46" s="453"/>
      <c r="B46" s="453"/>
      <c r="C46" s="942"/>
      <c r="D46" s="942"/>
      <c r="E46" s="942"/>
      <c r="F46" s="942"/>
      <c r="G46" s="1282"/>
      <c r="H46" s="942"/>
    </row>
    <row r="47" spans="1:8" x14ac:dyDescent="0.2">
      <c r="A47" s="453"/>
      <c r="B47" s="453"/>
      <c r="C47" s="942">
        <v>64.264011616799991</v>
      </c>
      <c r="D47" s="942">
        <v>64.264011616799991</v>
      </c>
      <c r="E47" s="942">
        <v>62.190978984000004</v>
      </c>
      <c r="F47" s="942">
        <v>14.511228429599999</v>
      </c>
      <c r="G47" s="942">
        <v>0</v>
      </c>
      <c r="H47" s="942">
        <v>0</v>
      </c>
    </row>
    <row r="48" spans="1:8" x14ac:dyDescent="0.2">
      <c r="A48" s="453"/>
      <c r="B48" s="453"/>
      <c r="C48" s="942">
        <v>15.195805759999999</v>
      </c>
      <c r="D48" s="942">
        <v>10.708627999999999</v>
      </c>
      <c r="E48" s="942">
        <v>37.578224000000006</v>
      </c>
      <c r="F48" s="942">
        <v>15.878642719999998</v>
      </c>
      <c r="G48" s="942">
        <v>0</v>
      </c>
      <c r="H48" s="942">
        <v>0</v>
      </c>
    </row>
    <row r="49" spans="1:8" x14ac:dyDescent="0.2">
      <c r="A49" s="453"/>
      <c r="B49" s="453"/>
      <c r="C49" s="942">
        <v>24</v>
      </c>
      <c r="D49" s="942">
        <v>24</v>
      </c>
      <c r="E49" s="942">
        <v>24</v>
      </c>
      <c r="F49" s="942">
        <v>24</v>
      </c>
      <c r="G49" s="942">
        <v>24</v>
      </c>
      <c r="H49" s="942">
        <v>24</v>
      </c>
    </row>
    <row r="50" spans="1:8" x14ac:dyDescent="0.2">
      <c r="A50" s="453"/>
      <c r="B50" s="453"/>
      <c r="C50" s="942">
        <v>0.58613999999999999</v>
      </c>
      <c r="D50" s="942">
        <v>0.41075</v>
      </c>
      <c r="E50" s="942">
        <v>1.4610000000000001</v>
      </c>
      <c r="F50" s="942">
        <v>0.61282999999999999</v>
      </c>
      <c r="G50" s="942">
        <v>0</v>
      </c>
      <c r="H50" s="942">
        <v>0</v>
      </c>
    </row>
    <row r="51" spans="1:8" x14ac:dyDescent="0.2">
      <c r="A51" s="453"/>
      <c r="B51" s="453"/>
      <c r="C51" s="942">
        <v>25.925215409287883</v>
      </c>
      <c r="D51" s="942">
        <v>26.070914181375532</v>
      </c>
      <c r="E51" s="942">
        <v>25.720892539356608</v>
      </c>
      <c r="F51" s="942">
        <v>25.910354780281644</v>
      </c>
      <c r="G51" s="942">
        <v>0</v>
      </c>
      <c r="H51" s="942">
        <v>0</v>
      </c>
    </row>
    <row r="52" spans="1:8" x14ac:dyDescent="0.2">
      <c r="A52" s="453"/>
      <c r="B52" s="453"/>
      <c r="C52" s="942"/>
      <c r="D52" s="942"/>
      <c r="E52" s="942"/>
      <c r="F52" s="942"/>
      <c r="G52" s="942"/>
      <c r="H52" s="942"/>
    </row>
    <row r="53" spans="1:8" x14ac:dyDescent="0.2">
      <c r="A53" s="453"/>
      <c r="B53" s="453"/>
      <c r="C53" s="942">
        <f>C47-C34</f>
        <v>-35.040531182112019</v>
      </c>
      <c r="D53" s="942">
        <f t="shared" ref="D53:H53" si="8">D47-D34</f>
        <v>-35.040531182112019</v>
      </c>
      <c r="E53" s="942">
        <f t="shared" si="8"/>
        <v>-33.910191466560015</v>
      </c>
      <c r="F53" s="942">
        <f t="shared" si="8"/>
        <v>-7.9123780088640032</v>
      </c>
      <c r="G53" s="942">
        <f t="shared" si="8"/>
        <v>0</v>
      </c>
      <c r="H53" s="942">
        <f t="shared" si="8"/>
        <v>0</v>
      </c>
    </row>
    <row r="54" spans="1:8" x14ac:dyDescent="0.2">
      <c r="A54" s="453"/>
      <c r="B54" s="453"/>
      <c r="C54" s="942">
        <f t="shared" ref="C54:H57" si="9">C48-C35</f>
        <v>14.99580576</v>
      </c>
      <c r="D54" s="942">
        <f t="shared" si="9"/>
        <v>10.508628</v>
      </c>
      <c r="E54" s="942">
        <f t="shared" si="9"/>
        <v>37.378224000000003</v>
      </c>
      <c r="F54" s="942">
        <f t="shared" si="9"/>
        <v>15.678642719999999</v>
      </c>
      <c r="G54" s="942">
        <f t="shared" si="9"/>
        <v>0</v>
      </c>
      <c r="H54" s="942">
        <f t="shared" si="9"/>
        <v>0</v>
      </c>
    </row>
    <row r="55" spans="1:8" x14ac:dyDescent="0.2">
      <c r="A55" s="453"/>
      <c r="B55" s="453"/>
      <c r="C55" s="942">
        <f t="shared" si="9"/>
        <v>0</v>
      </c>
      <c r="D55" s="942">
        <f t="shared" si="9"/>
        <v>0</v>
      </c>
      <c r="E55" s="942">
        <f t="shared" si="9"/>
        <v>0</v>
      </c>
      <c r="F55" s="942">
        <f t="shared" si="9"/>
        <v>0</v>
      </c>
      <c r="G55" s="942">
        <f t="shared" si="9"/>
        <v>0</v>
      </c>
      <c r="H55" s="942">
        <f t="shared" si="9"/>
        <v>0</v>
      </c>
    </row>
    <row r="56" spans="1:8" x14ac:dyDescent="0.2">
      <c r="A56" s="453"/>
      <c r="B56" s="453"/>
      <c r="C56" s="942">
        <f t="shared" si="9"/>
        <v>0.58613999999999999</v>
      </c>
      <c r="D56" s="942">
        <f t="shared" si="9"/>
        <v>0.41075</v>
      </c>
      <c r="E56" s="942">
        <f t="shared" si="9"/>
        <v>1.4610000000000001</v>
      </c>
      <c r="F56" s="942">
        <f t="shared" si="9"/>
        <v>0.61282999999999999</v>
      </c>
      <c r="G56" s="942">
        <f t="shared" si="9"/>
        <v>0</v>
      </c>
      <c r="H56" s="942">
        <f t="shared" si="9"/>
        <v>0</v>
      </c>
    </row>
    <row r="57" spans="1:8" x14ac:dyDescent="0.2">
      <c r="A57" s="453"/>
      <c r="B57" s="453"/>
      <c r="C57" s="942">
        <f t="shared" si="9"/>
        <v>25.925215409287883</v>
      </c>
      <c r="D57" s="942">
        <f t="shared" si="9"/>
        <v>26.070914181375532</v>
      </c>
      <c r="E57" s="942">
        <f t="shared" si="9"/>
        <v>25.720892539356608</v>
      </c>
      <c r="F57" s="942">
        <f t="shared" si="9"/>
        <v>25.910354780281644</v>
      </c>
      <c r="G57" s="942">
        <f t="shared" si="9"/>
        <v>0</v>
      </c>
      <c r="H57" s="942">
        <f t="shared" si="9"/>
        <v>0</v>
      </c>
    </row>
    <row r="58" spans="1:8" x14ac:dyDescent="0.2">
      <c r="C58" s="942"/>
      <c r="D58" s="942"/>
      <c r="E58" s="942"/>
      <c r="F58" s="942"/>
      <c r="G58" s="942"/>
    </row>
    <row r="62" spans="1:8" x14ac:dyDescent="0.2">
      <c r="G62" s="942"/>
    </row>
  </sheetData>
  <dataValidations count="1">
    <dataValidation type="list" allowBlank="1" showInputMessage="1" showErrorMessage="1" sqref="B32 C25 C8 C19 C14" xr:uid="{00000000-0002-0000-2C00-000000000000}">
      <formula1>Currency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38">
    <tabColor rgb="FF002060"/>
  </sheetPr>
  <dimension ref="A1:K99"/>
  <sheetViews>
    <sheetView showGridLines="0" view="pageBreakPreview" zoomScaleNormal="85" zoomScaleSheetLayoutView="100" workbookViewId="0">
      <pane xSplit="2" ySplit="3" topLeftCell="C46" activePane="bottomRight" state="frozen"/>
      <selection pane="topRight" activeCell="C1" sqref="C1"/>
      <selection pane="bottomLeft" activeCell="A4" sqref="A4"/>
      <selection pane="bottomRight" activeCell="C60" sqref="C60"/>
    </sheetView>
  </sheetViews>
  <sheetFormatPr defaultColWidth="11" defaultRowHeight="12.6" x14ac:dyDescent="0.2"/>
  <cols>
    <col min="1" max="1" width="51.36328125" style="1463" customWidth="1"/>
    <col min="2" max="2" width="10" style="1463" customWidth="1"/>
    <col min="3" max="8" width="18.08984375" style="1463" bestFit="1" customWidth="1"/>
    <col min="9" max="9" width="15.36328125" style="1463" customWidth="1"/>
    <col min="10" max="16384" width="11" style="1463"/>
  </cols>
  <sheetData>
    <row r="1" spans="1:11" ht="19.8" x14ac:dyDescent="0.35">
      <c r="A1" s="2336" t="s">
        <v>1261</v>
      </c>
      <c r="B1" s="2336" t="str">
        <f>+Index!C28</f>
        <v>DMAT</v>
      </c>
      <c r="D1" s="2337"/>
    </row>
    <row r="2" spans="1:11" ht="18" thickBot="1" x14ac:dyDescent="0.35">
      <c r="A2" s="1920"/>
      <c r="B2" s="1920"/>
      <c r="D2" s="1918"/>
      <c r="E2" s="1918"/>
      <c r="F2" s="1918"/>
      <c r="G2" s="1918"/>
      <c r="H2" s="1918"/>
      <c r="I2" s="1918"/>
    </row>
    <row r="3" spans="1:11" x14ac:dyDescent="0.2">
      <c r="A3" s="2338" t="s">
        <v>27</v>
      </c>
      <c r="B3" s="2339" t="s">
        <v>36</v>
      </c>
      <c r="C3" s="2572">
        <f>+DispatchSchedule!F3</f>
        <v>46023</v>
      </c>
      <c r="D3" s="2572">
        <f>+DispatchSchedule!G3</f>
        <v>46054</v>
      </c>
      <c r="E3" s="2572">
        <f>+DispatchSchedule!H3</f>
        <v>46082</v>
      </c>
      <c r="F3" s="2572">
        <f>+DispatchSchedule!I3</f>
        <v>46113</v>
      </c>
      <c r="G3" s="2572">
        <f>+DispatchSchedule!J3</f>
        <v>46143</v>
      </c>
      <c r="H3" s="2573">
        <f>+DispatchSchedule!K3</f>
        <v>46174</v>
      </c>
      <c r="I3" s="2340"/>
      <c r="J3" s="2341"/>
      <c r="K3" s="1463" t="s">
        <v>853</v>
      </c>
    </row>
    <row r="4" spans="1:11" ht="13.2" x14ac:dyDescent="0.25">
      <c r="A4" s="2110" t="s">
        <v>136</v>
      </c>
      <c r="B4" s="2342"/>
      <c r="C4" s="1839"/>
      <c r="D4" s="1839"/>
      <c r="E4" s="1839"/>
      <c r="F4" s="1839"/>
      <c r="G4" s="1839"/>
      <c r="H4" s="2087"/>
      <c r="I4" s="2343"/>
      <c r="J4" s="2344"/>
      <c r="K4" s="1463" t="s">
        <v>854</v>
      </c>
    </row>
    <row r="5" spans="1:11" x14ac:dyDescent="0.2">
      <c r="A5" s="2345" t="s">
        <v>1218</v>
      </c>
      <c r="B5" s="2346"/>
      <c r="C5" s="2347">
        <f>189/12</f>
        <v>15.75</v>
      </c>
      <c r="D5" s="2347">
        <f t="shared" ref="D5" si="0">189/12</f>
        <v>15.75</v>
      </c>
      <c r="E5" s="2347"/>
      <c r="F5" s="2347"/>
      <c r="G5" s="2347"/>
      <c r="H5" s="2347"/>
      <c r="I5" s="2346"/>
      <c r="J5" s="1345"/>
      <c r="K5" s="1463" t="s">
        <v>855</v>
      </c>
    </row>
    <row r="6" spans="1:11" x14ac:dyDescent="0.2">
      <c r="A6" s="2345"/>
      <c r="B6" s="2348"/>
      <c r="C6" s="2349"/>
      <c r="D6" s="2349"/>
      <c r="E6" s="2349"/>
      <c r="F6" s="2349"/>
      <c r="G6" s="2349"/>
      <c r="H6" s="2350"/>
    </row>
    <row r="7" spans="1:11" ht="13.2" x14ac:dyDescent="0.25">
      <c r="A7" s="2110" t="s">
        <v>122</v>
      </c>
      <c r="B7" s="2342"/>
      <c r="C7" s="1839"/>
      <c r="D7" s="1839"/>
      <c r="E7" s="1839"/>
      <c r="F7" s="1839"/>
      <c r="G7" s="1839"/>
      <c r="H7" s="2087"/>
      <c r="J7" s="1483"/>
    </row>
    <row r="8" spans="1:11" ht="13.2" x14ac:dyDescent="0.25">
      <c r="A8" s="2351" t="s">
        <v>1209</v>
      </c>
      <c r="B8" s="2352"/>
      <c r="C8" s="2349"/>
      <c r="D8" s="2349"/>
      <c r="E8" s="2349"/>
      <c r="F8" s="2349"/>
      <c r="G8" s="2349"/>
      <c r="H8" s="2350"/>
      <c r="J8" s="1483"/>
    </row>
    <row r="9" spans="1:11" ht="13.2" x14ac:dyDescent="0.25">
      <c r="A9" s="2353" t="s">
        <v>99</v>
      </c>
      <c r="B9" s="2354"/>
      <c r="C9" s="1485" t="s">
        <v>97</v>
      </c>
      <c r="D9" s="2349"/>
      <c r="E9" s="2349"/>
      <c r="F9" s="2349"/>
      <c r="G9" s="2349"/>
      <c r="H9" s="2350"/>
    </row>
    <row r="10" spans="1:11" x14ac:dyDescent="0.2">
      <c r="A10" s="2345" t="s">
        <v>1192</v>
      </c>
      <c r="B10" s="2346" t="s">
        <v>88</v>
      </c>
      <c r="C10" s="2355">
        <v>2.0859999999999999</v>
      </c>
      <c r="D10" s="2355">
        <v>2.0859999999999999</v>
      </c>
      <c r="E10" s="2355"/>
      <c r="F10" s="2355"/>
      <c r="G10" s="2355"/>
      <c r="H10" s="2356"/>
      <c r="I10" s="1483"/>
    </row>
    <row r="11" spans="1:11" x14ac:dyDescent="0.2">
      <c r="A11" s="2345"/>
      <c r="B11" s="2348"/>
      <c r="C11" s="1485"/>
      <c r="D11" s="1485"/>
      <c r="E11" s="1485"/>
      <c r="F11" s="1485"/>
      <c r="G11" s="1485"/>
      <c r="H11" s="2357"/>
      <c r="I11" s="1483"/>
    </row>
    <row r="12" spans="1:11" ht="13.2" x14ac:dyDescent="0.25">
      <c r="A12" s="2351" t="s">
        <v>1193</v>
      </c>
      <c r="B12" s="2352"/>
      <c r="C12" s="2349"/>
      <c r="D12" s="2349"/>
      <c r="E12" s="2349"/>
      <c r="F12" s="2349"/>
      <c r="G12" s="2349"/>
      <c r="H12" s="2350"/>
    </row>
    <row r="13" spans="1:11" ht="13.2" x14ac:dyDescent="0.25">
      <c r="A13" s="2353" t="s">
        <v>99</v>
      </c>
      <c r="C13" s="1485" t="s">
        <v>94</v>
      </c>
      <c r="D13" s="2349"/>
      <c r="E13" s="2349"/>
      <c r="F13" s="2349"/>
      <c r="G13" s="2349"/>
      <c r="H13" s="2350"/>
    </row>
    <row r="14" spans="1:11" x14ac:dyDescent="0.2">
      <c r="A14" s="2345" t="s">
        <v>1194</v>
      </c>
      <c r="B14" s="2346" t="s">
        <v>88</v>
      </c>
      <c r="C14" s="2355">
        <v>2.6240000000000001</v>
      </c>
      <c r="D14" s="2355">
        <v>2.6240000000000001</v>
      </c>
      <c r="E14" s="2355"/>
      <c r="F14" s="2355"/>
      <c r="G14" s="2355"/>
      <c r="H14" s="2356"/>
      <c r="I14" s="1483"/>
    </row>
    <row r="15" spans="1:11" x14ac:dyDescent="0.2">
      <c r="A15" s="2345"/>
      <c r="B15" s="2348"/>
      <c r="C15" s="2349"/>
      <c r="D15" s="2349"/>
      <c r="E15" s="2349"/>
      <c r="F15" s="2349"/>
      <c r="G15" s="2349"/>
      <c r="H15" s="2350"/>
    </row>
    <row r="16" spans="1:11" ht="13.2" x14ac:dyDescent="0.25">
      <c r="A16" s="2110" t="s">
        <v>24</v>
      </c>
      <c r="B16" s="2342"/>
      <c r="C16" s="1839"/>
      <c r="D16" s="1839"/>
      <c r="E16" s="1839"/>
      <c r="F16" s="1839"/>
      <c r="G16" s="1839"/>
      <c r="H16" s="2087"/>
    </row>
    <row r="17" spans="1:9" x14ac:dyDescent="0.2">
      <c r="A17" s="2358" t="s">
        <v>89</v>
      </c>
      <c r="B17" s="2349"/>
      <c r="C17" s="1485" t="s">
        <v>114</v>
      </c>
      <c r="D17" s="1485"/>
      <c r="E17" s="1485"/>
      <c r="F17" s="1485"/>
      <c r="G17" s="1485"/>
      <c r="H17" s="2357"/>
      <c r="I17" s="1483"/>
    </row>
    <row r="18" spans="1:9" x14ac:dyDescent="0.2">
      <c r="A18" s="2345" t="s">
        <v>100</v>
      </c>
      <c r="B18" s="2349"/>
      <c r="C18" s="1485" t="s">
        <v>103</v>
      </c>
      <c r="D18" s="1485"/>
      <c r="E18" s="1485"/>
      <c r="F18" s="1485"/>
      <c r="G18" s="1485"/>
      <c r="H18" s="2357"/>
      <c r="I18" s="1483"/>
    </row>
    <row r="19" spans="1:9" x14ac:dyDescent="0.2">
      <c r="A19" s="2345" t="s">
        <v>99</v>
      </c>
      <c r="B19" s="2349"/>
      <c r="C19" s="1485" t="s">
        <v>94</v>
      </c>
      <c r="D19" s="1485"/>
      <c r="E19" s="1485"/>
      <c r="F19" s="1485"/>
      <c r="G19" s="1485"/>
      <c r="H19" s="2357"/>
      <c r="I19" s="1483"/>
    </row>
    <row r="20" spans="1:9" x14ac:dyDescent="0.2">
      <c r="A20" s="2345" t="s">
        <v>144</v>
      </c>
      <c r="B20" s="2346" t="str">
        <f>C18&amp;"/kWh"</f>
        <v>kg/kWh</v>
      </c>
      <c r="C20" s="2347">
        <v>0.22700000000000001</v>
      </c>
      <c r="D20" s="2347">
        <v>0.22700000000000001</v>
      </c>
      <c r="E20" s="2347"/>
      <c r="F20" s="2347"/>
      <c r="G20" s="2347"/>
      <c r="H20" s="2359"/>
      <c r="I20" s="1483"/>
    </row>
    <row r="21" spans="1:9" x14ac:dyDescent="0.2">
      <c r="A21" s="2345" t="s">
        <v>834</v>
      </c>
      <c r="B21" s="2346" t="str">
        <f>C19&amp;"/"&amp;"litre"</f>
        <v>SLR/litre</v>
      </c>
      <c r="C21" s="2360">
        <f>Inputs!C47</f>
        <v>0</v>
      </c>
      <c r="D21" s="2360">
        <f>Inputs!D47</f>
        <v>0</v>
      </c>
      <c r="E21" s="2360">
        <f>Inputs!E47</f>
        <v>0</v>
      </c>
      <c r="F21" s="2360">
        <f>Inputs!F47</f>
        <v>0</v>
      </c>
      <c r="G21" s="2360">
        <f>Inputs!G47</f>
        <v>0</v>
      </c>
      <c r="H21" s="2361">
        <f>Inputs!H47</f>
        <v>0</v>
      </c>
      <c r="I21" s="2362"/>
    </row>
    <row r="22" spans="1:9" x14ac:dyDescent="0.2">
      <c r="A22" s="2363" t="s">
        <v>532</v>
      </c>
      <c r="B22" s="2364" t="str">
        <f>C19&amp;"/"&amp;C18</f>
        <v>SLR/kg</v>
      </c>
      <c r="C22" s="2504">
        <f>Inputs!C44</f>
        <v>0</v>
      </c>
      <c r="D22" s="2365">
        <f>Inputs!D44</f>
        <v>0</v>
      </c>
      <c r="E22" s="2365">
        <f>Inputs!E44</f>
        <v>0</v>
      </c>
      <c r="F22" s="2365">
        <f>Inputs!F44</f>
        <v>0</v>
      </c>
      <c r="G22" s="2365">
        <f>Inputs!G44</f>
        <v>0</v>
      </c>
      <c r="H22" s="2366">
        <f>Inputs!H44</f>
        <v>0</v>
      </c>
      <c r="I22" s="1483"/>
    </row>
    <row r="23" spans="1:9" x14ac:dyDescent="0.2">
      <c r="A23" s="2345" t="s">
        <v>25</v>
      </c>
      <c r="C23" s="2367">
        <v>1.018768258740719</v>
      </c>
      <c r="D23" s="2367">
        <v>1.018768258740719</v>
      </c>
      <c r="E23" s="2367">
        <v>1.018768258740719</v>
      </c>
      <c r="F23" s="2367">
        <v>1.018768258740719</v>
      </c>
      <c r="G23" s="2367">
        <v>1.018768258740719</v>
      </c>
      <c r="H23" s="2368">
        <v>1.018768258740719</v>
      </c>
      <c r="I23" s="2369"/>
    </row>
    <row r="24" spans="1:9" x14ac:dyDescent="0.2">
      <c r="A24" s="2345" t="s">
        <v>144</v>
      </c>
      <c r="B24" s="2346" t="str">
        <f>+C19&amp;"/kWh"</f>
        <v>SLR/kWh</v>
      </c>
      <c r="C24" s="2370">
        <v>49.77</v>
      </c>
      <c r="D24" s="2370">
        <v>49.77</v>
      </c>
      <c r="E24" s="2370"/>
      <c r="F24" s="2370"/>
      <c r="G24" s="2370"/>
      <c r="H24" s="2370"/>
      <c r="I24" s="2362"/>
    </row>
    <row r="25" spans="1:9" x14ac:dyDescent="0.2">
      <c r="A25" s="2345"/>
      <c r="B25" s="2348"/>
      <c r="C25" s="1485"/>
      <c r="D25" s="2349"/>
      <c r="E25" s="2349"/>
      <c r="F25" s="2349"/>
      <c r="G25" s="2349"/>
      <c r="H25" s="2350"/>
    </row>
    <row r="26" spans="1:9" x14ac:dyDescent="0.2">
      <c r="A26" s="2358" t="s">
        <v>90</v>
      </c>
      <c r="B26" s="2349"/>
      <c r="C26" s="1485" t="s">
        <v>118</v>
      </c>
      <c r="D26" s="1485"/>
      <c r="E26" s="1485"/>
      <c r="F26" s="1485"/>
      <c r="G26" s="1485"/>
      <c r="H26" s="2357"/>
      <c r="I26" s="1483"/>
    </row>
    <row r="27" spans="1:9" x14ac:dyDescent="0.2">
      <c r="A27" s="2345" t="s">
        <v>100</v>
      </c>
      <c r="B27" s="2349"/>
      <c r="C27" s="1485" t="s">
        <v>103</v>
      </c>
      <c r="D27" s="1485"/>
      <c r="E27" s="1485"/>
      <c r="F27" s="1485"/>
      <c r="G27" s="1485"/>
      <c r="H27" s="2357"/>
      <c r="I27" s="1483"/>
    </row>
    <row r="28" spans="1:9" x14ac:dyDescent="0.2">
      <c r="A28" s="2345" t="s">
        <v>99</v>
      </c>
      <c r="B28" s="2349"/>
      <c r="C28" s="1485" t="s">
        <v>94</v>
      </c>
      <c r="D28" s="1485"/>
      <c r="E28" s="1485"/>
      <c r="F28" s="1485"/>
      <c r="G28" s="1485"/>
      <c r="H28" s="2357"/>
      <c r="I28" s="1483"/>
    </row>
    <row r="29" spans="1:9" x14ac:dyDescent="0.2">
      <c r="A29" s="2345"/>
      <c r="B29" s="2346"/>
      <c r="C29" s="2347"/>
      <c r="D29" s="2347"/>
      <c r="E29" s="2347"/>
      <c r="F29" s="2347"/>
      <c r="G29" s="2347"/>
      <c r="H29" s="2359"/>
      <c r="I29" s="1483"/>
    </row>
    <row r="30" spans="1:9" x14ac:dyDescent="0.2">
      <c r="A30" s="2363"/>
      <c r="B30" s="2364"/>
      <c r="C30" s="2360"/>
      <c r="D30" s="2360"/>
      <c r="E30" s="2360"/>
      <c r="F30" s="2360"/>
      <c r="G30" s="2360"/>
      <c r="H30" s="2361"/>
      <c r="I30" s="1483"/>
    </row>
    <row r="31" spans="1:9" x14ac:dyDescent="0.2">
      <c r="A31" s="2345" t="s">
        <v>131</v>
      </c>
      <c r="B31" s="2346" t="str">
        <f>+C28&amp;"/kWh"</f>
        <v>SLR/kWh</v>
      </c>
      <c r="C31" s="1485">
        <v>2.4119999999999999</v>
      </c>
      <c r="D31" s="1485">
        <v>2.4119999999999999</v>
      </c>
      <c r="E31" s="1485"/>
      <c r="F31" s="1485"/>
      <c r="G31" s="1485"/>
      <c r="H31" s="1485"/>
      <c r="I31" s="1483"/>
    </row>
    <row r="32" spans="1:9" x14ac:dyDescent="0.2">
      <c r="A32" s="2345"/>
      <c r="B32" s="2348"/>
      <c r="C32" s="2349"/>
      <c r="D32" s="2349"/>
      <c r="E32" s="2349"/>
      <c r="F32" s="2349"/>
      <c r="G32" s="2349"/>
      <c r="H32" s="2350"/>
    </row>
    <row r="33" spans="1:9" x14ac:dyDescent="0.2">
      <c r="A33" s="2358" t="s">
        <v>92</v>
      </c>
      <c r="B33" s="2349"/>
      <c r="C33" s="1485" t="s">
        <v>82</v>
      </c>
      <c r="D33" s="1485"/>
      <c r="E33" s="1485"/>
      <c r="F33" s="1485"/>
      <c r="G33" s="1485"/>
      <c r="H33" s="2357"/>
      <c r="I33" s="2369"/>
    </row>
    <row r="34" spans="1:9" x14ac:dyDescent="0.2">
      <c r="A34" s="2345" t="s">
        <v>100</v>
      </c>
      <c r="B34" s="2349"/>
      <c r="C34" s="1485" t="s">
        <v>102</v>
      </c>
      <c r="D34" s="1485"/>
      <c r="E34" s="1485"/>
      <c r="F34" s="1485"/>
      <c r="G34" s="1485"/>
      <c r="H34" s="2357"/>
      <c r="I34" s="1483"/>
    </row>
    <row r="35" spans="1:9" x14ac:dyDescent="0.2">
      <c r="A35" s="2345" t="s">
        <v>99</v>
      </c>
      <c r="B35" s="2349"/>
      <c r="C35" s="1485" t="s">
        <v>94</v>
      </c>
      <c r="D35" s="1485"/>
      <c r="E35" s="1485"/>
      <c r="F35" s="1485"/>
      <c r="G35" s="1485"/>
      <c r="H35" s="2357"/>
      <c r="I35" s="1483"/>
    </row>
    <row r="36" spans="1:9" x14ac:dyDescent="0.2">
      <c r="A36" s="2345" t="s">
        <v>141</v>
      </c>
      <c r="B36" s="2346" t="str">
        <f>C35&amp;"/kWh"</f>
        <v>SLR/kWh</v>
      </c>
      <c r="C36" s="2371">
        <v>0</v>
      </c>
      <c r="D36" s="2371">
        <v>0</v>
      </c>
      <c r="E36" s="2371"/>
      <c r="F36" s="2371"/>
      <c r="G36" s="2371"/>
      <c r="H36" s="2371"/>
      <c r="I36" s="1483"/>
    </row>
    <row r="37" spans="1:9" x14ac:dyDescent="0.2">
      <c r="A37" s="2345"/>
      <c r="B37" s="2348"/>
      <c r="C37" s="2349"/>
      <c r="D37" s="2349"/>
      <c r="E37" s="2349"/>
      <c r="F37" s="2349"/>
      <c r="G37" s="2349"/>
      <c r="H37" s="2350"/>
    </row>
    <row r="38" spans="1:9" ht="13.2" x14ac:dyDescent="0.25">
      <c r="A38" s="2372" t="s">
        <v>132</v>
      </c>
      <c r="B38" s="2373"/>
      <c r="C38" s="2349"/>
      <c r="D38" s="2349"/>
      <c r="E38" s="2349"/>
      <c r="F38" s="2349"/>
      <c r="G38" s="2349"/>
      <c r="H38" s="2350"/>
    </row>
    <row r="39" spans="1:9" x14ac:dyDescent="0.2">
      <c r="A39" s="2345" t="s">
        <v>99</v>
      </c>
      <c r="B39" s="2349"/>
      <c r="C39" s="1485" t="s">
        <v>94</v>
      </c>
      <c r="D39" s="1485"/>
      <c r="E39" s="1485"/>
      <c r="F39" s="1485"/>
      <c r="G39" s="1485"/>
      <c r="H39" s="2357"/>
      <c r="I39" s="1483"/>
    </row>
    <row r="40" spans="1:9" x14ac:dyDescent="0.2">
      <c r="A40" s="2345" t="s">
        <v>507</v>
      </c>
      <c r="B40" s="2346" t="str">
        <f>C39&amp;"/kWh"</f>
        <v>SLR/kWh</v>
      </c>
      <c r="C40" s="2371">
        <v>1.798</v>
      </c>
      <c r="D40" s="2371">
        <v>1.798</v>
      </c>
      <c r="E40" s="2371"/>
      <c r="F40" s="2371"/>
      <c r="G40" s="2371"/>
      <c r="H40" s="2371"/>
      <c r="I40" s="2369"/>
    </row>
    <row r="41" spans="1:9" x14ac:dyDescent="0.2">
      <c r="A41" s="2345" t="s">
        <v>1195</v>
      </c>
      <c r="B41" s="2348"/>
      <c r="C41" s="2349"/>
      <c r="D41" s="2349"/>
      <c r="E41" s="2349"/>
      <c r="F41" s="2349"/>
      <c r="G41" s="2349"/>
      <c r="H41" s="2350"/>
    </row>
    <row r="42" spans="1:9" ht="12.75" customHeight="1" x14ac:dyDescent="0.3">
      <c r="A42" s="2374"/>
      <c r="B42" s="2375"/>
      <c r="C42" s="2349"/>
      <c r="D42" s="2349"/>
      <c r="E42" s="2349"/>
      <c r="F42" s="2349"/>
      <c r="G42" s="2349"/>
      <c r="H42" s="2350"/>
    </row>
    <row r="43" spans="1:9" ht="12.75" customHeight="1" x14ac:dyDescent="0.25">
      <c r="A43" s="2376" t="s">
        <v>483</v>
      </c>
      <c r="B43" s="2377"/>
      <c r="C43" s="1839"/>
      <c r="D43" s="1839"/>
      <c r="E43" s="1839"/>
      <c r="F43" s="1839"/>
      <c r="G43" s="2378"/>
      <c r="H43" s="2080"/>
    </row>
    <row r="44" spans="1:9" ht="12.75" customHeight="1" x14ac:dyDescent="0.25">
      <c r="A44" s="2379" t="s">
        <v>1196</v>
      </c>
      <c r="B44" s="2354" t="s">
        <v>1197</v>
      </c>
      <c r="C44" s="2347">
        <v>3580</v>
      </c>
      <c r="D44" s="2347">
        <v>3580</v>
      </c>
      <c r="E44" s="2347"/>
      <c r="F44" s="2347"/>
      <c r="G44" s="2347"/>
      <c r="H44" s="2347"/>
      <c r="I44" s="1483"/>
    </row>
    <row r="45" spans="1:9" ht="12.75" customHeight="1" x14ac:dyDescent="0.25">
      <c r="A45" s="2380" t="s">
        <v>1198</v>
      </c>
      <c r="B45" s="2354" t="s">
        <v>1199</v>
      </c>
      <c r="C45" s="2381">
        <v>550</v>
      </c>
      <c r="D45" s="2381">
        <v>550</v>
      </c>
      <c r="E45" s="2381"/>
      <c r="F45" s="2381"/>
      <c r="G45" s="2381"/>
      <c r="H45" s="2381"/>
      <c r="I45" s="2362"/>
    </row>
    <row r="46" spans="1:9" ht="12.75" customHeight="1" x14ac:dyDescent="0.25">
      <c r="A46" s="2380" t="s">
        <v>418</v>
      </c>
      <c r="B46" s="2354" t="s">
        <v>1200</v>
      </c>
      <c r="C46" s="2382">
        <v>358</v>
      </c>
      <c r="D46" s="2382">
        <v>358</v>
      </c>
      <c r="E46" s="2382"/>
      <c r="F46" s="2382"/>
      <c r="G46" s="2382"/>
      <c r="H46" s="2382"/>
      <c r="I46" s="1483"/>
    </row>
    <row r="47" spans="1:9" ht="12.75" customHeight="1" x14ac:dyDescent="0.2">
      <c r="A47" s="2380" t="s">
        <v>784</v>
      </c>
      <c r="B47" s="2383" t="s">
        <v>385</v>
      </c>
      <c r="C47" s="2382">
        <v>0</v>
      </c>
      <c r="D47" s="2382">
        <v>0</v>
      </c>
      <c r="E47" s="2382"/>
      <c r="F47" s="2382"/>
      <c r="G47" s="2382"/>
      <c r="H47" s="2382"/>
      <c r="I47" s="1483"/>
    </row>
    <row r="48" spans="1:9" ht="12.75" customHeight="1" x14ac:dyDescent="0.2">
      <c r="A48" s="2380" t="s">
        <v>490</v>
      </c>
      <c r="B48" s="2383" t="s">
        <v>491</v>
      </c>
      <c r="C48" s="2385">
        <f>(C44*C47+C45*C46*C47)/1000000</f>
        <v>0</v>
      </c>
      <c r="D48" s="2385">
        <f>(D44*D47+D45*D46*D47)/1000000</f>
        <v>0</v>
      </c>
      <c r="E48" s="2385">
        <f t="shared" ref="E48:H48" si="1">(E44*E47+E45*E46*E47)/1000000</f>
        <v>0</v>
      </c>
      <c r="F48" s="2385">
        <f t="shared" si="1"/>
        <v>0</v>
      </c>
      <c r="G48" s="2385">
        <f t="shared" si="1"/>
        <v>0</v>
      </c>
      <c r="H48" s="2385">
        <f t="shared" si="1"/>
        <v>0</v>
      </c>
      <c r="I48" s="2386"/>
    </row>
    <row r="49" spans="1:11" ht="12.75" customHeight="1" x14ac:dyDescent="0.2">
      <c r="A49" s="2380"/>
      <c r="B49" s="2387"/>
      <c r="C49" s="2388"/>
      <c r="D49" s="2388"/>
      <c r="E49" s="2388"/>
      <c r="F49" s="2388"/>
      <c r="G49" s="2388"/>
      <c r="H49" s="2389"/>
      <c r="I49" s="1479"/>
    </row>
    <row r="50" spans="1:11" ht="12.75" customHeight="1" x14ac:dyDescent="0.25">
      <c r="A50" s="2110" t="s">
        <v>189</v>
      </c>
      <c r="B50" s="2342"/>
      <c r="C50" s="1839"/>
      <c r="D50" s="1839"/>
      <c r="E50" s="1839"/>
      <c r="F50" s="1839"/>
      <c r="G50" s="1839"/>
      <c r="H50" s="2087"/>
    </row>
    <row r="51" spans="1:11" ht="12.75" customHeight="1" x14ac:dyDescent="0.25">
      <c r="A51" s="2353" t="s">
        <v>190</v>
      </c>
      <c r="B51" s="2346" t="s">
        <v>60</v>
      </c>
      <c r="C51" s="2382">
        <v>0</v>
      </c>
      <c r="D51" s="2382">
        <v>0</v>
      </c>
      <c r="E51" s="2382">
        <v>0</v>
      </c>
      <c r="F51" s="2382">
        <v>0</v>
      </c>
      <c r="G51" s="2382">
        <v>0</v>
      </c>
      <c r="H51" s="2384">
        <v>0</v>
      </c>
      <c r="I51" s="1483"/>
    </row>
    <row r="52" spans="1:11" ht="12.75" customHeight="1" x14ac:dyDescent="0.25">
      <c r="A52" s="2353" t="s">
        <v>191</v>
      </c>
      <c r="B52" s="2346" t="s">
        <v>60</v>
      </c>
      <c r="C52" s="2382">
        <v>0</v>
      </c>
      <c r="D52" s="2382">
        <v>0</v>
      </c>
      <c r="E52" s="2382">
        <v>0</v>
      </c>
      <c r="F52" s="2382">
        <v>0</v>
      </c>
      <c r="G52" s="2382">
        <v>0</v>
      </c>
      <c r="H52" s="2382">
        <v>0</v>
      </c>
      <c r="I52" s="1483"/>
    </row>
    <row r="53" spans="1:11" ht="12.75" customHeight="1" x14ac:dyDescent="0.25">
      <c r="A53" s="2353"/>
      <c r="B53" s="2346"/>
      <c r="C53" s="1485"/>
      <c r="D53" s="1485"/>
      <c r="E53" s="1485"/>
      <c r="F53" s="1485"/>
      <c r="G53" s="1485"/>
      <c r="H53" s="2390"/>
      <c r="I53" s="1483"/>
    </row>
    <row r="54" spans="1:11" ht="12.75" customHeight="1" x14ac:dyDescent="0.25">
      <c r="A54" s="2110" t="s">
        <v>145</v>
      </c>
      <c r="B54" s="1465" t="s">
        <v>94</v>
      </c>
      <c r="C54" s="2391">
        <v>1</v>
      </c>
      <c r="D54" s="2391">
        <v>1</v>
      </c>
      <c r="E54" s="2391">
        <v>1</v>
      </c>
      <c r="F54" s="2391">
        <v>1</v>
      </c>
      <c r="G54" s="2391">
        <v>1</v>
      </c>
      <c r="H54" s="2391">
        <v>1</v>
      </c>
      <c r="I54" s="1483"/>
    </row>
    <row r="55" spans="1:11" ht="13.2" thickBot="1" x14ac:dyDescent="0.25">
      <c r="A55" s="2345"/>
      <c r="B55" s="2348"/>
      <c r="C55" s="2349"/>
      <c r="D55" s="2349"/>
      <c r="E55" s="2349"/>
      <c r="F55" s="2349"/>
      <c r="G55" s="2349"/>
      <c r="H55" s="2350"/>
    </row>
    <row r="56" spans="1:11" x14ac:dyDescent="0.2">
      <c r="A56" s="2392" t="s">
        <v>148</v>
      </c>
      <c r="B56" s="2393" t="s">
        <v>60</v>
      </c>
      <c r="C56" s="2394">
        <f>IF(C60=0,0,(C10*C5*C54)+(C14*C60*C54))</f>
        <v>0</v>
      </c>
      <c r="D56" s="2394">
        <f t="shared" ref="D56:H56" si="2">IF(D60=0,0,(D10*D5*D54)+(D14*D60*D54))</f>
        <v>0</v>
      </c>
      <c r="E56" s="2394">
        <f t="shared" si="2"/>
        <v>0</v>
      </c>
      <c r="F56" s="2394">
        <f t="shared" si="2"/>
        <v>0</v>
      </c>
      <c r="G56" s="2394">
        <f t="shared" si="2"/>
        <v>0</v>
      </c>
      <c r="H56" s="2394">
        <f t="shared" si="2"/>
        <v>0</v>
      </c>
      <c r="I56" s="2395"/>
      <c r="K56" s="1487"/>
    </row>
    <row r="57" spans="1:11" x14ac:dyDescent="0.2">
      <c r="A57" s="2345" t="s">
        <v>149</v>
      </c>
      <c r="B57" s="2346" t="s">
        <v>60</v>
      </c>
      <c r="C57" s="2396">
        <f>((C24+C31+C36+(C40*C54))*C60)+(C52+C51)+C48</f>
        <v>0</v>
      </c>
      <c r="D57" s="2396">
        <f>((D24+D31+D36+(D40*D54))*D60)+(D52+D51)+D48</f>
        <v>0</v>
      </c>
      <c r="E57" s="2396">
        <f>((E24+E31+E36+(E40*E54))*E60)+(E52+E51)+E48</f>
        <v>0</v>
      </c>
      <c r="F57" s="2396">
        <f t="shared" ref="F57:H57" si="3">((F24+F31+F36+(F40*F54))*F60)+(F52+F51)+F48</f>
        <v>0</v>
      </c>
      <c r="G57" s="2396">
        <f>((G24+G31+G36+(G40*G54))*G60)+(G52+G51)+G48</f>
        <v>0</v>
      </c>
      <c r="H57" s="2397">
        <f t="shared" si="3"/>
        <v>0</v>
      </c>
      <c r="I57" s="2398"/>
      <c r="K57" s="1487"/>
    </row>
    <row r="58" spans="1:11" x14ac:dyDescent="0.2">
      <c r="A58" s="2345"/>
      <c r="B58" s="2346"/>
      <c r="C58" s="2399"/>
      <c r="D58" s="2399"/>
      <c r="E58" s="2399"/>
      <c r="F58" s="2399"/>
      <c r="G58" s="2399"/>
      <c r="H58" s="2400"/>
      <c r="I58" s="2401"/>
    </row>
    <row r="59" spans="1:11" x14ac:dyDescent="0.2">
      <c r="A59" s="2345" t="s">
        <v>150</v>
      </c>
      <c r="B59" s="2346" t="s">
        <v>39</v>
      </c>
      <c r="C59" s="2451">
        <v>23.75</v>
      </c>
      <c r="D59" s="2451">
        <v>23.75</v>
      </c>
      <c r="E59" s="2451">
        <v>23.75</v>
      </c>
      <c r="F59" s="2451">
        <v>23.75</v>
      </c>
      <c r="G59" s="2451">
        <v>23.75</v>
      </c>
      <c r="H59" s="2507">
        <v>23.75</v>
      </c>
      <c r="I59" s="2401"/>
    </row>
    <row r="60" spans="1:11" x14ac:dyDescent="0.2">
      <c r="A60" s="2345" t="s">
        <v>134</v>
      </c>
      <c r="B60" s="1483" t="s">
        <v>56</v>
      </c>
      <c r="C60" s="2381">
        <f>DispatchSchedule!F46</f>
        <v>0</v>
      </c>
      <c r="D60" s="2381">
        <f>DispatchSchedule!G46</f>
        <v>0</v>
      </c>
      <c r="E60" s="2381">
        <f>DispatchSchedule!H46</f>
        <v>0</v>
      </c>
      <c r="F60" s="2381">
        <f>DispatchSchedule!I46</f>
        <v>0</v>
      </c>
      <c r="G60" s="2381">
        <f>DispatchSchedule!J46</f>
        <v>0</v>
      </c>
      <c r="H60" s="2402">
        <f>DispatchSchedule!K46</f>
        <v>0</v>
      </c>
      <c r="I60" s="2403"/>
    </row>
    <row r="61" spans="1:11" x14ac:dyDescent="0.2">
      <c r="A61" s="2345"/>
      <c r="B61" s="1483"/>
      <c r="C61" s="2404"/>
      <c r="D61" s="2404"/>
      <c r="E61" s="2404"/>
      <c r="F61" s="2404"/>
      <c r="G61" s="2404"/>
      <c r="H61" s="2405"/>
      <c r="I61" s="2403"/>
    </row>
    <row r="62" spans="1:11" ht="13.2" x14ac:dyDescent="0.25">
      <c r="A62" s="2406" t="s">
        <v>135</v>
      </c>
      <c r="B62" s="2407" t="s">
        <v>88</v>
      </c>
      <c r="C62" s="2408">
        <f t="shared" ref="C62:H62" si="4">IF(C60=0,0,(C57/C60))</f>
        <v>0</v>
      </c>
      <c r="D62" s="2408">
        <f>IF(D60=0,0,(D57/D60))</f>
        <v>0</v>
      </c>
      <c r="E62" s="2408">
        <f t="shared" si="4"/>
        <v>0</v>
      </c>
      <c r="F62" s="2408">
        <f t="shared" si="4"/>
        <v>0</v>
      </c>
      <c r="G62" s="2408">
        <f t="shared" si="4"/>
        <v>0</v>
      </c>
      <c r="H62" s="2409">
        <f t="shared" si="4"/>
        <v>0</v>
      </c>
      <c r="I62" s="2410"/>
    </row>
    <row r="63" spans="1:11" x14ac:dyDescent="0.2">
      <c r="A63" s="2083" t="s">
        <v>806</v>
      </c>
      <c r="B63" s="1475" t="s">
        <v>88</v>
      </c>
      <c r="C63" s="2411">
        <f>IF(C60=0,0,C56/C60)</f>
        <v>0</v>
      </c>
      <c r="D63" s="2411">
        <f>IF(D60=0,0,D56/D60)</f>
        <v>0</v>
      </c>
      <c r="E63" s="2411">
        <f t="shared" ref="E63:H63" si="5">IF(E60=0,0,E56/E60)</f>
        <v>0</v>
      </c>
      <c r="F63" s="2411">
        <f t="shared" si="5"/>
        <v>0</v>
      </c>
      <c r="G63" s="2411">
        <f t="shared" si="5"/>
        <v>0</v>
      </c>
      <c r="H63" s="2412">
        <f t="shared" si="5"/>
        <v>0</v>
      </c>
      <c r="I63" s="2386"/>
    </row>
    <row r="64" spans="1:11" ht="13.2" thickBot="1" x14ac:dyDescent="0.25">
      <c r="A64" s="2117" t="s">
        <v>806</v>
      </c>
      <c r="B64" s="2413" t="s">
        <v>1055</v>
      </c>
      <c r="C64" s="2414">
        <f>C56*1000/C59</f>
        <v>0</v>
      </c>
      <c r="D64" s="2414">
        <f t="shared" ref="D64:H64" si="6">D56*1000/D59</f>
        <v>0</v>
      </c>
      <c r="E64" s="2540">
        <f>E56*1000/E59</f>
        <v>0</v>
      </c>
      <c r="F64" s="2540">
        <f t="shared" si="6"/>
        <v>0</v>
      </c>
      <c r="G64" s="2540">
        <f t="shared" si="6"/>
        <v>0</v>
      </c>
      <c r="H64" s="2541">
        <f t="shared" si="6"/>
        <v>0</v>
      </c>
      <c r="I64" s="2386"/>
    </row>
    <row r="65" spans="1:9" x14ac:dyDescent="0.2">
      <c r="C65" s="2386"/>
      <c r="D65" s="2386"/>
      <c r="E65" s="2386"/>
      <c r="F65" s="2386"/>
      <c r="G65" s="2386"/>
      <c r="H65" s="2386"/>
      <c r="I65" s="2386"/>
    </row>
    <row r="66" spans="1:9" x14ac:dyDescent="0.2">
      <c r="A66" s="1463" t="s">
        <v>467</v>
      </c>
    </row>
    <row r="67" spans="1:9" x14ac:dyDescent="0.2">
      <c r="A67" s="439" t="s">
        <v>1251</v>
      </c>
      <c r="B67"/>
      <c r="C67" s="1346"/>
      <c r="D67" s="1346"/>
      <c r="E67" s="1346"/>
      <c r="F67" s="1346"/>
      <c r="G67" s="1346"/>
      <c r="H67" s="1346"/>
      <c r="I67" s="1346"/>
    </row>
    <row r="68" spans="1:9" x14ac:dyDescent="0.2">
      <c r="A68" s="439" t="s">
        <v>856</v>
      </c>
      <c r="B68"/>
      <c r="C68"/>
      <c r="D68"/>
    </row>
    <row r="69" spans="1:9" x14ac:dyDescent="0.2">
      <c r="A69" s="439" t="s">
        <v>1042</v>
      </c>
      <c r="B69"/>
      <c r="C69" s="241"/>
      <c r="D69" s="241"/>
      <c r="E69" s="1837"/>
      <c r="F69" s="1837"/>
      <c r="G69" s="1837"/>
      <c r="H69" s="1837"/>
      <c r="I69" s="1837"/>
    </row>
    <row r="70" spans="1:9" x14ac:dyDescent="0.2">
      <c r="A70" s="439" t="s">
        <v>858</v>
      </c>
      <c r="B70"/>
      <c r="C70"/>
      <c r="D70" s="895"/>
    </row>
    <row r="71" spans="1:9" x14ac:dyDescent="0.2">
      <c r="A71" s="439" t="s">
        <v>1252</v>
      </c>
      <c r="B71"/>
      <c r="C71"/>
      <c r="D71" s="895"/>
    </row>
    <row r="72" spans="1:9" x14ac:dyDescent="0.2">
      <c r="A72" s="439"/>
      <c r="B72"/>
      <c r="C72" s="1346"/>
      <c r="D72" s="1346"/>
      <c r="E72" s="1346"/>
      <c r="F72" s="1346"/>
      <c r="G72" s="1346"/>
      <c r="H72" s="1346"/>
      <c r="I72" s="1346"/>
    </row>
    <row r="73" spans="1:9" x14ac:dyDescent="0.2">
      <c r="A73" s="439"/>
      <c r="B73"/>
      <c r="C73"/>
      <c r="D73"/>
    </row>
    <row r="74" spans="1:9" x14ac:dyDescent="0.2">
      <c r="A74" s="2415"/>
      <c r="C74" s="1837"/>
      <c r="D74" s="1837"/>
      <c r="E74" s="1837"/>
      <c r="F74" s="1837"/>
      <c r="G74" s="1837"/>
      <c r="H74" s="1837"/>
      <c r="I74" s="1837"/>
    </row>
    <row r="75" spans="1:9" x14ac:dyDescent="0.2">
      <c r="A75" s="2415"/>
      <c r="D75" s="2416"/>
    </row>
    <row r="76" spans="1:9" x14ac:dyDescent="0.2">
      <c r="A76" s="2415"/>
      <c r="D76" s="2416"/>
    </row>
    <row r="77" spans="1:9" x14ac:dyDescent="0.2">
      <c r="C77" s="1473"/>
      <c r="D77" s="1473"/>
      <c r="E77" s="1473"/>
      <c r="F77" s="1473"/>
      <c r="G77" s="1473"/>
      <c r="H77" s="1473"/>
      <c r="I77" s="1473"/>
    </row>
    <row r="78" spans="1:9" x14ac:dyDescent="0.2">
      <c r="D78" s="2416"/>
    </row>
    <row r="79" spans="1:9" x14ac:dyDescent="0.2">
      <c r="C79" s="1473"/>
      <c r="D79" s="1473"/>
      <c r="E79" s="1473"/>
      <c r="F79" s="1473"/>
      <c r="G79" s="1473"/>
      <c r="H79" s="1473"/>
      <c r="I79" s="1473"/>
    </row>
    <row r="80" spans="1:9" x14ac:dyDescent="0.2">
      <c r="C80" s="2417"/>
      <c r="D80" s="2417"/>
      <c r="E80" s="2417"/>
      <c r="F80" s="2417"/>
      <c r="G80" s="2417"/>
      <c r="H80" s="2417"/>
      <c r="I80" s="2417"/>
    </row>
    <row r="81" spans="3:9" x14ac:dyDescent="0.2">
      <c r="C81" s="2417"/>
      <c r="D81" s="2417"/>
      <c r="E81" s="2417"/>
      <c r="F81" s="2417"/>
      <c r="G81" s="2417"/>
      <c r="H81" s="2417"/>
      <c r="I81" s="2417"/>
    </row>
    <row r="82" spans="3:9" x14ac:dyDescent="0.2">
      <c r="C82" s="2417"/>
      <c r="D82" s="2417"/>
      <c r="E82" s="2417"/>
      <c r="F82" s="2417"/>
      <c r="G82" s="2417"/>
      <c r="H82" s="2417"/>
      <c r="I82" s="2417"/>
    </row>
    <row r="83" spans="3:9" x14ac:dyDescent="0.2">
      <c r="C83" s="2417"/>
      <c r="D83" s="2417"/>
      <c r="E83" s="2417"/>
      <c r="F83" s="2417"/>
      <c r="G83" s="2417"/>
      <c r="H83" s="2417"/>
      <c r="I83" s="2417"/>
    </row>
    <row r="84" spans="3:9" x14ac:dyDescent="0.2">
      <c r="C84" s="2417"/>
      <c r="D84" s="2417"/>
      <c r="E84" s="2417"/>
      <c r="F84" s="2417"/>
      <c r="G84" s="2417"/>
      <c r="H84" s="2417"/>
      <c r="I84" s="2417"/>
    </row>
    <row r="85" spans="3:9" x14ac:dyDescent="0.2">
      <c r="C85" s="2417"/>
      <c r="D85" s="2417"/>
      <c r="E85" s="2417"/>
      <c r="F85" s="2417"/>
      <c r="G85" s="2417"/>
      <c r="H85" s="2417"/>
      <c r="I85" s="2417"/>
    </row>
    <row r="86" spans="3:9" x14ac:dyDescent="0.2">
      <c r="C86" s="2417"/>
      <c r="D86" s="2417"/>
      <c r="E86" s="2417"/>
      <c r="F86" s="2417"/>
      <c r="G86" s="2417"/>
      <c r="H86" s="2417"/>
      <c r="I86" s="2417"/>
    </row>
    <row r="87" spans="3:9" x14ac:dyDescent="0.2">
      <c r="C87" s="2417"/>
      <c r="D87" s="2417"/>
      <c r="E87" s="2417"/>
      <c r="F87" s="2417"/>
      <c r="G87" s="2417"/>
      <c r="H87" s="2417"/>
      <c r="I87" s="2417"/>
    </row>
    <row r="89" spans="3:9" x14ac:dyDescent="0.2">
      <c r="C89" s="1487"/>
      <c r="D89" s="1487"/>
      <c r="E89" s="1487"/>
      <c r="F89" s="1487"/>
      <c r="G89" s="1487"/>
      <c r="H89" s="1487"/>
    </row>
    <row r="90" spans="3:9" x14ac:dyDescent="0.2">
      <c r="C90" s="1487"/>
      <c r="D90" s="1487"/>
      <c r="E90" s="1487"/>
      <c r="F90" s="1487"/>
      <c r="G90" s="1487"/>
      <c r="H90" s="1487"/>
    </row>
    <row r="91" spans="3:9" x14ac:dyDescent="0.2">
      <c r="C91" s="1487"/>
      <c r="D91" s="1487"/>
      <c r="E91" s="1487"/>
      <c r="F91" s="1487"/>
      <c r="G91" s="1487"/>
      <c r="H91" s="1487"/>
    </row>
    <row r="92" spans="3:9" x14ac:dyDescent="0.2">
      <c r="C92" s="1487"/>
      <c r="D92" s="1487"/>
      <c r="E92" s="1487"/>
      <c r="F92" s="1487"/>
      <c r="G92" s="1487"/>
      <c r="H92" s="1487"/>
      <c r="I92" s="2418"/>
    </row>
    <row r="93" spans="3:9" x14ac:dyDescent="0.2">
      <c r="C93" s="1487"/>
      <c r="D93" s="1487"/>
      <c r="E93" s="1487"/>
      <c r="F93" s="1487"/>
      <c r="G93" s="1487"/>
      <c r="H93" s="1487"/>
    </row>
    <row r="94" spans="3:9" x14ac:dyDescent="0.2">
      <c r="C94" s="1487"/>
      <c r="D94" s="1487"/>
      <c r="E94" s="1487"/>
      <c r="F94" s="1487"/>
      <c r="G94" s="1487"/>
      <c r="H94" s="1487"/>
    </row>
    <row r="95" spans="3:9" x14ac:dyDescent="0.2">
      <c r="C95" s="1487"/>
      <c r="D95" s="1487"/>
      <c r="E95" s="1487"/>
      <c r="F95" s="1487"/>
      <c r="G95" s="1487"/>
      <c r="H95" s="1487"/>
    </row>
    <row r="96" spans="3:9" x14ac:dyDescent="0.2">
      <c r="C96" s="1487"/>
      <c r="D96" s="1487"/>
      <c r="E96" s="1487"/>
      <c r="F96" s="1487"/>
      <c r="G96" s="1487"/>
      <c r="H96" s="1487"/>
    </row>
    <row r="97" spans="3:8" x14ac:dyDescent="0.2">
      <c r="C97" s="2417"/>
      <c r="D97" s="2417"/>
      <c r="E97" s="2417"/>
      <c r="F97" s="2417"/>
      <c r="G97" s="2417"/>
      <c r="H97" s="2417"/>
    </row>
    <row r="98" spans="3:8" x14ac:dyDescent="0.2">
      <c r="C98" s="2417"/>
      <c r="D98" s="2417"/>
      <c r="E98" s="2417"/>
      <c r="F98" s="2417"/>
      <c r="G98" s="2417"/>
      <c r="H98" s="2417"/>
    </row>
    <row r="99" spans="3:8" x14ac:dyDescent="0.2">
      <c r="C99" s="2417"/>
      <c r="D99" s="2417"/>
      <c r="E99" s="2417"/>
      <c r="F99" s="2417"/>
      <c r="G99" s="2417"/>
      <c r="H99" s="2417"/>
    </row>
  </sheetData>
  <dataValidations count="3">
    <dataValidation type="list" allowBlank="1" showInputMessage="1" showErrorMessage="1" sqref="C18 C27 C34" xr:uid="{00000000-0002-0000-2D00-000000000000}">
      <formula1>Units</formula1>
    </dataValidation>
    <dataValidation type="list" allowBlank="1" showInputMessage="1" showErrorMessage="1" sqref="C17 C26 C33" xr:uid="{00000000-0002-0000-2D00-000001000000}">
      <formula1>Combustible</formula1>
    </dataValidation>
    <dataValidation type="list" allowBlank="1" showInputMessage="1" showErrorMessage="1" sqref="C13 C9 C28 C19 C35 B54 C39" xr:uid="{00000000-0002-0000-2D00-000002000000}">
      <formula1>Currency</formula1>
    </dataValidation>
  </dataValidations>
  <pageMargins left="0.23" right="0.17" top="0.41" bottom="0.18" header="0.18" footer="0"/>
  <pageSetup paperSize="9" scale="4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1">
    <tabColor rgb="FF002060"/>
  </sheetPr>
  <dimension ref="A1:K84"/>
  <sheetViews>
    <sheetView showGridLines="0" view="pageBreakPreview" topLeftCell="A34" zoomScale="85" zoomScaleNormal="85" zoomScaleSheetLayoutView="85" workbookViewId="0">
      <selection activeCell="C49" sqref="C49:H50"/>
    </sheetView>
  </sheetViews>
  <sheetFormatPr defaultColWidth="11" defaultRowHeight="12.6" x14ac:dyDescent="0.2"/>
  <cols>
    <col min="1" max="1" width="58.90625" style="1463" customWidth="1"/>
    <col min="2" max="2" width="13.7265625" style="1463" customWidth="1"/>
    <col min="3" max="8" width="16.26953125" style="1463" bestFit="1" customWidth="1"/>
    <col min="9" max="9" width="11" style="1463"/>
    <col min="10" max="10" width="21.453125" style="1463" bestFit="1" customWidth="1"/>
    <col min="11" max="11" width="17.7265625" style="1463" bestFit="1" customWidth="1"/>
    <col min="12" max="16384" width="11" style="1463"/>
  </cols>
  <sheetData>
    <row r="1" spans="1:11" ht="17.399999999999999" x14ac:dyDescent="0.3">
      <c r="A1" s="2336" t="s">
        <v>1262</v>
      </c>
      <c r="B1" s="2336" t="str">
        <f>+Index!C30</f>
        <v>DEMB</v>
      </c>
    </row>
    <row r="2" spans="1:11" ht="18" thickBot="1" x14ac:dyDescent="0.35">
      <c r="A2" s="1920"/>
      <c r="B2" s="1920"/>
      <c r="C2" s="1918"/>
      <c r="D2" s="1918"/>
      <c r="E2" s="1918"/>
      <c r="F2" s="1918"/>
      <c r="G2" s="1918"/>
      <c r="H2" s="1918"/>
    </row>
    <row r="3" spans="1:11" ht="13.2" thickBot="1" x14ac:dyDescent="0.25">
      <c r="A3" s="2338" t="s">
        <v>27</v>
      </c>
      <c r="B3" s="2339" t="s">
        <v>36</v>
      </c>
      <c r="C3" s="1509">
        <f>+DispatchSchedule!F3</f>
        <v>46023</v>
      </c>
      <c r="D3" s="1509">
        <f>+DispatchSchedule!G3</f>
        <v>46054</v>
      </c>
      <c r="E3" s="1509">
        <f>+DispatchSchedule!H3</f>
        <v>46082</v>
      </c>
      <c r="F3" s="1509">
        <f>+DispatchSchedule!I3</f>
        <v>46113</v>
      </c>
      <c r="G3" s="1509">
        <f>+DispatchSchedule!J3</f>
        <v>46143</v>
      </c>
      <c r="H3" s="1509">
        <f>+DispatchSchedule!K3</f>
        <v>46174</v>
      </c>
      <c r="I3" s="2111"/>
    </row>
    <row r="4" spans="1:11" ht="13.2" x14ac:dyDescent="0.25">
      <c r="A4" s="2110" t="s">
        <v>136</v>
      </c>
      <c r="B4" s="2342"/>
      <c r="C4" s="1839"/>
      <c r="D4" s="1839"/>
      <c r="E4" s="1839"/>
      <c r="F4" s="1839"/>
      <c r="G4" s="1839"/>
      <c r="H4" s="2087"/>
      <c r="I4" s="2111"/>
    </row>
    <row r="5" spans="1:11" x14ac:dyDescent="0.2">
      <c r="A5" s="2345" t="s">
        <v>1249</v>
      </c>
      <c r="B5" s="2346"/>
      <c r="C5" s="2419">
        <f>692/12</f>
        <v>57.666666666666664</v>
      </c>
      <c r="D5" s="2419">
        <f t="shared" ref="D5" si="0">692/12</f>
        <v>57.666666666666664</v>
      </c>
      <c r="E5" s="2419"/>
      <c r="F5" s="2419"/>
      <c r="G5" s="2419"/>
      <c r="H5" s="2419"/>
      <c r="I5" s="2111"/>
    </row>
    <row r="6" spans="1:11" x14ac:dyDescent="0.2">
      <c r="A6" s="2345"/>
      <c r="B6" s="2348"/>
      <c r="C6" s="2420"/>
      <c r="D6" s="2420"/>
      <c r="E6" s="2420"/>
      <c r="F6" s="2420"/>
      <c r="G6" s="2420"/>
      <c r="H6" s="2421"/>
      <c r="I6" s="2111"/>
    </row>
    <row r="7" spans="1:11" ht="13.2" x14ac:dyDescent="0.25">
      <c r="A7" s="2110" t="s">
        <v>122</v>
      </c>
      <c r="B7" s="2342"/>
      <c r="C7" s="2422"/>
      <c r="D7" s="2422"/>
      <c r="E7" s="2422"/>
      <c r="F7" s="2422"/>
      <c r="G7" s="2422"/>
      <c r="H7" s="2082"/>
      <c r="I7" s="2111"/>
    </row>
    <row r="8" spans="1:11" ht="13.2" x14ac:dyDescent="0.25">
      <c r="A8" s="2351" t="s">
        <v>1191</v>
      </c>
      <c r="B8" s="2352"/>
      <c r="C8" s="2420"/>
      <c r="D8" s="2420"/>
      <c r="E8" s="2420"/>
      <c r="F8" s="2420"/>
      <c r="G8" s="2420"/>
      <c r="H8" s="2421"/>
      <c r="I8" s="2111"/>
      <c r="J8" s="1483"/>
    </row>
    <row r="9" spans="1:11" ht="13.2" x14ac:dyDescent="0.25">
      <c r="A9" s="2353" t="s">
        <v>99</v>
      </c>
      <c r="B9" s="2354"/>
      <c r="C9" s="1485" t="s">
        <v>94</v>
      </c>
      <c r="D9" s="2420"/>
      <c r="E9" s="2420"/>
      <c r="F9" s="2420"/>
      <c r="G9" s="2420"/>
      <c r="H9" s="2421"/>
      <c r="I9" s="2111"/>
      <c r="J9" s="1483"/>
    </row>
    <row r="10" spans="1:11" s="2428" customFormat="1" x14ac:dyDescent="0.2">
      <c r="A10" s="2423" t="s">
        <v>126</v>
      </c>
      <c r="B10" s="2424" t="str">
        <f>$C$9&amp;"/kWh"</f>
        <v>SLR/kWh</v>
      </c>
      <c r="C10" s="2425">
        <v>1.91</v>
      </c>
      <c r="D10" s="2425">
        <v>1.91</v>
      </c>
      <c r="E10" s="2425"/>
      <c r="F10" s="2425"/>
      <c r="G10" s="2425"/>
      <c r="H10" s="2425"/>
      <c r="I10" s="2426"/>
      <c r="J10" s="2296"/>
      <c r="K10" s="2427"/>
    </row>
    <row r="11" spans="1:11" x14ac:dyDescent="0.2">
      <c r="A11" s="2345"/>
      <c r="B11" s="2348"/>
      <c r="C11" s="1497"/>
      <c r="D11" s="1497"/>
      <c r="E11" s="1497"/>
      <c r="F11" s="1497"/>
      <c r="G11" s="1497"/>
      <c r="H11" s="2429"/>
      <c r="I11" s="2111"/>
      <c r="J11" s="498"/>
      <c r="K11" s="2430"/>
    </row>
    <row r="12" spans="1:11" ht="13.2" x14ac:dyDescent="0.25">
      <c r="A12" s="2351" t="s">
        <v>127</v>
      </c>
      <c r="B12" s="2352"/>
      <c r="C12" s="2420"/>
      <c r="D12" s="2420"/>
      <c r="E12" s="2420"/>
      <c r="F12" s="2420"/>
      <c r="G12" s="2420"/>
      <c r="H12" s="2421"/>
      <c r="I12" s="2111"/>
      <c r="J12" s="498"/>
      <c r="K12" s="2430"/>
    </row>
    <row r="13" spans="1:11" ht="13.2" x14ac:dyDescent="0.25">
      <c r="A13" s="2353" t="s">
        <v>99</v>
      </c>
      <c r="C13" s="1497" t="s">
        <v>94</v>
      </c>
      <c r="D13" s="2420"/>
      <c r="E13" s="2420"/>
      <c r="F13" s="2420"/>
      <c r="G13" s="2420"/>
      <c r="H13" s="2421"/>
      <c r="I13" s="2111"/>
      <c r="J13" s="498"/>
      <c r="K13" s="2430"/>
    </row>
    <row r="14" spans="1:11" s="2428" customFormat="1" x14ac:dyDescent="0.2">
      <c r="A14" s="2423" t="s">
        <v>128</v>
      </c>
      <c r="B14" s="2424" t="str">
        <f>$C$13&amp;"/kWh"</f>
        <v>SLR/kWh</v>
      </c>
      <c r="C14" s="2431">
        <v>2.5</v>
      </c>
      <c r="D14" s="2431">
        <v>2.5</v>
      </c>
      <c r="E14" s="2431"/>
      <c r="F14" s="2431"/>
      <c r="G14" s="2431"/>
      <c r="H14" s="2431"/>
      <c r="I14" s="2426"/>
      <c r="J14" s="2296"/>
      <c r="K14" s="2427"/>
    </row>
    <row r="15" spans="1:11" x14ac:dyDescent="0.2">
      <c r="A15" s="2345"/>
      <c r="B15" s="2348"/>
      <c r="C15" s="2420"/>
      <c r="D15" s="2420"/>
      <c r="E15" s="2420"/>
      <c r="F15" s="2420"/>
      <c r="G15" s="2420"/>
      <c r="H15" s="2421"/>
      <c r="I15" s="2111"/>
    </row>
    <row r="16" spans="1:11" ht="13.2" x14ac:dyDescent="0.25">
      <c r="A16" s="2110" t="s">
        <v>24</v>
      </c>
      <c r="B16" s="2342"/>
      <c r="C16" s="2422"/>
      <c r="D16" s="2422"/>
      <c r="E16" s="2422"/>
      <c r="F16" s="2422"/>
      <c r="G16" s="2422"/>
      <c r="H16" s="2082"/>
      <c r="I16" s="2111"/>
    </row>
    <row r="17" spans="1:11" x14ac:dyDescent="0.2">
      <c r="A17" s="2358" t="s">
        <v>89</v>
      </c>
      <c r="B17" s="2349"/>
      <c r="C17" s="1497" t="s">
        <v>114</v>
      </c>
      <c r="D17" s="1497"/>
      <c r="E17" s="1497"/>
      <c r="F17" s="1497"/>
      <c r="G17" s="1497"/>
      <c r="H17" s="2429"/>
      <c r="I17" s="2432"/>
    </row>
    <row r="18" spans="1:11" x14ac:dyDescent="0.2">
      <c r="A18" s="2345" t="s">
        <v>100</v>
      </c>
      <c r="B18" s="2349"/>
      <c r="C18" s="1497" t="s">
        <v>103</v>
      </c>
      <c r="D18" s="1497"/>
      <c r="E18" s="1497"/>
      <c r="F18" s="1497"/>
      <c r="G18" s="1497"/>
      <c r="H18" s="2429"/>
      <c r="I18" s="2432"/>
    </row>
    <row r="19" spans="1:11" x14ac:dyDescent="0.2">
      <c r="A19" s="2345" t="s">
        <v>99</v>
      </c>
      <c r="B19" s="2349"/>
      <c r="C19" s="1497" t="s">
        <v>94</v>
      </c>
      <c r="D19" s="1497"/>
      <c r="E19" s="1497"/>
      <c r="F19" s="1497"/>
      <c r="G19" s="1497"/>
      <c r="H19" s="2429"/>
      <c r="I19" s="2432"/>
    </row>
    <row r="20" spans="1:11" x14ac:dyDescent="0.2">
      <c r="A20" s="2345" t="s">
        <v>144</v>
      </c>
      <c r="B20" s="2346" t="str">
        <f>C18&amp;"/kWh"</f>
        <v>kg/kWh</v>
      </c>
      <c r="C20" s="2347">
        <v>0.22170000000000001</v>
      </c>
      <c r="D20" s="2347">
        <v>0.22170000000000001</v>
      </c>
      <c r="E20" s="2347"/>
      <c r="F20" s="2347"/>
      <c r="G20" s="2347"/>
      <c r="H20" s="2347"/>
      <c r="I20" s="2111"/>
    </row>
    <row r="21" spans="1:11" x14ac:dyDescent="0.2">
      <c r="A21" s="2345" t="s">
        <v>563</v>
      </c>
      <c r="B21" s="2433" t="str">
        <f>C19&amp;"/"&amp;C18</f>
        <v>SLR/kg</v>
      </c>
      <c r="C21" s="2360">
        <f>Inputs!C45</f>
        <v>0</v>
      </c>
      <c r="D21" s="2360">
        <f>Inputs!D45</f>
        <v>0</v>
      </c>
      <c r="E21" s="2360">
        <f>Inputs!E45</f>
        <v>0</v>
      </c>
      <c r="F21" s="2360">
        <f>Inputs!F45</f>
        <v>0</v>
      </c>
      <c r="G21" s="2360">
        <f>Inputs!G45</f>
        <v>0</v>
      </c>
      <c r="H21" s="2360">
        <f>Inputs!H45</f>
        <v>0</v>
      </c>
      <c r="I21" s="2434"/>
      <c r="J21" s="497"/>
      <c r="K21" s="2435"/>
    </row>
    <row r="22" spans="1:11" x14ac:dyDescent="0.2">
      <c r="A22" s="2345" t="s">
        <v>25</v>
      </c>
      <c r="C22" s="2367">
        <v>1.0350958040261946</v>
      </c>
      <c r="D22" s="2367">
        <v>1.0350958040261946</v>
      </c>
      <c r="E22" s="2367">
        <v>1.0350958040261946</v>
      </c>
      <c r="F22" s="2367">
        <v>1.0350958040261946</v>
      </c>
      <c r="G22" s="2367">
        <v>1.0350958040261946</v>
      </c>
      <c r="H22" s="2367">
        <v>1.0350958040261946</v>
      </c>
      <c r="I22" s="2111"/>
      <c r="J22" s="497"/>
      <c r="K22" s="2435"/>
    </row>
    <row r="23" spans="1:11" s="2428" customFormat="1" x14ac:dyDescent="0.2">
      <c r="A23" s="2423" t="s">
        <v>144</v>
      </c>
      <c r="B23" s="2424" t="str">
        <f>+C19&amp;"/kWh"</f>
        <v>SLR/kWh</v>
      </c>
      <c r="C23" s="2436">
        <v>50.83</v>
      </c>
      <c r="D23" s="2436">
        <v>50.83</v>
      </c>
      <c r="E23" s="2436"/>
      <c r="F23" s="2436"/>
      <c r="G23" s="2436"/>
      <c r="H23" s="2436"/>
      <c r="I23" s="2426"/>
      <c r="J23" s="2297"/>
      <c r="K23" s="2437"/>
    </row>
    <row r="24" spans="1:11" x14ac:dyDescent="0.2">
      <c r="A24" s="2345"/>
      <c r="B24" s="2348"/>
      <c r="C24" s="1497"/>
      <c r="D24" s="2420"/>
      <c r="E24" s="2420"/>
      <c r="F24" s="2420"/>
      <c r="G24" s="2420"/>
      <c r="H24" s="2421"/>
      <c r="I24" s="2111"/>
      <c r="J24" s="497"/>
      <c r="K24" s="2435"/>
    </row>
    <row r="25" spans="1:11" x14ac:dyDescent="0.2">
      <c r="A25" s="2345"/>
      <c r="B25" s="2348"/>
      <c r="C25" s="2420"/>
      <c r="D25" s="2420"/>
      <c r="E25" s="2420"/>
      <c r="F25" s="2420"/>
      <c r="G25" s="2420"/>
      <c r="H25" s="2421"/>
      <c r="I25" s="2111"/>
      <c r="J25" s="497"/>
    </row>
    <row r="26" spans="1:11" x14ac:dyDescent="0.2">
      <c r="A26" s="2358" t="s">
        <v>92</v>
      </c>
      <c r="B26" s="2349"/>
      <c r="C26" s="1497" t="s">
        <v>82</v>
      </c>
      <c r="D26" s="1497"/>
      <c r="E26" s="1497"/>
      <c r="F26" s="1497"/>
      <c r="G26" s="1497"/>
      <c r="H26" s="2429"/>
      <c r="I26" s="2438"/>
      <c r="J26" s="497"/>
    </row>
    <row r="27" spans="1:11" x14ac:dyDescent="0.2">
      <c r="A27" s="2345" t="s">
        <v>100</v>
      </c>
      <c r="B27" s="2349"/>
      <c r="C27" s="1497" t="s">
        <v>102</v>
      </c>
      <c r="D27" s="1497"/>
      <c r="E27" s="1497"/>
      <c r="F27" s="1497"/>
      <c r="G27" s="1497"/>
      <c r="H27" s="2429"/>
      <c r="I27" s="2432"/>
      <c r="J27" s="497"/>
    </row>
    <row r="28" spans="1:11" x14ac:dyDescent="0.2">
      <c r="A28" s="2345" t="s">
        <v>99</v>
      </c>
      <c r="B28" s="2349"/>
      <c r="C28" s="1497" t="s">
        <v>94</v>
      </c>
      <c r="D28" s="1497"/>
      <c r="E28" s="1497"/>
      <c r="F28" s="1497"/>
      <c r="G28" s="1497"/>
      <c r="H28" s="2429"/>
      <c r="I28" s="2432"/>
      <c r="J28" s="497"/>
    </row>
    <row r="29" spans="1:11" s="2428" customFormat="1" x14ac:dyDescent="0.2">
      <c r="A29" s="2423" t="s">
        <v>141</v>
      </c>
      <c r="B29" s="2424" t="str">
        <f>C28&amp;"/kWh"</f>
        <v>SLR/kWh</v>
      </c>
      <c r="C29" s="2439">
        <v>0</v>
      </c>
      <c r="D29" s="2439">
        <v>0</v>
      </c>
      <c r="E29" s="2439">
        <v>0</v>
      </c>
      <c r="F29" s="2439">
        <v>0</v>
      </c>
      <c r="G29" s="2439">
        <v>0</v>
      </c>
      <c r="H29" s="2439">
        <v>0</v>
      </c>
      <c r="I29" s="2426"/>
      <c r="J29" s="2297"/>
      <c r="K29" s="2440"/>
    </row>
    <row r="30" spans="1:11" x14ac:dyDescent="0.2">
      <c r="A30" s="2345"/>
      <c r="B30" s="2348"/>
      <c r="C30" s="2420"/>
      <c r="D30" s="2420"/>
      <c r="E30" s="2420"/>
      <c r="F30" s="2420"/>
      <c r="G30" s="2420"/>
      <c r="H30" s="2421"/>
      <c r="I30" s="2111"/>
      <c r="J30" s="497"/>
    </row>
    <row r="31" spans="1:11" ht="13.2" x14ac:dyDescent="0.25">
      <c r="A31" s="2372" t="s">
        <v>132</v>
      </c>
      <c r="B31" s="2373"/>
      <c r="C31" s="2420"/>
      <c r="D31" s="2420"/>
      <c r="E31" s="2420"/>
      <c r="F31" s="2420"/>
      <c r="G31" s="2420"/>
      <c r="H31" s="2421"/>
      <c r="I31" s="2111"/>
      <c r="J31" s="497"/>
    </row>
    <row r="32" spans="1:11" x14ac:dyDescent="0.2">
      <c r="A32" s="2345" t="s">
        <v>99</v>
      </c>
      <c r="B32" s="2349"/>
      <c r="C32" s="1497" t="s">
        <v>94</v>
      </c>
      <c r="D32" s="1497"/>
      <c r="E32" s="1497"/>
      <c r="F32" s="1497"/>
      <c r="G32" s="1497"/>
      <c r="H32" s="2429"/>
      <c r="I32" s="2432"/>
      <c r="J32" s="497"/>
    </row>
    <row r="33" spans="1:10" s="2428" customFormat="1" x14ac:dyDescent="0.2">
      <c r="A33" s="2423" t="s">
        <v>507</v>
      </c>
      <c r="B33" s="2441" t="str">
        <f>B29</f>
        <v>SLR/kWh</v>
      </c>
      <c r="C33" s="2442">
        <v>3.5</v>
      </c>
      <c r="D33" s="2442">
        <v>3.5</v>
      </c>
      <c r="E33" s="2442"/>
      <c r="F33" s="2442"/>
      <c r="G33" s="2442"/>
      <c r="H33" s="2442"/>
      <c r="I33" s="2426"/>
      <c r="J33" s="2297"/>
    </row>
    <row r="34" spans="1:10" x14ac:dyDescent="0.2">
      <c r="A34" s="2345" t="s">
        <v>133</v>
      </c>
      <c r="B34" s="2348"/>
      <c r="C34" s="2420"/>
      <c r="D34" s="2420"/>
      <c r="E34" s="2420"/>
      <c r="F34" s="2420"/>
      <c r="G34" s="2420"/>
      <c r="H34" s="2421"/>
      <c r="I34" s="2434"/>
      <c r="J34" s="497"/>
    </row>
    <row r="35" spans="1:10" ht="12.75" customHeight="1" x14ac:dyDescent="0.3">
      <c r="A35" s="2443"/>
      <c r="B35" s="2444"/>
      <c r="C35" s="2420"/>
      <c r="D35" s="2420"/>
      <c r="E35" s="2420"/>
      <c r="F35" s="2420"/>
      <c r="G35" s="2420"/>
      <c r="H35" s="2421"/>
      <c r="I35" s="2111"/>
      <c r="J35" s="497"/>
    </row>
    <row r="36" spans="1:10" ht="12.75" customHeight="1" x14ac:dyDescent="0.3">
      <c r="A36" s="2445" t="s">
        <v>1201</v>
      </c>
      <c r="B36" s="2444"/>
      <c r="C36" s="2420"/>
      <c r="D36" s="2420"/>
      <c r="E36" s="2420"/>
      <c r="F36" s="2420"/>
      <c r="G36" s="2420"/>
      <c r="H36" s="2421"/>
      <c r="I36" s="2111"/>
      <c r="J36" s="497"/>
    </row>
    <row r="37" spans="1:10" ht="12.75" customHeight="1" x14ac:dyDescent="0.2">
      <c r="A37" s="2345" t="s">
        <v>1202</v>
      </c>
      <c r="B37" s="2348" t="s">
        <v>1203</v>
      </c>
      <c r="C37" s="2446">
        <v>0</v>
      </c>
      <c r="D37" s="2446">
        <v>0</v>
      </c>
      <c r="E37" s="2446">
        <v>0</v>
      </c>
      <c r="F37" s="2446">
        <v>0</v>
      </c>
      <c r="G37" s="2446">
        <v>0</v>
      </c>
      <c r="H37" s="2446">
        <v>0</v>
      </c>
      <c r="I37" s="2111"/>
      <c r="J37" s="497"/>
    </row>
    <row r="38" spans="1:10" ht="12.75" customHeight="1" x14ac:dyDescent="0.2">
      <c r="A38" s="2345" t="s">
        <v>1204</v>
      </c>
      <c r="B38" s="2348" t="s">
        <v>1199</v>
      </c>
      <c r="C38" s="2382">
        <v>700</v>
      </c>
      <c r="D38" s="2382">
        <v>700</v>
      </c>
      <c r="E38" s="2382"/>
      <c r="F38" s="2382"/>
      <c r="G38" s="2382"/>
      <c r="H38" s="2382"/>
      <c r="I38" s="2111"/>
      <c r="J38" s="497"/>
    </row>
    <row r="39" spans="1:10" ht="12.75" customHeight="1" x14ac:dyDescent="0.2">
      <c r="A39" s="2345" t="s">
        <v>418</v>
      </c>
      <c r="B39" s="2346" t="s">
        <v>1205</v>
      </c>
      <c r="C39" s="2382">
        <v>358</v>
      </c>
      <c r="D39" s="2382">
        <v>358</v>
      </c>
      <c r="E39" s="2382"/>
      <c r="F39" s="2382"/>
      <c r="G39" s="2382"/>
      <c r="H39" s="2382"/>
      <c r="I39" s="2111"/>
      <c r="J39" s="497"/>
    </row>
    <row r="40" spans="1:10" ht="12.75" customHeight="1" x14ac:dyDescent="0.2">
      <c r="A40" s="2345" t="s">
        <v>1206</v>
      </c>
      <c r="B40" s="2346" t="s">
        <v>385</v>
      </c>
      <c r="C40" s="2381">
        <v>0</v>
      </c>
      <c r="D40" s="2381">
        <v>0</v>
      </c>
      <c r="E40" s="2381"/>
      <c r="F40" s="2381"/>
      <c r="G40" s="2381"/>
      <c r="H40" s="2381"/>
      <c r="I40" s="2111"/>
      <c r="J40" s="497"/>
    </row>
    <row r="41" spans="1:10" ht="12.75" customHeight="1" x14ac:dyDescent="0.25">
      <c r="A41" s="2345" t="s">
        <v>1207</v>
      </c>
      <c r="B41" s="2447" t="s">
        <v>1208</v>
      </c>
      <c r="C41" s="2448">
        <f>(C37*C40+C38*C39*C40)/1000000</f>
        <v>0</v>
      </c>
      <c r="D41" s="2448">
        <f t="shared" ref="D41:H41" si="1">(D37*D40+D38*D39*D40)/1000000</f>
        <v>0</v>
      </c>
      <c r="E41" s="2448">
        <f t="shared" si="1"/>
        <v>0</v>
      </c>
      <c r="F41" s="2448">
        <f t="shared" si="1"/>
        <v>0</v>
      </c>
      <c r="G41" s="2448">
        <f t="shared" si="1"/>
        <v>0</v>
      </c>
      <c r="H41" s="2448">
        <f t="shared" si="1"/>
        <v>0</v>
      </c>
      <c r="I41" s="2111"/>
      <c r="J41" s="497"/>
    </row>
    <row r="42" spans="1:10" ht="12.75" customHeight="1" x14ac:dyDescent="0.3">
      <c r="A42" s="2443"/>
      <c r="B42" s="2444"/>
      <c r="C42" s="2420"/>
      <c r="D42" s="2420"/>
      <c r="E42" s="2420"/>
      <c r="F42" s="2420"/>
      <c r="G42" s="2420"/>
      <c r="H42" s="2421"/>
      <c r="I42" s="2111"/>
    </row>
    <row r="43" spans="1:10" ht="12.75" customHeight="1" x14ac:dyDescent="0.25">
      <c r="A43" s="2110" t="s">
        <v>189</v>
      </c>
      <c r="B43" s="2342"/>
      <c r="C43" s="2422"/>
      <c r="D43" s="2422"/>
      <c r="E43" s="2422"/>
      <c r="F43" s="2422"/>
      <c r="G43" s="2422"/>
      <c r="H43" s="2082"/>
      <c r="I43" s="2111"/>
    </row>
    <row r="44" spans="1:10" ht="12.75" customHeight="1" x14ac:dyDescent="0.25">
      <c r="A44" s="2353" t="s">
        <v>190</v>
      </c>
      <c r="B44" s="2346" t="s">
        <v>60</v>
      </c>
      <c r="C44" s="2449"/>
      <c r="D44" s="2449"/>
      <c r="E44" s="2449"/>
      <c r="F44" s="2449"/>
      <c r="G44" s="2449"/>
      <c r="H44" s="2450"/>
      <c r="I44" s="2111"/>
    </row>
    <row r="45" spans="1:10" ht="12.75" customHeight="1" x14ac:dyDescent="0.25">
      <c r="A45" s="2353" t="s">
        <v>191</v>
      </c>
      <c r="B45" s="2346" t="s">
        <v>60</v>
      </c>
      <c r="C45" s="2451">
        <v>0</v>
      </c>
      <c r="D45" s="2451">
        <v>0</v>
      </c>
      <c r="E45" s="2451">
        <v>0</v>
      </c>
      <c r="F45" s="2451">
        <v>0</v>
      </c>
      <c r="G45" s="2451">
        <v>0</v>
      </c>
      <c r="H45" s="2451">
        <v>0</v>
      </c>
      <c r="I45" s="2111"/>
      <c r="J45" s="1837"/>
    </row>
    <row r="46" spans="1:10" ht="12.75" customHeight="1" x14ac:dyDescent="0.25">
      <c r="A46" s="2353"/>
      <c r="B46" s="2346"/>
      <c r="C46" s="2452"/>
      <c r="D46" s="2452"/>
      <c r="E46" s="2452"/>
      <c r="F46" s="2452"/>
      <c r="G46" s="2452"/>
      <c r="H46" s="2450"/>
      <c r="I46" s="2111"/>
      <c r="J46" s="1837"/>
    </row>
    <row r="47" spans="1:10" ht="12.75" customHeight="1" x14ac:dyDescent="0.25">
      <c r="A47" s="2110" t="s">
        <v>145</v>
      </c>
      <c r="B47" s="1465" t="s">
        <v>94</v>
      </c>
      <c r="C47" s="2574">
        <v>1</v>
      </c>
      <c r="D47" s="2574">
        <v>1</v>
      </c>
      <c r="E47" s="2574">
        <v>1</v>
      </c>
      <c r="F47" s="2574">
        <v>1</v>
      </c>
      <c r="G47" s="2574">
        <v>1</v>
      </c>
      <c r="H47" s="2575">
        <v>1</v>
      </c>
      <c r="I47" s="2434"/>
      <c r="J47" s="1837"/>
    </row>
    <row r="48" spans="1:10" ht="13.2" thickBot="1" x14ac:dyDescent="0.25">
      <c r="A48" s="2345"/>
      <c r="B48" s="2348"/>
      <c r="C48" s="2420"/>
      <c r="D48" s="2420"/>
      <c r="E48" s="2420"/>
      <c r="F48" s="2420"/>
      <c r="G48" s="2420"/>
      <c r="H48" s="2421"/>
      <c r="I48" s="2111"/>
      <c r="J48" s="1837"/>
    </row>
    <row r="49" spans="1:10" x14ac:dyDescent="0.2">
      <c r="A49" s="2453" t="s">
        <v>148</v>
      </c>
      <c r="B49" s="2454" t="s">
        <v>60</v>
      </c>
      <c r="C49" s="2455">
        <f>IF(C52=0,0,(C10*C5*C47)+(C14*C52*C47))</f>
        <v>0</v>
      </c>
      <c r="D49" s="2455">
        <f t="shared" ref="D49:H49" si="2">IF(D52=0,0,(D10*D5*D47)+(D14*D52*D47))</f>
        <v>0</v>
      </c>
      <c r="E49" s="2455">
        <f t="shared" si="2"/>
        <v>0</v>
      </c>
      <c r="F49" s="2455">
        <f t="shared" si="2"/>
        <v>0</v>
      </c>
      <c r="G49" s="2455">
        <f t="shared" si="2"/>
        <v>0</v>
      </c>
      <c r="H49" s="2455">
        <f t="shared" si="2"/>
        <v>0</v>
      </c>
      <c r="I49" s="2456"/>
      <c r="J49" s="1837"/>
    </row>
    <row r="50" spans="1:10" x14ac:dyDescent="0.2">
      <c r="A50" s="2345" t="s">
        <v>149</v>
      </c>
      <c r="B50" s="2346" t="s">
        <v>60</v>
      </c>
      <c r="C50" s="2551">
        <f>((C23+C29+(C33*C47))*C52)+C41+C45</f>
        <v>0</v>
      </c>
      <c r="D50" s="2551">
        <f>((D23+D29+(D33*D47))*D52)+D41+D45</f>
        <v>0</v>
      </c>
      <c r="E50" s="2551">
        <f>((E23+E29+(E33*E47))*E52)+E41+E45</f>
        <v>0</v>
      </c>
      <c r="F50" s="2551">
        <f t="shared" ref="F50:H50" si="3">((F23+F29+(F33*F47))*F52)+F41+F45</f>
        <v>0</v>
      </c>
      <c r="G50" s="2551">
        <f t="shared" si="3"/>
        <v>0</v>
      </c>
      <c r="H50" s="2551">
        <f t="shared" si="3"/>
        <v>0</v>
      </c>
      <c r="I50" s="2456"/>
      <c r="J50" s="1837"/>
    </row>
    <row r="51" spans="1:10" x14ac:dyDescent="0.2">
      <c r="A51" s="2345" t="s">
        <v>150</v>
      </c>
      <c r="B51" s="2346" t="s">
        <v>39</v>
      </c>
      <c r="C51" s="2458">
        <v>93</v>
      </c>
      <c r="D51" s="2458">
        <v>93</v>
      </c>
      <c r="E51" s="2458">
        <v>93</v>
      </c>
      <c r="F51" s="2458">
        <v>93</v>
      </c>
      <c r="G51" s="2458">
        <v>93</v>
      </c>
      <c r="H51" s="2459">
        <v>93</v>
      </c>
      <c r="I51" s="2111"/>
      <c r="J51" s="1837"/>
    </row>
    <row r="52" spans="1:10" x14ac:dyDescent="0.2">
      <c r="A52" s="2345" t="s">
        <v>134</v>
      </c>
      <c r="B52" s="2346" t="s">
        <v>56</v>
      </c>
      <c r="C52" s="2460">
        <f>+DispatchSchedule!F43</f>
        <v>0</v>
      </c>
      <c r="D52" s="2460">
        <f>+DispatchSchedule!G43</f>
        <v>0</v>
      </c>
      <c r="E52" s="2460">
        <f>+DispatchSchedule!H43</f>
        <v>0</v>
      </c>
      <c r="F52" s="2460">
        <f>+DispatchSchedule!I43</f>
        <v>0</v>
      </c>
      <c r="G52" s="2460">
        <f>+DispatchSchedule!J43</f>
        <v>0</v>
      </c>
      <c r="H52" s="2460">
        <f>+DispatchSchedule!K43</f>
        <v>0</v>
      </c>
      <c r="I52" s="2434"/>
      <c r="J52" s="1837"/>
    </row>
    <row r="53" spans="1:10" ht="13.8" thickBot="1" x14ac:dyDescent="0.3">
      <c r="A53" s="2461" t="s">
        <v>135</v>
      </c>
      <c r="B53" s="2462" t="s">
        <v>88</v>
      </c>
      <c r="C53" s="2463">
        <f>IF(C52=0,0,(C50/C52))</f>
        <v>0</v>
      </c>
      <c r="D53" s="2463">
        <f t="shared" ref="D53:H53" si="4">IF(D52=0,0,(D50/D52))</f>
        <v>0</v>
      </c>
      <c r="E53" s="2463">
        <f t="shared" si="4"/>
        <v>0</v>
      </c>
      <c r="F53" s="2463">
        <f t="shared" si="4"/>
        <v>0</v>
      </c>
      <c r="G53" s="2463">
        <f t="shared" si="4"/>
        <v>0</v>
      </c>
      <c r="H53" s="2463">
        <f t="shared" si="4"/>
        <v>0</v>
      </c>
      <c r="I53" s="2111"/>
      <c r="J53" s="1837"/>
    </row>
    <row r="54" spans="1:10" x14ac:dyDescent="0.2">
      <c r="A54" s="1839" t="s">
        <v>806</v>
      </c>
      <c r="B54" s="1475" t="s">
        <v>88</v>
      </c>
      <c r="C54" s="2411">
        <f>IF(C52=0,0,C49/C52)</f>
        <v>0</v>
      </c>
      <c r="D54" s="2411">
        <f>IF(D52=0,0,D49/D52)</f>
        <v>0</v>
      </c>
      <c r="E54" s="2411">
        <f t="shared" ref="E54:H54" si="5">IF(E52=0,0,E49/E52)</f>
        <v>0</v>
      </c>
      <c r="F54" s="2411">
        <f t="shared" si="5"/>
        <v>0</v>
      </c>
      <c r="G54" s="2411">
        <f t="shared" si="5"/>
        <v>0</v>
      </c>
      <c r="H54" s="2411">
        <f t="shared" si="5"/>
        <v>0</v>
      </c>
      <c r="J54" s="1837"/>
    </row>
    <row r="55" spans="1:10" x14ac:dyDescent="0.2">
      <c r="A55" s="1839" t="s">
        <v>806</v>
      </c>
      <c r="B55" s="1475" t="s">
        <v>1055</v>
      </c>
      <c r="C55" s="2411">
        <f>C49*1000/C51</f>
        <v>0</v>
      </c>
      <c r="D55" s="2411">
        <f t="shared" ref="D55:H55" si="6">D49*1000/D51</f>
        <v>0</v>
      </c>
      <c r="E55" s="2542">
        <f t="shared" si="6"/>
        <v>0</v>
      </c>
      <c r="F55" s="2542">
        <f t="shared" si="6"/>
        <v>0</v>
      </c>
      <c r="G55" s="2542">
        <f t="shared" si="6"/>
        <v>0</v>
      </c>
      <c r="H55" s="2542">
        <f t="shared" si="6"/>
        <v>0</v>
      </c>
      <c r="J55" s="1837"/>
    </row>
    <row r="56" spans="1:10" x14ac:dyDescent="0.2">
      <c r="C56" s="1473"/>
      <c r="D56" s="1473"/>
      <c r="E56" s="1473"/>
      <c r="F56" s="1473"/>
      <c r="G56" s="1473"/>
      <c r="H56" s="1473"/>
      <c r="J56" s="1837"/>
    </row>
    <row r="57" spans="1:10" x14ac:dyDescent="0.2">
      <c r="A57" s="1894" t="s">
        <v>467</v>
      </c>
      <c r="B57" s="1894"/>
      <c r="C57" s="2505"/>
      <c r="D57" s="2505"/>
      <c r="E57" s="1473"/>
      <c r="F57" s="1473"/>
      <c r="G57" s="1473"/>
      <c r="H57" s="1473"/>
    </row>
    <row r="58" spans="1:10" x14ac:dyDescent="0.2">
      <c r="A58" s="439" t="s">
        <v>1251</v>
      </c>
      <c r="B58" s="1894"/>
      <c r="C58" s="1894"/>
      <c r="D58" s="1894"/>
    </row>
    <row r="59" spans="1:10" x14ac:dyDescent="0.2">
      <c r="A59" s="439" t="s">
        <v>856</v>
      </c>
      <c r="B59" s="1894"/>
      <c r="C59" s="1894"/>
      <c r="D59" s="1894"/>
    </row>
    <row r="60" spans="1:10" x14ac:dyDescent="0.2">
      <c r="A60" s="439" t="s">
        <v>1042</v>
      </c>
      <c r="B60" s="1894"/>
      <c r="C60" s="1894"/>
      <c r="D60" s="1894"/>
    </row>
    <row r="61" spans="1:10" x14ac:dyDescent="0.2">
      <c r="A61" s="439" t="s">
        <v>858</v>
      </c>
      <c r="B61" s="1894"/>
      <c r="C61" s="1894"/>
      <c r="D61" s="1894"/>
    </row>
    <row r="62" spans="1:10" x14ac:dyDescent="0.2">
      <c r="A62" s="439" t="s">
        <v>1252</v>
      </c>
      <c r="B62" s="1894"/>
      <c r="C62" s="1894"/>
      <c r="D62" s="1894"/>
    </row>
    <row r="63" spans="1:10" x14ac:dyDescent="0.2">
      <c r="A63" s="2464"/>
    </row>
    <row r="64" spans="1:10" x14ac:dyDescent="0.2">
      <c r="A64" s="2464"/>
    </row>
    <row r="70" spans="3:8" x14ac:dyDescent="0.2">
      <c r="C70" s="2416"/>
      <c r="D70" s="2416"/>
      <c r="E70" s="2416"/>
      <c r="F70" s="2416"/>
      <c r="G70" s="2416"/>
      <c r="H70" s="2416"/>
    </row>
    <row r="71" spans="3:8" x14ac:dyDescent="0.2">
      <c r="C71" s="2416"/>
      <c r="D71" s="2416"/>
      <c r="E71" s="2416"/>
      <c r="F71" s="2416"/>
      <c r="G71" s="2416"/>
      <c r="H71" s="2416"/>
    </row>
    <row r="72" spans="3:8" x14ac:dyDescent="0.2">
      <c r="C72" s="2416"/>
      <c r="D72" s="2416"/>
      <c r="E72" s="2416"/>
      <c r="F72" s="2416"/>
      <c r="G72" s="2416"/>
      <c r="H72" s="2416"/>
    </row>
    <row r="73" spans="3:8" x14ac:dyDescent="0.2">
      <c r="C73" s="2416"/>
      <c r="D73" s="2416"/>
      <c r="E73" s="2416"/>
      <c r="F73" s="2416"/>
      <c r="G73" s="2416"/>
      <c r="H73" s="2416"/>
    </row>
    <row r="74" spans="3:8" x14ac:dyDescent="0.2">
      <c r="C74" s="2416"/>
      <c r="D74" s="2416"/>
      <c r="E74" s="2416"/>
      <c r="F74" s="2416"/>
      <c r="G74" s="2416"/>
      <c r="H74" s="2416"/>
    </row>
    <row r="75" spans="3:8" x14ac:dyDescent="0.2">
      <c r="C75" s="2416"/>
      <c r="D75" s="2416"/>
      <c r="E75" s="2416"/>
      <c r="F75" s="2416"/>
      <c r="G75" s="2416"/>
      <c r="H75" s="2416"/>
    </row>
    <row r="76" spans="3:8" x14ac:dyDescent="0.2">
      <c r="C76" s="2416"/>
      <c r="D76" s="2416"/>
      <c r="E76" s="2416"/>
      <c r="F76" s="2416"/>
      <c r="G76" s="2416"/>
      <c r="H76" s="2416"/>
    </row>
    <row r="77" spans="3:8" x14ac:dyDescent="0.2">
      <c r="C77" s="2416"/>
      <c r="D77" s="2416"/>
      <c r="E77" s="2416"/>
      <c r="F77" s="2416"/>
      <c r="G77" s="2416"/>
      <c r="H77" s="2416"/>
    </row>
    <row r="78" spans="3:8" x14ac:dyDescent="0.2">
      <c r="C78" s="2416"/>
      <c r="D78" s="2416"/>
      <c r="E78" s="2416"/>
      <c r="F78" s="2416"/>
      <c r="G78" s="2416"/>
      <c r="H78" s="2416"/>
    </row>
    <row r="79" spans="3:8" x14ac:dyDescent="0.2">
      <c r="C79" s="2416"/>
      <c r="D79" s="2416"/>
      <c r="E79" s="2416"/>
      <c r="F79" s="2416"/>
      <c r="G79" s="2416"/>
      <c r="H79" s="2416"/>
    </row>
    <row r="80" spans="3:8" x14ac:dyDescent="0.2">
      <c r="C80" s="1487"/>
      <c r="D80" s="1487"/>
      <c r="E80" s="1487"/>
      <c r="F80" s="1487"/>
      <c r="G80" s="1487"/>
      <c r="H80" s="1487"/>
    </row>
    <row r="81" spans="3:8" x14ac:dyDescent="0.2">
      <c r="C81" s="1487"/>
      <c r="D81" s="1487"/>
      <c r="E81" s="1487"/>
      <c r="F81" s="1487"/>
      <c r="G81" s="1487"/>
      <c r="H81" s="1487"/>
    </row>
    <row r="82" spans="3:8" x14ac:dyDescent="0.2">
      <c r="C82" s="1487"/>
      <c r="D82" s="1487"/>
      <c r="E82" s="1487"/>
      <c r="F82" s="1487"/>
      <c r="G82" s="1487"/>
      <c r="H82" s="1487"/>
    </row>
    <row r="83" spans="3:8" x14ac:dyDescent="0.2">
      <c r="C83" s="1487"/>
      <c r="D83" s="1487"/>
      <c r="E83" s="1487"/>
      <c r="F83" s="1487"/>
      <c r="G83" s="1487"/>
      <c r="H83" s="1487"/>
    </row>
    <row r="84" spans="3:8" x14ac:dyDescent="0.2">
      <c r="C84" s="1487"/>
    </row>
  </sheetData>
  <dataValidations count="3">
    <dataValidation type="list" allowBlank="1" showInputMessage="1" showErrorMessage="1" sqref="B47 C13 C9 C19 C32 C28" xr:uid="{00000000-0002-0000-2E00-000000000000}">
      <formula1>Currency</formula1>
    </dataValidation>
    <dataValidation type="list" allowBlank="1" showInputMessage="1" showErrorMessage="1" sqref="C17 C26" xr:uid="{00000000-0002-0000-2E00-000001000000}">
      <formula1>Combustible</formula1>
    </dataValidation>
    <dataValidation type="list" allowBlank="1" showInputMessage="1" showErrorMessage="1" sqref="C18 C27" xr:uid="{00000000-0002-0000-2E00-000002000000}">
      <formula1>Units</formula1>
    </dataValidation>
  </dataValidations>
  <pageMargins left="0.23" right="0.17" top="0.41" bottom="0.18" header="0.18" footer="0"/>
  <pageSetup paperSize="9" scale="52" orientation="portrait" r:id="rId1"/>
  <headerFooter alignWithMargins="0"/>
  <colBreaks count="1" manualBreakCount="1">
    <brk id="8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53">
    <tabColor rgb="FF002060"/>
  </sheetPr>
  <dimension ref="A1:K84"/>
  <sheetViews>
    <sheetView showGridLines="0" view="pageBreakPreview" topLeftCell="A35" zoomScale="85" zoomScaleNormal="85" zoomScaleSheetLayoutView="85" workbookViewId="0">
      <selection activeCell="C51" sqref="C51"/>
    </sheetView>
  </sheetViews>
  <sheetFormatPr defaultColWidth="11" defaultRowHeight="12.6" x14ac:dyDescent="0.2"/>
  <cols>
    <col min="1" max="1" width="58.90625" style="1463" customWidth="1"/>
    <col min="2" max="2" width="13.7265625" style="1463" customWidth="1"/>
    <col min="3" max="8" width="16.26953125" style="1463" bestFit="1" customWidth="1"/>
    <col min="9" max="9" width="11" style="1463"/>
    <col min="10" max="10" width="21.453125" style="1463" bestFit="1" customWidth="1"/>
    <col min="11" max="11" width="17.7265625" style="1463" bestFit="1" customWidth="1"/>
    <col min="12" max="16384" width="11" style="1463"/>
  </cols>
  <sheetData>
    <row r="1" spans="1:11" ht="17.399999999999999" x14ac:dyDescent="0.3">
      <c r="A1" s="2336" t="s">
        <v>1322</v>
      </c>
      <c r="B1" s="2336" t="str">
        <f>+A1</f>
        <v>SGPS 100MW</v>
      </c>
    </row>
    <row r="2" spans="1:11" ht="18" thickBot="1" x14ac:dyDescent="0.35">
      <c r="A2" s="1920"/>
      <c r="B2" s="1920"/>
      <c r="C2" s="1918"/>
      <c r="D2" s="1918"/>
      <c r="E2" s="1918"/>
      <c r="F2" s="1918"/>
      <c r="G2" s="1918"/>
      <c r="H2" s="1918"/>
    </row>
    <row r="3" spans="1:11" ht="13.2" thickBot="1" x14ac:dyDescent="0.25">
      <c r="A3" s="2338" t="s">
        <v>27</v>
      </c>
      <c r="B3" s="2339" t="s">
        <v>36</v>
      </c>
      <c r="C3" s="1509">
        <f>[15]DispatchSchedule!F3</f>
        <v>45474</v>
      </c>
      <c r="D3" s="1509">
        <f>[15]DispatchSchedule!G3</f>
        <v>45505</v>
      </c>
      <c r="E3" s="1509">
        <f>[15]DispatchSchedule!H3</f>
        <v>45536</v>
      </c>
      <c r="F3" s="1509">
        <f>[15]DispatchSchedule!I3</f>
        <v>45566</v>
      </c>
      <c r="G3" s="1509">
        <f>[15]DispatchSchedule!J3</f>
        <v>45597</v>
      </c>
      <c r="H3" s="1509">
        <f>[15]DispatchSchedule!K3</f>
        <v>45627</v>
      </c>
      <c r="I3" s="2111"/>
    </row>
    <row r="4" spans="1:11" ht="13.2" x14ac:dyDescent="0.25">
      <c r="A4" s="2110" t="s">
        <v>136</v>
      </c>
      <c r="B4" s="2342"/>
      <c r="C4" s="1839"/>
      <c r="D4" s="1839"/>
      <c r="E4" s="1839"/>
      <c r="F4" s="1839"/>
      <c r="G4" s="1839"/>
      <c r="H4" s="2087"/>
      <c r="I4" s="2111"/>
    </row>
    <row r="5" spans="1:11" x14ac:dyDescent="0.2">
      <c r="A5" s="2345"/>
      <c r="B5" s="2346"/>
      <c r="C5" s="2419"/>
      <c r="D5" s="2419"/>
      <c r="E5" s="2419"/>
      <c r="F5" s="2419"/>
      <c r="G5" s="2419"/>
      <c r="H5" s="2419"/>
      <c r="I5" s="2111"/>
    </row>
    <row r="6" spans="1:11" x14ac:dyDescent="0.2">
      <c r="A6" s="2345"/>
      <c r="B6" s="2348"/>
      <c r="C6" s="2420"/>
      <c r="D6" s="2420"/>
      <c r="E6" s="2420"/>
      <c r="F6" s="2420"/>
      <c r="G6" s="2420"/>
      <c r="H6" s="2421"/>
      <c r="I6" s="2111"/>
    </row>
    <row r="7" spans="1:11" ht="13.2" x14ac:dyDescent="0.25">
      <c r="A7" s="2110" t="s">
        <v>122</v>
      </c>
      <c r="B7" s="2342"/>
      <c r="C7" s="2422"/>
      <c r="D7" s="2422"/>
      <c r="E7" s="2422"/>
      <c r="F7" s="2422"/>
      <c r="G7" s="2422"/>
      <c r="H7" s="2082"/>
      <c r="I7" s="2111"/>
    </row>
    <row r="8" spans="1:11" ht="13.2" x14ac:dyDescent="0.25">
      <c r="A8" s="2351"/>
      <c r="B8" s="2352"/>
      <c r="C8" s="2420"/>
      <c r="D8" s="2420"/>
      <c r="E8" s="2420"/>
      <c r="F8" s="2420"/>
      <c r="G8" s="2420"/>
      <c r="H8" s="2421"/>
      <c r="I8" s="2111"/>
      <c r="J8" s="1483"/>
    </row>
    <row r="9" spans="1:11" x14ac:dyDescent="0.2">
      <c r="A9" s="2423" t="s">
        <v>1291</v>
      </c>
      <c r="B9" s="2424"/>
      <c r="C9" s="2646">
        <v>1</v>
      </c>
      <c r="D9" s="2646">
        <v>1</v>
      </c>
      <c r="E9" s="2646">
        <v>1</v>
      </c>
      <c r="F9" s="2646">
        <v>1</v>
      </c>
      <c r="G9" s="2646">
        <v>1</v>
      </c>
      <c r="H9" s="2646">
        <v>1</v>
      </c>
      <c r="I9" s="2111"/>
      <c r="J9" s="1483"/>
    </row>
    <row r="10" spans="1:11" s="2428" customFormat="1" x14ac:dyDescent="0.2">
      <c r="A10" s="2345" t="s">
        <v>1292</v>
      </c>
      <c r="B10" s="2348" t="s">
        <v>39</v>
      </c>
      <c r="C10" s="1497">
        <v>93</v>
      </c>
      <c r="D10" s="1497">
        <v>93</v>
      </c>
      <c r="E10" s="1497">
        <v>93</v>
      </c>
      <c r="F10" s="1497">
        <v>93</v>
      </c>
      <c r="G10" s="1497">
        <v>93</v>
      </c>
      <c r="H10" s="1497">
        <v>93</v>
      </c>
      <c r="I10" s="2426"/>
      <c r="J10" s="2296"/>
      <c r="K10" s="2427"/>
    </row>
    <row r="11" spans="1:11" ht="13.2" x14ac:dyDescent="0.25">
      <c r="A11" s="2353" t="s">
        <v>1293</v>
      </c>
      <c r="B11" s="2354" t="s">
        <v>1294</v>
      </c>
      <c r="C11" s="2647">
        <v>89950</v>
      </c>
      <c r="D11" s="2647">
        <v>89950</v>
      </c>
      <c r="E11" s="2647">
        <v>89950</v>
      </c>
      <c r="F11" s="2647">
        <v>89950</v>
      </c>
      <c r="G11" s="2647">
        <v>89950</v>
      </c>
      <c r="H11" s="2647">
        <v>89950</v>
      </c>
      <c r="I11" s="2111"/>
      <c r="J11" s="498"/>
      <c r="K11" s="2430"/>
    </row>
    <row r="12" spans="1:11" ht="13.2" x14ac:dyDescent="0.25">
      <c r="A12" s="2353" t="s">
        <v>1295</v>
      </c>
      <c r="B12" s="2648"/>
      <c r="C12" s="2647">
        <f t="shared" ref="C12" si="0">24*31</f>
        <v>744</v>
      </c>
      <c r="D12" s="2647">
        <f>24*28</f>
        <v>672</v>
      </c>
      <c r="E12" s="2647">
        <f t="shared" ref="E12" si="1">24*31</f>
        <v>744</v>
      </c>
      <c r="F12" s="2647">
        <f>24*30</f>
        <v>720</v>
      </c>
      <c r="G12" s="2647">
        <f>24*31</f>
        <v>744</v>
      </c>
      <c r="H12" s="2647">
        <f>24*30</f>
        <v>720</v>
      </c>
      <c r="I12" s="2111"/>
      <c r="J12" s="498"/>
      <c r="K12" s="2430"/>
    </row>
    <row r="13" spans="1:11" ht="13.2" x14ac:dyDescent="0.25">
      <c r="A13" s="2353" t="s">
        <v>99</v>
      </c>
      <c r="C13" s="2420" t="s">
        <v>320</v>
      </c>
      <c r="D13" s="2420"/>
      <c r="E13" s="2420"/>
      <c r="F13" s="2420"/>
      <c r="G13" s="2420"/>
      <c r="H13" s="2420"/>
      <c r="I13" s="2111"/>
      <c r="J13" s="498"/>
      <c r="K13" s="2430"/>
    </row>
    <row r="14" spans="1:11" s="2428" customFormat="1" x14ac:dyDescent="0.2">
      <c r="A14" s="2423" t="s">
        <v>1296</v>
      </c>
      <c r="B14" s="2424" t="str">
        <f>$C$13&amp;"/kWh"</f>
        <v>Rs/kWh</v>
      </c>
      <c r="C14" s="2649">
        <f t="shared" ref="C14:F14" si="2">(C10*C9*C12*C11/24)/(C10*1000*C9*C12)</f>
        <v>3.7479166666666668</v>
      </c>
      <c r="D14" s="2649">
        <f t="shared" si="2"/>
        <v>3.7479166666666668</v>
      </c>
      <c r="E14" s="2649">
        <f t="shared" si="2"/>
        <v>3.7479166666666668</v>
      </c>
      <c r="F14" s="2649">
        <f t="shared" si="2"/>
        <v>3.7479166666666668</v>
      </c>
      <c r="G14" s="2649">
        <f>(G10*G9*G12*G11/24)/(G10*1000*G9*G12)</f>
        <v>3.7479166666666668</v>
      </c>
      <c r="H14" s="2649">
        <f t="shared" ref="H14" si="3">(H10*H9*H12*H11/24)/(H10*1000*H9*H12)</f>
        <v>3.7479166666666668</v>
      </c>
      <c r="I14" s="2426"/>
      <c r="J14" s="2296"/>
      <c r="K14" s="2427"/>
    </row>
    <row r="15" spans="1:11" x14ac:dyDescent="0.2">
      <c r="A15" s="2345"/>
      <c r="B15" s="2348"/>
      <c r="C15" s="2420"/>
      <c r="D15" s="2420"/>
      <c r="E15" s="2420"/>
      <c r="F15" s="2420"/>
      <c r="G15" s="2420"/>
      <c r="H15" s="2420"/>
      <c r="I15" s="2111"/>
    </row>
    <row r="16" spans="1:11" ht="13.2" x14ac:dyDescent="0.25">
      <c r="A16" s="2110" t="s">
        <v>24</v>
      </c>
      <c r="B16" s="2342"/>
      <c r="C16" s="2422"/>
      <c r="D16" s="2422"/>
      <c r="E16" s="2422"/>
      <c r="F16" s="2422"/>
      <c r="G16" s="2422"/>
      <c r="H16" s="2422"/>
      <c r="I16" s="2111"/>
    </row>
    <row r="17" spans="1:11" x14ac:dyDescent="0.2">
      <c r="A17" s="2358" t="s">
        <v>89</v>
      </c>
      <c r="B17" s="2349"/>
      <c r="C17" s="1497"/>
      <c r="D17" s="1497"/>
      <c r="E17" s="1497"/>
      <c r="F17" s="1497"/>
      <c r="G17" s="1497"/>
      <c r="H17" s="1497"/>
      <c r="I17" s="2432"/>
    </row>
    <row r="18" spans="1:11" x14ac:dyDescent="0.2">
      <c r="A18" s="2345" t="s">
        <v>100</v>
      </c>
      <c r="B18" s="2349"/>
      <c r="C18" s="1497"/>
      <c r="D18" s="1497"/>
      <c r="E18" s="1497"/>
      <c r="F18" s="1497"/>
      <c r="G18" s="1497"/>
      <c r="H18" s="1497"/>
      <c r="I18" s="2432"/>
    </row>
    <row r="19" spans="1:11" x14ac:dyDescent="0.2">
      <c r="A19" s="2345" t="s">
        <v>99</v>
      </c>
      <c r="B19" s="2349"/>
      <c r="C19" s="1497" t="s">
        <v>320</v>
      </c>
      <c r="D19" s="1497"/>
      <c r="E19" s="1497"/>
      <c r="F19" s="1497"/>
      <c r="G19" s="1497"/>
      <c r="H19" s="1497"/>
      <c r="I19" s="2432"/>
    </row>
    <row r="20" spans="1:11" x14ac:dyDescent="0.2">
      <c r="A20" s="2345" t="s">
        <v>144</v>
      </c>
      <c r="B20" s="2346" t="str">
        <f>C18&amp;"/kWh"</f>
        <v>/kWh</v>
      </c>
      <c r="C20" s="2347">
        <v>0.22170000000000001</v>
      </c>
      <c r="D20" s="2347">
        <v>0.22170000000000001</v>
      </c>
      <c r="E20" s="2347">
        <v>0.22170000000000001</v>
      </c>
      <c r="F20" s="2347">
        <v>0.22170000000000001</v>
      </c>
      <c r="G20" s="2347">
        <v>0.22170000000000001</v>
      </c>
      <c r="H20" s="2347">
        <v>0.22170000000000001</v>
      </c>
      <c r="I20" s="2111"/>
    </row>
    <row r="21" spans="1:11" x14ac:dyDescent="0.2">
      <c r="A21" s="2345" t="s">
        <v>563</v>
      </c>
      <c r="B21" s="2433" t="str">
        <f>C19&amp;"/"&amp;C18</f>
        <v>Rs/</v>
      </c>
      <c r="C21" s="2360">
        <f>Inputs!C46</f>
        <v>0</v>
      </c>
      <c r="D21" s="2360">
        <f>Inputs!D46</f>
        <v>0</v>
      </c>
      <c r="E21" s="2360">
        <f>Inputs!E46</f>
        <v>0</v>
      </c>
      <c r="F21" s="2360">
        <f>Inputs!F46</f>
        <v>0</v>
      </c>
      <c r="G21" s="2360">
        <f>Inputs!G46</f>
        <v>0</v>
      </c>
      <c r="H21" s="2360">
        <f>Inputs!H46</f>
        <v>0</v>
      </c>
      <c r="I21" s="2434"/>
      <c r="J21" s="497"/>
      <c r="K21" s="2435"/>
    </row>
    <row r="22" spans="1:11" x14ac:dyDescent="0.2">
      <c r="A22" s="2345" t="s">
        <v>25</v>
      </c>
      <c r="C22" s="2367">
        <v>1.0350958040261946</v>
      </c>
      <c r="D22" s="2367">
        <v>1.0350958040261946</v>
      </c>
      <c r="E22" s="2367">
        <v>1.0350958040261946</v>
      </c>
      <c r="F22" s="2367">
        <v>1.0350958040261946</v>
      </c>
      <c r="G22" s="2367">
        <v>1.0350958040261946</v>
      </c>
      <c r="H22" s="2367">
        <v>1.0350958040261946</v>
      </c>
      <c r="I22" s="2111"/>
      <c r="J22" s="497"/>
      <c r="K22" s="2435"/>
    </row>
    <row r="23" spans="1:11" s="2428" customFormat="1" x14ac:dyDescent="0.2">
      <c r="A23" s="2423" t="s">
        <v>144</v>
      </c>
      <c r="B23" s="2424" t="str">
        <f>+C19&amp;"/kWh"</f>
        <v>Rs/kWh</v>
      </c>
      <c r="C23" s="2436">
        <f t="shared" ref="C23:F23" si="4">C21*C20</f>
        <v>0</v>
      </c>
      <c r="D23" s="2436">
        <f t="shared" si="4"/>
        <v>0</v>
      </c>
      <c r="E23" s="2436">
        <f t="shared" si="4"/>
        <v>0</v>
      </c>
      <c r="F23" s="2436">
        <f t="shared" si="4"/>
        <v>0</v>
      </c>
      <c r="G23" s="2436">
        <f>G21*G20</f>
        <v>0</v>
      </c>
      <c r="H23" s="2436">
        <f t="shared" ref="H23" si="5">H21*H20</f>
        <v>0</v>
      </c>
      <c r="I23" s="2426"/>
      <c r="J23" s="2297"/>
      <c r="K23" s="2437"/>
    </row>
    <row r="24" spans="1:11" x14ac:dyDescent="0.2">
      <c r="A24" s="2345"/>
      <c r="B24" s="2348"/>
      <c r="C24" s="2420"/>
      <c r="D24" s="2420"/>
      <c r="E24" s="2420"/>
      <c r="F24" s="2420"/>
      <c r="G24" s="2420"/>
      <c r="H24" s="2420"/>
      <c r="I24" s="2111"/>
      <c r="J24" s="497"/>
      <c r="K24" s="2435"/>
    </row>
    <row r="25" spans="1:11" x14ac:dyDescent="0.2">
      <c r="A25" s="2345"/>
      <c r="B25" s="2348"/>
      <c r="C25" s="2420"/>
      <c r="D25" s="2420"/>
      <c r="E25" s="2420"/>
      <c r="F25" s="2420"/>
      <c r="G25" s="2420"/>
      <c r="H25" s="2420"/>
      <c r="I25" s="2111"/>
      <c r="J25" s="497"/>
    </row>
    <row r="26" spans="1:11" x14ac:dyDescent="0.2">
      <c r="A26" s="2358" t="s">
        <v>92</v>
      </c>
      <c r="B26" s="2349"/>
      <c r="C26" s="1497"/>
      <c r="D26" s="1497"/>
      <c r="E26" s="1497"/>
      <c r="F26" s="1497"/>
      <c r="G26" s="1497"/>
      <c r="H26" s="1497"/>
      <c r="I26" s="2438"/>
      <c r="J26" s="497"/>
    </row>
    <row r="27" spans="1:11" x14ac:dyDescent="0.2">
      <c r="A27" s="2345" t="s">
        <v>100</v>
      </c>
      <c r="B27" s="2349"/>
      <c r="C27" s="1497"/>
      <c r="D27" s="1497"/>
      <c r="E27" s="1497"/>
      <c r="F27" s="1497"/>
      <c r="G27" s="1497"/>
      <c r="H27" s="1497"/>
      <c r="I27" s="2432"/>
      <c r="J27" s="497"/>
    </row>
    <row r="28" spans="1:11" x14ac:dyDescent="0.2">
      <c r="A28" s="2345" t="s">
        <v>99</v>
      </c>
      <c r="B28" s="2349"/>
      <c r="C28" s="1497" t="s">
        <v>320</v>
      </c>
      <c r="D28" s="1497"/>
      <c r="E28" s="1497"/>
      <c r="F28" s="1497"/>
      <c r="G28" s="1497"/>
      <c r="H28" s="1497"/>
      <c r="I28" s="2432"/>
      <c r="J28" s="497"/>
    </row>
    <row r="29" spans="1:11" s="2428" customFormat="1" x14ac:dyDescent="0.2">
      <c r="A29" s="2423" t="s">
        <v>141</v>
      </c>
      <c r="B29" s="2424" t="str">
        <f>C28&amp;"/kWh"</f>
        <v>Rs/kWh</v>
      </c>
      <c r="C29" s="2439">
        <v>0</v>
      </c>
      <c r="D29" s="2439">
        <v>0</v>
      </c>
      <c r="E29" s="2439">
        <v>0</v>
      </c>
      <c r="F29" s="2439">
        <v>0</v>
      </c>
      <c r="G29" s="2439">
        <v>0</v>
      </c>
      <c r="H29" s="2439">
        <v>0</v>
      </c>
      <c r="I29" s="2426"/>
      <c r="J29" s="2297"/>
      <c r="K29" s="2440"/>
    </row>
    <row r="30" spans="1:11" x14ac:dyDescent="0.2">
      <c r="A30" s="2345"/>
      <c r="B30" s="2348"/>
      <c r="C30" s="2420"/>
      <c r="D30" s="2420"/>
      <c r="E30" s="2420"/>
      <c r="F30" s="2420"/>
      <c r="G30" s="2420"/>
      <c r="H30" s="2420"/>
      <c r="I30" s="2111"/>
      <c r="J30" s="497"/>
    </row>
    <row r="31" spans="1:11" ht="13.2" x14ac:dyDescent="0.25">
      <c r="A31" s="2372" t="s">
        <v>132</v>
      </c>
      <c r="B31" s="2373"/>
      <c r="C31" s="2420"/>
      <c r="D31" s="2420"/>
      <c r="E31" s="2420"/>
      <c r="F31" s="2420"/>
      <c r="G31" s="2420"/>
      <c r="H31" s="2420"/>
      <c r="I31" s="2111"/>
      <c r="J31" s="497"/>
    </row>
    <row r="32" spans="1:11" x14ac:dyDescent="0.2">
      <c r="A32" s="2345" t="s">
        <v>99</v>
      </c>
      <c r="B32" s="2349"/>
      <c r="C32" s="1497"/>
      <c r="D32" s="1497"/>
      <c r="E32" s="1497"/>
      <c r="F32" s="1497"/>
      <c r="G32" s="1497"/>
      <c r="H32" s="1497"/>
      <c r="I32" s="2432"/>
      <c r="J32" s="497"/>
    </row>
    <row r="33" spans="1:10" s="2428" customFormat="1" x14ac:dyDescent="0.2">
      <c r="A33" s="2423" t="s">
        <v>507</v>
      </c>
      <c r="B33" s="2441" t="str">
        <f>B29</f>
        <v>Rs/kWh</v>
      </c>
      <c r="C33" s="2442">
        <v>0.35</v>
      </c>
      <c r="D33" s="2442">
        <v>0.35</v>
      </c>
      <c r="E33" s="2442">
        <v>0.35</v>
      </c>
      <c r="F33" s="2442">
        <v>0.35</v>
      </c>
      <c r="G33" s="2442">
        <v>0.35</v>
      </c>
      <c r="H33" s="2442">
        <v>0.35</v>
      </c>
      <c r="I33" s="2426"/>
      <c r="J33" s="2297"/>
    </row>
    <row r="34" spans="1:10" x14ac:dyDescent="0.2">
      <c r="A34" s="2345" t="s">
        <v>99</v>
      </c>
      <c r="B34" s="2349"/>
      <c r="C34" s="1497"/>
      <c r="D34" s="1497"/>
      <c r="E34" s="1497"/>
      <c r="F34" s="1497"/>
      <c r="G34" s="1497"/>
      <c r="H34" s="1497"/>
      <c r="I34" s="2434"/>
      <c r="J34" s="497"/>
    </row>
    <row r="35" spans="1:10" ht="12.75" customHeight="1" x14ac:dyDescent="0.2">
      <c r="A35" s="2423" t="s">
        <v>507</v>
      </c>
      <c r="B35" s="2441" t="s">
        <v>1234</v>
      </c>
      <c r="C35" s="2436">
        <v>1.2E-2</v>
      </c>
      <c r="D35" s="2436">
        <v>1.2E-2</v>
      </c>
      <c r="E35" s="2436">
        <v>1.2E-2</v>
      </c>
      <c r="F35" s="2436">
        <v>1.2E-2</v>
      </c>
      <c r="G35" s="2436">
        <v>1.2E-2</v>
      </c>
      <c r="H35" s="2436">
        <v>1.2E-2</v>
      </c>
      <c r="I35" s="2111"/>
      <c r="J35" s="497"/>
    </row>
    <row r="36" spans="1:10" ht="12.75" customHeight="1" x14ac:dyDescent="0.2">
      <c r="A36" s="2345" t="s">
        <v>133</v>
      </c>
      <c r="B36" s="2348"/>
      <c r="C36" s="2420"/>
      <c r="D36" s="2420"/>
      <c r="E36" s="2420"/>
      <c r="F36" s="2420"/>
      <c r="G36" s="2420"/>
      <c r="H36" s="2420"/>
      <c r="I36" s="2111"/>
      <c r="J36" s="497"/>
    </row>
    <row r="37" spans="1:10" ht="12.75" customHeight="1" x14ac:dyDescent="0.3">
      <c r="A37" s="2443"/>
      <c r="B37" s="2444"/>
      <c r="C37" s="2420"/>
      <c r="D37" s="2420"/>
      <c r="E37" s="2420"/>
      <c r="F37" s="2420"/>
      <c r="G37" s="2420"/>
      <c r="H37" s="2420"/>
      <c r="I37" s="2111"/>
      <c r="J37" s="497"/>
    </row>
    <row r="38" spans="1:10" ht="12.75" customHeight="1" x14ac:dyDescent="0.3">
      <c r="A38" s="2445" t="s">
        <v>1201</v>
      </c>
      <c r="B38" s="2444"/>
      <c r="C38" s="2420"/>
      <c r="D38" s="2420"/>
      <c r="E38" s="2420"/>
      <c r="F38" s="2420"/>
      <c r="G38" s="2420"/>
      <c r="H38" s="2420"/>
      <c r="I38" s="2111"/>
      <c r="J38" s="497"/>
    </row>
    <row r="39" spans="1:10" ht="12.75" customHeight="1" x14ac:dyDescent="0.2">
      <c r="A39" s="2345" t="s">
        <v>1204</v>
      </c>
      <c r="B39" s="2348" t="s">
        <v>1199</v>
      </c>
      <c r="C39" s="2382">
        <v>700</v>
      </c>
      <c r="D39" s="2382">
        <v>700</v>
      </c>
      <c r="E39" s="2382">
        <v>700</v>
      </c>
      <c r="F39" s="2382">
        <v>700</v>
      </c>
      <c r="G39" s="2382">
        <v>700</v>
      </c>
      <c r="H39" s="2382">
        <v>700</v>
      </c>
      <c r="I39" s="2111"/>
      <c r="J39" s="497"/>
    </row>
    <row r="40" spans="1:10" ht="12.75" customHeight="1" x14ac:dyDescent="0.2">
      <c r="A40" s="2345" t="s">
        <v>418</v>
      </c>
      <c r="B40" s="2346" t="s">
        <v>1205</v>
      </c>
      <c r="C40" s="2650">
        <f>Inputs!C51</f>
        <v>279</v>
      </c>
      <c r="D40" s="2650">
        <f>Inputs!D51</f>
        <v>277</v>
      </c>
      <c r="E40" s="2650">
        <f>Inputs!E51</f>
        <v>277</v>
      </c>
      <c r="F40" s="2650">
        <f>Inputs!F51</f>
        <v>382</v>
      </c>
      <c r="G40" s="2650">
        <f>Inputs!G51</f>
        <v>382</v>
      </c>
      <c r="H40" s="2650">
        <f>Inputs!H51</f>
        <v>382</v>
      </c>
      <c r="I40" s="2111"/>
      <c r="J40" s="497"/>
    </row>
    <row r="41" spans="1:10" ht="12.75" customHeight="1" x14ac:dyDescent="0.2">
      <c r="A41" s="2345" t="s">
        <v>1206</v>
      </c>
      <c r="B41" s="2346" t="s">
        <v>385</v>
      </c>
      <c r="C41" s="2381">
        <v>90</v>
      </c>
      <c r="D41" s="2381">
        <v>90</v>
      </c>
      <c r="E41" s="2381">
        <v>90</v>
      </c>
      <c r="F41" s="2381">
        <v>90</v>
      </c>
      <c r="G41" s="2381">
        <v>90</v>
      </c>
      <c r="H41" s="2381">
        <v>90</v>
      </c>
      <c r="I41" s="2111"/>
      <c r="J41" s="497"/>
    </row>
    <row r="42" spans="1:10" ht="12.75" customHeight="1" x14ac:dyDescent="0.25">
      <c r="A42" s="2345" t="s">
        <v>1207</v>
      </c>
      <c r="B42" s="2447" t="s">
        <v>1208</v>
      </c>
      <c r="C42" s="2448">
        <f t="shared" ref="C42:D42" si="6">IF(C53=0,0,(C39*C40*C41)/1000000)</f>
        <v>0</v>
      </c>
      <c r="D42" s="2448">
        <f t="shared" si="6"/>
        <v>0</v>
      </c>
      <c r="E42" s="2448">
        <f>IF(E53=0,0,(E39*E40*E41)/1000000)</f>
        <v>0</v>
      </c>
      <c r="F42" s="2448">
        <f t="shared" ref="F42:H42" si="7">IF(F53=0,0,(F39*F40*F41)/1000000)</f>
        <v>0</v>
      </c>
      <c r="G42" s="2448">
        <f t="shared" si="7"/>
        <v>0</v>
      </c>
      <c r="H42" s="2448">
        <f t="shared" si="7"/>
        <v>0</v>
      </c>
      <c r="I42" s="2111"/>
    </row>
    <row r="43" spans="1:10" ht="12.75" customHeight="1" x14ac:dyDescent="0.3">
      <c r="A43" s="2443"/>
      <c r="B43" s="2444"/>
      <c r="C43" s="2420"/>
      <c r="D43" s="2420"/>
      <c r="E43" s="2420"/>
      <c r="F43" s="2420"/>
      <c r="G43" s="2420"/>
      <c r="H43" s="2420"/>
      <c r="I43" s="2111"/>
    </row>
    <row r="44" spans="1:10" ht="12.75" customHeight="1" x14ac:dyDescent="0.25">
      <c r="A44" s="2110" t="s">
        <v>189</v>
      </c>
      <c r="B44" s="2342"/>
      <c r="C44" s="2422"/>
      <c r="D44" s="2422"/>
      <c r="E44" s="2422"/>
      <c r="F44" s="2422"/>
      <c r="G44" s="2422"/>
      <c r="H44" s="2422"/>
      <c r="I44" s="2111"/>
    </row>
    <row r="45" spans="1:10" ht="12.75" customHeight="1" x14ac:dyDescent="0.25">
      <c r="A45" s="2353" t="s">
        <v>190</v>
      </c>
      <c r="B45" s="2346" t="s">
        <v>60</v>
      </c>
      <c r="C45" s="2449"/>
      <c r="D45" s="2449"/>
      <c r="E45" s="2449"/>
      <c r="F45" s="2449"/>
      <c r="G45" s="2449"/>
      <c r="H45" s="2449"/>
      <c r="I45" s="2111"/>
      <c r="J45" s="1837"/>
    </row>
    <row r="46" spans="1:10" ht="12.75" customHeight="1" x14ac:dyDescent="0.25">
      <c r="A46" s="2353" t="s">
        <v>191</v>
      </c>
      <c r="B46" s="2346" t="s">
        <v>60</v>
      </c>
      <c r="C46" s="2451">
        <v>15</v>
      </c>
      <c r="D46" s="2451">
        <v>15</v>
      </c>
      <c r="E46" s="2451">
        <v>15</v>
      </c>
      <c r="F46" s="2451">
        <v>15</v>
      </c>
      <c r="G46" s="2451">
        <v>15</v>
      </c>
      <c r="H46" s="2451">
        <v>15</v>
      </c>
      <c r="I46" s="2111"/>
      <c r="J46" s="1837"/>
    </row>
    <row r="47" spans="1:10" ht="12.75" customHeight="1" x14ac:dyDescent="0.25">
      <c r="A47" s="2353"/>
      <c r="B47" s="2346"/>
      <c r="C47" s="2452"/>
      <c r="D47" s="2452"/>
      <c r="E47" s="2452"/>
      <c r="F47" s="2452"/>
      <c r="G47" s="2452"/>
      <c r="H47" s="2452"/>
      <c r="I47" s="2434"/>
      <c r="J47" s="1837"/>
    </row>
    <row r="48" spans="1:10" ht="13.2" x14ac:dyDescent="0.25">
      <c r="A48" s="2110" t="s">
        <v>1297</v>
      </c>
      <c r="B48" s="1465" t="s">
        <v>94</v>
      </c>
      <c r="C48" s="2381">
        <f>Inputs!C21</f>
        <v>313.51760000000002</v>
      </c>
      <c r="D48" s="2381">
        <f>Inputs!D21</f>
        <v>313.51760000000002</v>
      </c>
      <c r="E48" s="2381">
        <f>Inputs!E21</f>
        <v>313.51760000000002</v>
      </c>
      <c r="F48" s="2381">
        <f>Inputs!F21</f>
        <v>313.51760000000002</v>
      </c>
      <c r="G48" s="2381">
        <f>Inputs!G21</f>
        <v>313.51760000000002</v>
      </c>
      <c r="H48" s="2381">
        <f>Inputs!H21</f>
        <v>313.51760000000002</v>
      </c>
      <c r="I48" s="2111"/>
      <c r="J48" s="1837"/>
    </row>
    <row r="49" spans="1:10" ht="13.2" thickBot="1" x14ac:dyDescent="0.25">
      <c r="A49" s="2345"/>
      <c r="B49" s="2348"/>
      <c r="C49" s="2420"/>
      <c r="D49" s="2420"/>
      <c r="E49" s="2420"/>
      <c r="F49" s="2420"/>
      <c r="G49" s="2420"/>
      <c r="H49" s="2420"/>
      <c r="I49" s="2456"/>
      <c r="J49" s="1837"/>
    </row>
    <row r="50" spans="1:10" x14ac:dyDescent="0.2">
      <c r="A50" s="2453" t="s">
        <v>148</v>
      </c>
      <c r="B50" s="2454" t="s">
        <v>60</v>
      </c>
      <c r="C50" s="2455">
        <f>(C14*(C10*1000*C9*C12)/1000000+C46)*0</f>
        <v>0</v>
      </c>
      <c r="D50" s="2455">
        <f t="shared" ref="D50:H50" si="8">(D14*(D10*1000*D9*D12)/1000000+D46)*0</f>
        <v>0</v>
      </c>
      <c r="E50" s="2455">
        <f t="shared" si="8"/>
        <v>0</v>
      </c>
      <c r="F50" s="2455">
        <f t="shared" si="8"/>
        <v>0</v>
      </c>
      <c r="G50" s="2455">
        <f t="shared" si="8"/>
        <v>0</v>
      </c>
      <c r="H50" s="2455">
        <f t="shared" si="8"/>
        <v>0</v>
      </c>
      <c r="I50" s="2456"/>
      <c r="J50" s="1837"/>
    </row>
    <row r="51" spans="1:10" x14ac:dyDescent="0.2">
      <c r="A51" s="2345" t="s">
        <v>149</v>
      </c>
      <c r="B51" s="2346" t="s">
        <v>60</v>
      </c>
      <c r="C51" s="2457">
        <f t="shared" ref="C51:D51" si="9">((C23+C29+C33+(C35*C48))*C53)+C42</f>
        <v>0</v>
      </c>
      <c r="D51" s="2457">
        <f t="shared" si="9"/>
        <v>0</v>
      </c>
      <c r="E51" s="2457">
        <f>((E23+E29+E33+(E35*E48))*E53)+E42</f>
        <v>0</v>
      </c>
      <c r="F51" s="2457">
        <f t="shared" ref="F51" si="10">((F23+F29+F33+(F35*F48))*F53)+F42</f>
        <v>0</v>
      </c>
      <c r="G51" s="2457">
        <f>((G23+G29+G33+(G35*G48))*G53)+G42</f>
        <v>0</v>
      </c>
      <c r="H51" s="2457">
        <f t="shared" ref="H51" si="11">((H23+H29+H33+(H35*H48))*H53)+H42</f>
        <v>0</v>
      </c>
      <c r="I51" s="2111"/>
      <c r="J51" s="1837"/>
    </row>
    <row r="52" spans="1:10" x14ac:dyDescent="0.2">
      <c r="A52" s="2345" t="s">
        <v>150</v>
      </c>
      <c r="B52" s="2346" t="s">
        <v>39</v>
      </c>
      <c r="C52" s="2458">
        <v>93</v>
      </c>
      <c r="D52" s="2458">
        <v>93</v>
      </c>
      <c r="E52" s="2458">
        <v>93</v>
      </c>
      <c r="F52" s="2458">
        <v>93</v>
      </c>
      <c r="G52" s="2458">
        <v>93</v>
      </c>
      <c r="H52" s="2458">
        <v>93</v>
      </c>
      <c r="I52" s="2434"/>
      <c r="J52" s="1837"/>
    </row>
    <row r="53" spans="1:10" x14ac:dyDescent="0.2">
      <c r="A53" s="2345" t="s">
        <v>134</v>
      </c>
      <c r="B53" s="2346" t="s">
        <v>56</v>
      </c>
      <c r="C53" s="2460">
        <f>+DispatchSchedule!F42</f>
        <v>0</v>
      </c>
      <c r="D53" s="2460">
        <f>+DispatchSchedule!G42</f>
        <v>0</v>
      </c>
      <c r="E53" s="2460">
        <f>+DispatchSchedule!H42</f>
        <v>0</v>
      </c>
      <c r="F53" s="2460">
        <f>+DispatchSchedule!I42</f>
        <v>0</v>
      </c>
      <c r="G53" s="2460">
        <f>+DispatchSchedule!J42</f>
        <v>0</v>
      </c>
      <c r="H53" s="2460">
        <f>+DispatchSchedule!K42</f>
        <v>0</v>
      </c>
      <c r="I53" s="2111"/>
      <c r="J53" s="1837"/>
    </row>
    <row r="54" spans="1:10" ht="13.8" thickBot="1" x14ac:dyDescent="0.3">
      <c r="A54" s="2461" t="s">
        <v>135</v>
      </c>
      <c r="B54" s="2462" t="s">
        <v>88</v>
      </c>
      <c r="C54" s="2463">
        <f t="shared" ref="C54:F54" si="12">IF(C53=0,0,(C51/C53))</f>
        <v>0</v>
      </c>
      <c r="D54" s="2463">
        <f t="shared" si="12"/>
        <v>0</v>
      </c>
      <c r="E54" s="2463">
        <f t="shared" si="12"/>
        <v>0</v>
      </c>
      <c r="F54" s="2463">
        <f t="shared" si="12"/>
        <v>0</v>
      </c>
      <c r="G54" s="2463">
        <f>IF(G53=0,0,(G51/G53))</f>
        <v>0</v>
      </c>
      <c r="H54" s="2463">
        <f t="shared" ref="H54" si="13">IF(H53=0,0,(H51/H53))</f>
        <v>0</v>
      </c>
      <c r="J54" s="1837"/>
    </row>
    <row r="55" spans="1:10" x14ac:dyDescent="0.2">
      <c r="A55" s="1839" t="s">
        <v>806</v>
      </c>
      <c r="B55" s="1475" t="s">
        <v>88</v>
      </c>
      <c r="C55" s="2411">
        <f t="shared" ref="C55:F55" si="14">IF(C53=0,0,C50/C53)</f>
        <v>0</v>
      </c>
      <c r="D55" s="2411">
        <f t="shared" si="14"/>
        <v>0</v>
      </c>
      <c r="E55" s="2411">
        <f t="shared" si="14"/>
        <v>0</v>
      </c>
      <c r="F55" s="2411">
        <f t="shared" si="14"/>
        <v>0</v>
      </c>
      <c r="G55" s="2411">
        <f>IF(G53=0,0,G50/G53)</f>
        <v>0</v>
      </c>
      <c r="H55" s="2411">
        <f t="shared" ref="H55" si="15">IF(H53=0,0,H50/H53)</f>
        <v>0</v>
      </c>
      <c r="J55" s="1837"/>
    </row>
    <row r="56" spans="1:10" x14ac:dyDescent="0.2">
      <c r="A56" s="1839" t="s">
        <v>806</v>
      </c>
      <c r="B56" s="1475" t="s">
        <v>1055</v>
      </c>
      <c r="C56" s="2411">
        <f t="shared" ref="C56:F56" si="16">C50*1000/C52</f>
        <v>0</v>
      </c>
      <c r="D56" s="2411">
        <f t="shared" si="16"/>
        <v>0</v>
      </c>
      <c r="E56" s="2411">
        <f t="shared" si="16"/>
        <v>0</v>
      </c>
      <c r="F56" s="2411">
        <f t="shared" si="16"/>
        <v>0</v>
      </c>
      <c r="G56" s="2411">
        <f>G50*1000/G52</f>
        <v>0</v>
      </c>
      <c r="H56" s="2411">
        <f t="shared" ref="H56" si="17">H50*1000/H52</f>
        <v>0</v>
      </c>
      <c r="J56" s="1837"/>
    </row>
    <row r="57" spans="1:10" x14ac:dyDescent="0.2">
      <c r="C57" s="1473"/>
      <c r="D57" s="1473"/>
      <c r="E57" s="1473"/>
      <c r="F57" s="1473"/>
      <c r="G57" s="1473"/>
      <c r="H57" s="1473"/>
    </row>
    <row r="58" spans="1:10" x14ac:dyDescent="0.2">
      <c r="A58" s="1894" t="s">
        <v>467</v>
      </c>
      <c r="B58" s="1894"/>
      <c r="C58" s="2505"/>
      <c r="D58" s="2505"/>
      <c r="E58" s="1473"/>
      <c r="F58" s="1473"/>
      <c r="G58" s="1473"/>
      <c r="H58" s="1473"/>
    </row>
    <row r="59" spans="1:10" x14ac:dyDescent="0.2">
      <c r="A59" s="439" t="s">
        <v>1251</v>
      </c>
      <c r="B59" s="1894"/>
      <c r="C59" s="1894"/>
      <c r="D59" s="1894"/>
    </row>
    <row r="60" spans="1:10" x14ac:dyDescent="0.2">
      <c r="A60" s="439" t="s">
        <v>856</v>
      </c>
      <c r="B60" s="1894"/>
      <c r="C60" s="1894"/>
      <c r="D60" s="1894"/>
    </row>
    <row r="61" spans="1:10" x14ac:dyDescent="0.2">
      <c r="A61" s="439" t="s">
        <v>1042</v>
      </c>
      <c r="B61" s="1894"/>
      <c r="C61" s="1894"/>
      <c r="D61" s="1894"/>
    </row>
    <row r="62" spans="1:10" x14ac:dyDescent="0.2">
      <c r="A62" s="439" t="s">
        <v>858</v>
      </c>
      <c r="B62" s="1894"/>
      <c r="C62" s="1894"/>
      <c r="D62" s="1894"/>
    </row>
    <row r="63" spans="1:10" x14ac:dyDescent="0.2">
      <c r="A63" s="439" t="s">
        <v>1252</v>
      </c>
      <c r="B63" s="1894"/>
      <c r="C63" s="1894"/>
      <c r="D63" s="1894"/>
    </row>
    <row r="64" spans="1:10" x14ac:dyDescent="0.2">
      <c r="A64" s="2464"/>
    </row>
    <row r="70" spans="3:8" x14ac:dyDescent="0.2">
      <c r="C70" s="2416"/>
      <c r="D70" s="2416"/>
      <c r="E70" s="2416"/>
      <c r="F70" s="2416"/>
      <c r="G70" s="2416"/>
      <c r="H70" s="2416"/>
    </row>
    <row r="71" spans="3:8" x14ac:dyDescent="0.2">
      <c r="C71" s="2416"/>
      <c r="D71" s="2416"/>
      <c r="E71" s="2416"/>
      <c r="F71" s="2416"/>
      <c r="G71" s="2416"/>
      <c r="H71" s="2416"/>
    </row>
    <row r="72" spans="3:8" x14ac:dyDescent="0.2">
      <c r="C72" s="2416"/>
      <c r="D72" s="2416"/>
      <c r="E72" s="2416"/>
      <c r="F72" s="2416"/>
      <c r="G72" s="2416"/>
      <c r="H72" s="2416"/>
    </row>
    <row r="73" spans="3:8" x14ac:dyDescent="0.2">
      <c r="C73" s="2416"/>
      <c r="D73" s="2416"/>
      <c r="E73" s="2416"/>
      <c r="F73" s="2416"/>
      <c r="G73" s="2416"/>
      <c r="H73" s="2416"/>
    </row>
    <row r="74" spans="3:8" x14ac:dyDescent="0.2">
      <c r="C74" s="2416"/>
      <c r="D74" s="2416"/>
      <c r="E74" s="2416"/>
      <c r="F74" s="2416"/>
      <c r="G74" s="2416"/>
      <c r="H74" s="2416"/>
    </row>
    <row r="75" spans="3:8" x14ac:dyDescent="0.2">
      <c r="C75" s="2416"/>
      <c r="D75" s="2416"/>
      <c r="E75" s="2416"/>
      <c r="F75" s="2416"/>
      <c r="G75" s="2416"/>
      <c r="H75" s="2416"/>
    </row>
    <row r="76" spans="3:8" x14ac:dyDescent="0.2">
      <c r="C76" s="2416"/>
      <c r="D76" s="2416"/>
      <c r="E76" s="2416"/>
      <c r="F76" s="2416"/>
      <c r="G76" s="2416"/>
      <c r="H76" s="2416"/>
    </row>
    <row r="77" spans="3:8" x14ac:dyDescent="0.2">
      <c r="C77" s="2416"/>
      <c r="D77" s="2416"/>
      <c r="E77" s="2416"/>
      <c r="F77" s="2416"/>
      <c r="G77" s="2416"/>
      <c r="H77" s="2416"/>
    </row>
    <row r="78" spans="3:8" x14ac:dyDescent="0.2">
      <c r="C78" s="2416"/>
      <c r="D78" s="2416"/>
      <c r="E78" s="2416"/>
      <c r="F78" s="2416"/>
      <c r="G78" s="2416"/>
      <c r="H78" s="2416"/>
    </row>
    <row r="79" spans="3:8" x14ac:dyDescent="0.2">
      <c r="C79" s="2416"/>
      <c r="D79" s="2416"/>
      <c r="E79" s="2416"/>
      <c r="F79" s="2416"/>
      <c r="G79" s="2416"/>
      <c r="H79" s="2416"/>
    </row>
    <row r="80" spans="3:8" x14ac:dyDescent="0.2">
      <c r="C80" s="1487"/>
      <c r="D80" s="1487"/>
      <c r="E80" s="1487"/>
      <c r="F80" s="1487"/>
      <c r="G80" s="1487"/>
      <c r="H80" s="1487"/>
    </row>
    <row r="81" spans="3:8" x14ac:dyDescent="0.2">
      <c r="C81" s="1487"/>
      <c r="D81" s="1487"/>
      <c r="E81" s="1487"/>
      <c r="F81" s="1487"/>
      <c r="G81" s="1487"/>
      <c r="H81" s="1487"/>
    </row>
    <row r="82" spans="3:8" x14ac:dyDescent="0.2">
      <c r="C82" s="1487"/>
      <c r="D82" s="1487"/>
      <c r="E82" s="1487"/>
      <c r="F82" s="1487"/>
      <c r="G82" s="1487"/>
      <c r="H82" s="1487"/>
    </row>
    <row r="83" spans="3:8" x14ac:dyDescent="0.2">
      <c r="C83" s="1487"/>
      <c r="D83" s="1487"/>
      <c r="E83" s="1487"/>
      <c r="F83" s="1487"/>
      <c r="G83" s="1487"/>
      <c r="H83" s="1487"/>
    </row>
    <row r="84" spans="3:8" x14ac:dyDescent="0.2">
      <c r="C84" s="1487"/>
    </row>
  </sheetData>
  <dataValidations count="1">
    <dataValidation type="list" allowBlank="1" showInputMessage="1" showErrorMessage="1" sqref="B48" xr:uid="{00000000-0002-0000-2F00-000000000000}">
      <formula1>Currency</formula1>
    </dataValidation>
  </dataValidations>
  <pageMargins left="0.23" right="0.17" top="0.41" bottom="0.18" header="0.18" footer="0"/>
  <pageSetup paperSize="9" scale="52" orientation="portrait" r:id="rId1"/>
  <headerFooter alignWithMargins="0"/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2">
    <tabColor rgb="FF002060"/>
  </sheetPr>
  <dimension ref="A1:K99"/>
  <sheetViews>
    <sheetView showGridLines="0" view="pageBreakPreview" zoomScale="90" zoomScaleNormal="85" zoomScaleSheetLayoutView="90" workbookViewId="0"/>
  </sheetViews>
  <sheetFormatPr defaultColWidth="11" defaultRowHeight="12.6" x14ac:dyDescent="0.2"/>
  <cols>
    <col min="1" max="1" width="51.36328125" customWidth="1"/>
    <col min="2" max="2" width="10" customWidth="1"/>
    <col min="3" max="8" width="18.08984375" bestFit="1" customWidth="1"/>
    <col min="9" max="9" width="15.36328125" customWidth="1"/>
  </cols>
  <sheetData>
    <row r="1" spans="1:11" ht="19.8" x14ac:dyDescent="0.35">
      <c r="A1" s="2292" t="s">
        <v>1225</v>
      </c>
      <c r="B1" s="2292" t="str">
        <f>+A1</f>
        <v>SGPS 03</v>
      </c>
      <c r="D1" s="349"/>
    </row>
    <row r="2" spans="1:11" ht="18" thickBot="1" x14ac:dyDescent="0.35">
      <c r="A2" s="53"/>
      <c r="B2" s="53"/>
      <c r="D2" s="298"/>
      <c r="E2" s="298"/>
      <c r="F2" s="298"/>
      <c r="G2" s="298"/>
      <c r="H2" s="298"/>
      <c r="I2" s="298"/>
    </row>
    <row r="3" spans="1:11" x14ac:dyDescent="0.2">
      <c r="A3" s="46" t="s">
        <v>27</v>
      </c>
      <c r="B3" s="66" t="s">
        <v>36</v>
      </c>
      <c r="C3" s="1960">
        <f>[6]DispatchSchedule!F3</f>
        <v>45292</v>
      </c>
      <c r="D3" s="1960">
        <f>[6]DispatchSchedule!G3</f>
        <v>45323</v>
      </c>
      <c r="E3" s="1960">
        <f>[6]DispatchSchedule!H3</f>
        <v>45352</v>
      </c>
      <c r="F3" s="1960">
        <f>[6]DispatchSchedule!I3</f>
        <v>45383</v>
      </c>
      <c r="G3" s="1960">
        <f>[6]DispatchSchedule!J3</f>
        <v>45413</v>
      </c>
      <c r="H3" s="1961">
        <f>[6]DispatchSchedule!K3</f>
        <v>45444</v>
      </c>
      <c r="I3" s="1355"/>
      <c r="J3" s="1347"/>
      <c r="K3" s="415" t="s">
        <v>853</v>
      </c>
    </row>
    <row r="4" spans="1:11" ht="13.2" x14ac:dyDescent="0.25">
      <c r="A4" s="55" t="s">
        <v>136</v>
      </c>
      <c r="B4" s="61"/>
      <c r="C4" s="47"/>
      <c r="D4" s="47"/>
      <c r="E4" s="47"/>
      <c r="F4" s="47"/>
      <c r="G4" s="47"/>
      <c r="H4" s="48"/>
      <c r="I4" s="1959"/>
      <c r="J4" s="1348"/>
      <c r="K4" s="415" t="s">
        <v>854</v>
      </c>
    </row>
    <row r="5" spans="1:11" x14ac:dyDescent="0.2">
      <c r="A5" s="468" t="s">
        <v>1226</v>
      </c>
      <c r="B5" s="20"/>
      <c r="C5" s="2328"/>
      <c r="D5" s="2328"/>
      <c r="E5" s="2328"/>
      <c r="F5" s="2328"/>
      <c r="G5" s="2328">
        <f t="shared" ref="G5:H5" si="0">248/12</f>
        <v>20.666666666666668</v>
      </c>
      <c r="H5" s="2328">
        <f t="shared" si="0"/>
        <v>20.666666666666668</v>
      </c>
      <c r="I5" s="20"/>
      <c r="J5" s="1345"/>
      <c r="K5" s="415" t="s">
        <v>855</v>
      </c>
    </row>
    <row r="6" spans="1:11" x14ac:dyDescent="0.2">
      <c r="A6" s="6"/>
      <c r="B6" s="30"/>
      <c r="C6" s="8"/>
      <c r="D6" s="8"/>
      <c r="E6" s="8"/>
      <c r="F6" s="8"/>
      <c r="G6" s="8"/>
      <c r="H6" s="9"/>
    </row>
    <row r="7" spans="1:11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J7" s="2"/>
      <c r="K7" s="415"/>
    </row>
    <row r="8" spans="1:11" ht="13.2" x14ac:dyDescent="0.25">
      <c r="A8" s="56" t="s">
        <v>1209</v>
      </c>
      <c r="B8" s="62"/>
      <c r="C8" s="8"/>
      <c r="D8" s="8"/>
      <c r="E8" s="8"/>
      <c r="F8" s="8"/>
      <c r="G8" s="8"/>
      <c r="H8" s="9"/>
      <c r="J8" s="2"/>
      <c r="K8" s="415"/>
    </row>
    <row r="9" spans="1:11" ht="13.2" x14ac:dyDescent="0.25">
      <c r="A9" s="57" t="s">
        <v>99</v>
      </c>
      <c r="B9" s="63"/>
      <c r="C9" s="12" t="s">
        <v>97</v>
      </c>
      <c r="D9" s="8"/>
      <c r="E9" s="8"/>
      <c r="F9" s="8"/>
      <c r="G9" s="8"/>
      <c r="H9" s="9"/>
    </row>
    <row r="10" spans="1:11" x14ac:dyDescent="0.2">
      <c r="A10" s="6" t="s">
        <v>1192</v>
      </c>
      <c r="B10" s="20" t="s">
        <v>88</v>
      </c>
      <c r="C10" s="1376"/>
      <c r="D10" s="1376"/>
      <c r="E10" s="1376"/>
      <c r="F10" s="1376"/>
      <c r="G10" s="1376">
        <v>2.0859999999999999</v>
      </c>
      <c r="H10" s="2298">
        <v>2.0859999999999999</v>
      </c>
      <c r="I10" s="2"/>
    </row>
    <row r="11" spans="1:11" x14ac:dyDescent="0.2">
      <c r="A11" s="6"/>
      <c r="B11" s="30"/>
      <c r="C11" s="12"/>
      <c r="D11" s="12"/>
      <c r="E11" s="12"/>
      <c r="F11" s="12"/>
      <c r="G11" s="12"/>
      <c r="H11" s="15"/>
      <c r="I11" s="2"/>
    </row>
    <row r="12" spans="1:11" ht="13.2" x14ac:dyDescent="0.25">
      <c r="A12" s="56" t="s">
        <v>1193</v>
      </c>
      <c r="B12" s="62"/>
      <c r="C12" s="8"/>
      <c r="D12" s="8"/>
      <c r="E12" s="8"/>
      <c r="F12" s="8"/>
      <c r="G12" s="8"/>
      <c r="H12" s="9"/>
    </row>
    <row r="13" spans="1:11" ht="13.2" x14ac:dyDescent="0.25">
      <c r="A13" s="57" t="s">
        <v>99</v>
      </c>
      <c r="C13" s="12"/>
      <c r="D13" s="8"/>
      <c r="E13" s="8"/>
      <c r="F13" s="8"/>
      <c r="G13" s="8"/>
      <c r="H13" s="9"/>
    </row>
    <row r="14" spans="1:11" x14ac:dyDescent="0.2">
      <c r="A14" s="6" t="s">
        <v>1194</v>
      </c>
      <c r="B14" s="20" t="s">
        <v>88</v>
      </c>
      <c r="C14" s="1376"/>
      <c r="D14" s="1376"/>
      <c r="E14" s="1376"/>
      <c r="F14" s="1376"/>
      <c r="G14" s="1376">
        <v>2.6240000000000001</v>
      </c>
      <c r="H14" s="2298">
        <v>2.6240000000000001</v>
      </c>
      <c r="I14" s="2"/>
    </row>
    <row r="15" spans="1:11" x14ac:dyDescent="0.2">
      <c r="A15" s="6"/>
      <c r="B15" s="30"/>
      <c r="C15" s="8"/>
      <c r="D15" s="8"/>
      <c r="E15" s="8"/>
      <c r="F15" s="8"/>
      <c r="G15" s="8"/>
      <c r="H15" s="9"/>
    </row>
    <row r="16" spans="1:11" ht="13.2" x14ac:dyDescent="0.25">
      <c r="A16" s="55" t="s">
        <v>24</v>
      </c>
      <c r="B16" s="61"/>
      <c r="C16" s="47"/>
      <c r="D16" s="47"/>
      <c r="E16" s="47"/>
      <c r="F16" s="47"/>
      <c r="G16" s="47"/>
      <c r="H16" s="48"/>
    </row>
    <row r="17" spans="1:9" x14ac:dyDescent="0.2">
      <c r="A17" s="50" t="s">
        <v>89</v>
      </c>
      <c r="B17" s="8"/>
      <c r="C17" s="12" t="s">
        <v>114</v>
      </c>
      <c r="D17" s="12"/>
      <c r="E17" s="12"/>
      <c r="F17" s="12"/>
      <c r="G17" s="12"/>
      <c r="H17" s="15"/>
      <c r="I17" s="2"/>
    </row>
    <row r="18" spans="1:9" x14ac:dyDescent="0.2">
      <c r="A18" s="468" t="s">
        <v>100</v>
      </c>
      <c r="B18" s="8"/>
      <c r="C18" s="12" t="s">
        <v>103</v>
      </c>
      <c r="D18" s="12"/>
      <c r="E18" s="12"/>
      <c r="F18" s="12"/>
      <c r="G18" s="12"/>
      <c r="H18" s="15"/>
      <c r="I18" s="2"/>
    </row>
    <row r="19" spans="1:9" x14ac:dyDescent="0.2">
      <c r="A19" s="468" t="s">
        <v>99</v>
      </c>
      <c r="B19" s="8"/>
      <c r="C19" s="12" t="s">
        <v>94</v>
      </c>
      <c r="D19" s="12"/>
      <c r="E19" s="12"/>
      <c r="F19" s="12"/>
      <c r="G19" s="12"/>
      <c r="H19" s="15"/>
      <c r="I19" s="2"/>
    </row>
    <row r="20" spans="1:9" x14ac:dyDescent="0.2">
      <c r="A20" s="6" t="s">
        <v>144</v>
      </c>
      <c r="B20" s="20" t="str">
        <f>C18&amp;"/kWh"</f>
        <v>kg/kWh</v>
      </c>
      <c r="C20" s="1349"/>
      <c r="D20" s="1349"/>
      <c r="E20" s="1349"/>
      <c r="F20" s="1349"/>
      <c r="G20" s="1349">
        <v>0.22700000000000001</v>
      </c>
      <c r="H20" s="1962">
        <v>0.22700000000000001</v>
      </c>
      <c r="I20" s="2"/>
    </row>
    <row r="21" spans="1:9" x14ac:dyDescent="0.2">
      <c r="A21" s="468" t="s">
        <v>834</v>
      </c>
      <c r="B21" s="470" t="str">
        <f>C19&amp;"/"&amp;"litre"</f>
        <v>SLR/litre</v>
      </c>
      <c r="C21" s="1351"/>
      <c r="D21" s="1351"/>
      <c r="E21" s="1351"/>
      <c r="F21" s="1351"/>
      <c r="G21" s="1351">
        <f>Inputs!G49</f>
        <v>0</v>
      </c>
      <c r="H21" s="1351">
        <f>Inputs!H49</f>
        <v>0</v>
      </c>
      <c r="I21" s="1954"/>
    </row>
    <row r="22" spans="1:9" x14ac:dyDescent="0.2">
      <c r="A22" s="190" t="s">
        <v>532</v>
      </c>
      <c r="B22" s="191" t="str">
        <f>C19&amp;"/"&amp;C18</f>
        <v>SLR/kg</v>
      </c>
      <c r="C22" s="1350"/>
      <c r="D22" s="1350"/>
      <c r="E22" s="1350"/>
      <c r="F22" s="1350"/>
      <c r="G22" s="2329">
        <f>Inputs!G46</f>
        <v>0</v>
      </c>
      <c r="H22" s="2329">
        <f>Inputs!H46</f>
        <v>0</v>
      </c>
      <c r="I22" s="456"/>
    </row>
    <row r="23" spans="1:9" x14ac:dyDescent="0.2">
      <c r="A23" s="6" t="s">
        <v>25</v>
      </c>
      <c r="C23" s="125"/>
      <c r="D23" s="125"/>
      <c r="E23" s="125"/>
      <c r="F23" s="125"/>
      <c r="G23" s="125">
        <v>1.018768258740719</v>
      </c>
      <c r="H23" s="1964">
        <v>1.018768258740719</v>
      </c>
      <c r="I23" s="416"/>
    </row>
    <row r="24" spans="1:9" x14ac:dyDescent="0.2">
      <c r="A24" s="6" t="s">
        <v>144</v>
      </c>
      <c r="B24" s="20" t="str">
        <f>+C19&amp;"/kWh"</f>
        <v>SLR/kWh</v>
      </c>
      <c r="C24" s="1940"/>
      <c r="D24" s="1940"/>
      <c r="E24" s="1940"/>
      <c r="F24" s="1940"/>
      <c r="G24" s="1940">
        <v>58.92</v>
      </c>
      <c r="H24" s="1940">
        <v>58.92</v>
      </c>
      <c r="I24" s="447"/>
    </row>
    <row r="25" spans="1:9" x14ac:dyDescent="0.2">
      <c r="A25" s="6"/>
      <c r="B25" s="30"/>
      <c r="C25" s="12"/>
      <c r="D25" s="8"/>
      <c r="E25" s="8"/>
      <c r="F25" s="8"/>
      <c r="G25" s="8"/>
      <c r="H25" s="9"/>
    </row>
    <row r="26" spans="1:9" x14ac:dyDescent="0.2">
      <c r="A26" s="50" t="s">
        <v>90</v>
      </c>
      <c r="B26" s="8"/>
      <c r="C26" s="12" t="s">
        <v>118</v>
      </c>
      <c r="D26" s="12"/>
      <c r="E26" s="12"/>
      <c r="F26" s="12"/>
      <c r="G26" s="12"/>
      <c r="H26" s="15"/>
      <c r="I26" s="2"/>
    </row>
    <row r="27" spans="1:9" x14ac:dyDescent="0.2">
      <c r="A27" s="468" t="s">
        <v>100</v>
      </c>
      <c r="B27" s="8"/>
      <c r="C27" s="12" t="s">
        <v>103</v>
      </c>
      <c r="D27" s="12"/>
      <c r="E27" s="12"/>
      <c r="F27" s="12"/>
      <c r="G27" s="12"/>
      <c r="H27" s="15"/>
      <c r="I27" s="2"/>
    </row>
    <row r="28" spans="1:9" x14ac:dyDescent="0.2">
      <c r="A28" s="468" t="s">
        <v>99</v>
      </c>
      <c r="B28" s="8"/>
      <c r="C28" s="12" t="s">
        <v>94</v>
      </c>
      <c r="D28" s="12"/>
      <c r="E28" s="12"/>
      <c r="F28" s="12"/>
      <c r="G28" s="12"/>
      <c r="H28" s="15"/>
      <c r="I28" s="2"/>
    </row>
    <row r="29" spans="1:9" x14ac:dyDescent="0.2">
      <c r="A29" s="6"/>
      <c r="B29" s="20"/>
      <c r="C29" s="1349"/>
      <c r="D29" s="1349"/>
      <c r="E29" s="1349"/>
      <c r="F29" s="1349"/>
      <c r="G29" s="1349"/>
      <c r="H29" s="1962"/>
      <c r="I29" s="2"/>
    </row>
    <row r="30" spans="1:9" x14ac:dyDescent="0.2">
      <c r="A30" s="190"/>
      <c r="B30" s="191"/>
      <c r="C30" s="1375"/>
      <c r="D30" s="1375"/>
      <c r="E30" s="1375"/>
      <c r="F30" s="1375"/>
      <c r="G30" s="1375"/>
      <c r="H30" s="2300"/>
      <c r="I30" s="2"/>
    </row>
    <row r="31" spans="1:9" x14ac:dyDescent="0.2">
      <c r="A31" s="6" t="s">
        <v>131</v>
      </c>
      <c r="B31" s="20" t="str">
        <f>+C28&amp;"/kWh"</f>
        <v>SLR/kWh</v>
      </c>
      <c r="C31" s="12"/>
      <c r="D31" s="12"/>
      <c r="E31" s="12"/>
      <c r="F31" s="12"/>
      <c r="G31" s="12">
        <v>2.4</v>
      </c>
      <c r="H31" s="15">
        <v>2.4</v>
      </c>
      <c r="I31" s="2"/>
    </row>
    <row r="32" spans="1:9" x14ac:dyDescent="0.2">
      <c r="A32" s="6"/>
      <c r="B32" s="30"/>
      <c r="C32" s="8"/>
      <c r="D32" s="8"/>
      <c r="E32" s="8"/>
      <c r="F32" s="8"/>
      <c r="G32" s="8"/>
      <c r="H32" s="9"/>
    </row>
    <row r="33" spans="1:9" x14ac:dyDescent="0.2">
      <c r="A33" s="50" t="s">
        <v>92</v>
      </c>
      <c r="B33" s="8"/>
      <c r="C33" s="12" t="s">
        <v>82</v>
      </c>
      <c r="D33" s="12"/>
      <c r="E33" s="12"/>
      <c r="F33" s="12"/>
      <c r="G33" s="12"/>
      <c r="H33" s="15"/>
      <c r="I33" s="416"/>
    </row>
    <row r="34" spans="1:9" x14ac:dyDescent="0.2">
      <c r="A34" s="468" t="s">
        <v>100</v>
      </c>
      <c r="B34" s="8"/>
      <c r="C34" s="12" t="s">
        <v>102</v>
      </c>
      <c r="D34" s="12"/>
      <c r="E34" s="12"/>
      <c r="F34" s="12"/>
      <c r="G34" s="12"/>
      <c r="H34" s="15"/>
      <c r="I34" s="2"/>
    </row>
    <row r="35" spans="1:9" x14ac:dyDescent="0.2">
      <c r="A35" s="468" t="s">
        <v>99</v>
      </c>
      <c r="B35" s="8"/>
      <c r="C35" s="12" t="s">
        <v>94</v>
      </c>
      <c r="D35" s="12"/>
      <c r="E35" s="12"/>
      <c r="F35" s="12"/>
      <c r="G35" s="12"/>
      <c r="H35" s="15"/>
      <c r="I35" s="2"/>
    </row>
    <row r="36" spans="1:9" x14ac:dyDescent="0.2">
      <c r="A36" s="6" t="s">
        <v>141</v>
      </c>
      <c r="B36" s="20" t="str">
        <f>C35&amp;"/kWh"</f>
        <v>SLR/kWh</v>
      </c>
      <c r="C36" s="68"/>
      <c r="D36" s="68"/>
      <c r="E36" s="68"/>
      <c r="F36" s="68"/>
      <c r="G36" s="68">
        <v>0</v>
      </c>
      <c r="H36" s="68">
        <v>0</v>
      </c>
      <c r="I36" s="2"/>
    </row>
    <row r="37" spans="1:9" x14ac:dyDescent="0.2">
      <c r="A37" s="6"/>
      <c r="B37" s="30"/>
      <c r="C37" s="8"/>
      <c r="D37" s="8"/>
      <c r="E37" s="8"/>
      <c r="F37" s="8"/>
      <c r="G37" s="8"/>
      <c r="H37" s="9"/>
    </row>
    <row r="38" spans="1:9" ht="13.2" x14ac:dyDescent="0.25">
      <c r="A38" s="58" t="s">
        <v>132</v>
      </c>
      <c r="B38" s="64"/>
      <c r="C38" s="8"/>
      <c r="D38" s="8"/>
      <c r="E38" s="8"/>
      <c r="F38" s="8"/>
      <c r="G38" s="8"/>
      <c r="H38" s="9"/>
    </row>
    <row r="39" spans="1:9" x14ac:dyDescent="0.2">
      <c r="A39" s="468" t="s">
        <v>99</v>
      </c>
      <c r="B39" s="8"/>
      <c r="C39" s="12" t="s">
        <v>94</v>
      </c>
      <c r="D39" s="12"/>
      <c r="E39" s="12"/>
      <c r="F39" s="12"/>
      <c r="G39" s="12"/>
      <c r="H39" s="15"/>
      <c r="I39" s="2"/>
    </row>
    <row r="40" spans="1:9" x14ac:dyDescent="0.2">
      <c r="A40" s="468" t="s">
        <v>507</v>
      </c>
      <c r="B40" s="20" t="str">
        <f>C39&amp;"/kWh"</f>
        <v>SLR/kWh</v>
      </c>
      <c r="C40" s="1296"/>
      <c r="D40" s="1296"/>
      <c r="E40" s="1296"/>
      <c r="F40" s="1296"/>
      <c r="G40" s="1296">
        <v>1.798</v>
      </c>
      <c r="H40" s="1296">
        <v>1.798</v>
      </c>
      <c r="I40" s="1955"/>
    </row>
    <row r="41" spans="1:9" x14ac:dyDescent="0.2">
      <c r="A41" s="468" t="s">
        <v>1195</v>
      </c>
      <c r="B41" s="1295"/>
      <c r="C41" s="476"/>
      <c r="D41" s="476"/>
      <c r="E41" s="476"/>
      <c r="F41" s="476"/>
      <c r="G41" s="476"/>
      <c r="H41" s="478"/>
      <c r="I41" s="415"/>
    </row>
    <row r="42" spans="1:9" ht="12.75" customHeight="1" x14ac:dyDescent="0.3">
      <c r="A42" s="1300"/>
      <c r="B42" s="1301"/>
      <c r="C42" s="476"/>
      <c r="D42" s="476"/>
      <c r="E42" s="476"/>
      <c r="F42" s="476"/>
      <c r="G42" s="476"/>
      <c r="H42" s="478"/>
      <c r="I42" s="415"/>
    </row>
    <row r="43" spans="1:9" ht="12.75" customHeight="1" x14ac:dyDescent="0.25">
      <c r="A43" s="1302" t="s">
        <v>483</v>
      </c>
      <c r="B43" s="1303"/>
      <c r="C43" s="484"/>
      <c r="D43" s="484"/>
      <c r="E43" s="484"/>
      <c r="F43" s="484"/>
      <c r="G43" s="1297"/>
      <c r="H43" s="1965"/>
      <c r="I43" s="415"/>
    </row>
    <row r="44" spans="1:9" ht="12.75" customHeight="1" x14ac:dyDescent="0.25">
      <c r="A44" s="1966" t="s">
        <v>1196</v>
      </c>
      <c r="B44" s="63" t="s">
        <v>1197</v>
      </c>
      <c r="C44" s="1349"/>
      <c r="D44" s="1349"/>
      <c r="E44" s="1349"/>
      <c r="F44" s="1349"/>
      <c r="G44" s="1349">
        <v>3580</v>
      </c>
      <c r="H44" s="1349">
        <v>3580</v>
      </c>
      <c r="I44" s="2"/>
    </row>
    <row r="45" spans="1:9" ht="12.75" customHeight="1" x14ac:dyDescent="0.25">
      <c r="A45" s="260" t="s">
        <v>1198</v>
      </c>
      <c r="B45" s="63" t="s">
        <v>1199</v>
      </c>
      <c r="C45" s="1352"/>
      <c r="D45" s="1352"/>
      <c r="E45" s="1352"/>
      <c r="F45" s="1352"/>
      <c r="G45" s="1352">
        <v>550</v>
      </c>
      <c r="H45" s="1352">
        <v>550</v>
      </c>
      <c r="I45" s="1954"/>
    </row>
    <row r="46" spans="1:9" ht="12.75" customHeight="1" x14ac:dyDescent="0.25">
      <c r="A46" s="260" t="s">
        <v>418</v>
      </c>
      <c r="B46" s="63" t="s">
        <v>1200</v>
      </c>
      <c r="C46" s="49"/>
      <c r="D46" s="49"/>
      <c r="E46" s="49"/>
      <c r="F46" s="49"/>
      <c r="G46" s="49">
        <v>351</v>
      </c>
      <c r="H46" s="49">
        <v>351</v>
      </c>
      <c r="I46" s="2"/>
    </row>
    <row r="47" spans="1:9" ht="12.75" customHeight="1" x14ac:dyDescent="0.2">
      <c r="A47" s="260" t="s">
        <v>784</v>
      </c>
      <c r="B47" s="1298" t="s">
        <v>385</v>
      </c>
      <c r="C47" s="49"/>
      <c r="D47" s="49"/>
      <c r="E47" s="49"/>
      <c r="F47" s="49"/>
      <c r="G47" s="49">
        <v>30</v>
      </c>
      <c r="H47" s="1963">
        <v>30</v>
      </c>
      <c r="I47" s="2"/>
    </row>
    <row r="48" spans="1:9" ht="12.75" customHeight="1" x14ac:dyDescent="0.2">
      <c r="A48" s="260" t="s">
        <v>490</v>
      </c>
      <c r="B48" s="1298" t="s">
        <v>491</v>
      </c>
      <c r="C48" s="1304"/>
      <c r="D48" s="1304"/>
      <c r="E48" s="1304"/>
      <c r="F48" s="1304"/>
      <c r="G48" s="1304">
        <f t="shared" ref="G48:H48" si="1">(G44*G47+G45*G46*G47)/1000000</f>
        <v>5.8989000000000003</v>
      </c>
      <c r="H48" s="1304">
        <f t="shared" si="1"/>
        <v>5.8989000000000003</v>
      </c>
      <c r="I48" s="1354"/>
    </row>
    <row r="49" spans="1:11" ht="12.75" customHeight="1" x14ac:dyDescent="0.2">
      <c r="A49" s="260"/>
      <c r="B49" s="1299"/>
      <c r="C49" s="31"/>
      <c r="D49" s="31"/>
      <c r="E49" s="31"/>
      <c r="F49" s="31"/>
      <c r="G49" s="31"/>
      <c r="H49" s="1967"/>
      <c r="I49" s="4"/>
    </row>
    <row r="50" spans="1:11" ht="12.75" customHeight="1" x14ac:dyDescent="0.25">
      <c r="A50" s="55" t="s">
        <v>189</v>
      </c>
      <c r="B50" s="61"/>
      <c r="C50" s="47"/>
      <c r="D50" s="47"/>
      <c r="E50" s="47"/>
      <c r="F50" s="47"/>
      <c r="G50" s="47"/>
      <c r="H50" s="48"/>
    </row>
    <row r="51" spans="1:11" ht="12.75" customHeight="1" x14ac:dyDescent="0.25">
      <c r="A51" s="57" t="s">
        <v>190</v>
      </c>
      <c r="B51" s="20" t="s">
        <v>60</v>
      </c>
      <c r="C51" s="49"/>
      <c r="D51" s="49"/>
      <c r="E51" s="49"/>
      <c r="F51" s="49"/>
      <c r="G51" s="49">
        <v>0</v>
      </c>
      <c r="H51" s="1963">
        <v>0</v>
      </c>
      <c r="I51" s="2"/>
    </row>
    <row r="52" spans="1:11" ht="12.75" customHeight="1" x14ac:dyDescent="0.25">
      <c r="A52" s="57" t="s">
        <v>191</v>
      </c>
      <c r="B52" s="20" t="s">
        <v>60</v>
      </c>
      <c r="C52" s="49"/>
      <c r="D52" s="49"/>
      <c r="E52" s="49"/>
      <c r="F52" s="49"/>
      <c r="G52" s="49">
        <v>1</v>
      </c>
      <c r="H52" s="49">
        <v>1</v>
      </c>
      <c r="I52" s="2"/>
    </row>
    <row r="53" spans="1:11" ht="12.75" customHeight="1" x14ac:dyDescent="0.25">
      <c r="A53" s="57"/>
      <c r="B53" s="20"/>
      <c r="C53" s="12"/>
      <c r="D53" s="12"/>
      <c r="E53" s="12"/>
      <c r="F53" s="12"/>
      <c r="G53" s="12"/>
      <c r="H53" s="198"/>
      <c r="I53" s="2"/>
    </row>
    <row r="54" spans="1:11" ht="12.75" customHeight="1" x14ac:dyDescent="0.25">
      <c r="A54" s="55" t="s">
        <v>145</v>
      </c>
      <c r="B54" s="90" t="s">
        <v>94</v>
      </c>
      <c r="C54" s="1356"/>
      <c r="D54" s="1356"/>
      <c r="E54" s="1356"/>
      <c r="F54" s="1356"/>
      <c r="G54" s="1356">
        <v>1</v>
      </c>
      <c r="H54" s="1356">
        <v>1</v>
      </c>
      <c r="I54" s="2"/>
    </row>
    <row r="55" spans="1:11" ht="13.2" thickBot="1" x14ac:dyDescent="0.25">
      <c r="A55" s="6"/>
      <c r="B55" s="30"/>
      <c r="C55" s="8"/>
      <c r="D55" s="8"/>
      <c r="E55" s="8"/>
      <c r="F55" s="8"/>
      <c r="G55" s="8"/>
      <c r="H55" s="9"/>
    </row>
    <row r="56" spans="1:11" x14ac:dyDescent="0.2">
      <c r="A56" s="1292" t="s">
        <v>148</v>
      </c>
      <c r="B56" s="1293" t="s">
        <v>60</v>
      </c>
      <c r="C56" s="1975"/>
      <c r="D56" s="1975"/>
      <c r="E56" s="1975"/>
      <c r="F56" s="1975"/>
      <c r="G56" s="1975">
        <f t="shared" ref="G56:H56" si="2">(G10*G5*G54)+(G14*G60*G54)</f>
        <v>43.110666666666667</v>
      </c>
      <c r="H56" s="1975">
        <f t="shared" si="2"/>
        <v>43.110666666666667</v>
      </c>
      <c r="I56" s="1956"/>
      <c r="K56" s="70"/>
    </row>
    <row r="57" spans="1:11" x14ac:dyDescent="0.2">
      <c r="A57" s="468" t="s">
        <v>149</v>
      </c>
      <c r="B57" s="470" t="s">
        <v>60</v>
      </c>
      <c r="C57" s="1976"/>
      <c r="D57" s="1976"/>
      <c r="E57" s="1976"/>
      <c r="F57" s="1976"/>
      <c r="G57" s="1976">
        <f>((G24+G31+G36+(G40*G54))*G60)+(G52+G51)+G48</f>
        <v>6.8989000000000003</v>
      </c>
      <c r="H57" s="1977">
        <f t="shared" ref="H57" si="3">((H24+H31+H36+(H40*H54))*H60)+(H52+H51)+H48</f>
        <v>6.8989000000000003</v>
      </c>
      <c r="I57" s="1957"/>
      <c r="K57" s="70"/>
    </row>
    <row r="58" spans="1:11" x14ac:dyDescent="0.2">
      <c r="A58" s="468"/>
      <c r="B58" s="470"/>
      <c r="C58" s="1353"/>
      <c r="D58" s="1353"/>
      <c r="E58" s="1353"/>
      <c r="F58" s="1353"/>
      <c r="G58" s="1353"/>
      <c r="H58" s="1968"/>
      <c r="I58" s="1958"/>
    </row>
    <row r="59" spans="1:11" x14ac:dyDescent="0.2">
      <c r="A59" s="468" t="s">
        <v>150</v>
      </c>
      <c r="B59" s="470" t="s">
        <v>39</v>
      </c>
      <c r="C59" s="1294"/>
      <c r="D59" s="1294"/>
      <c r="E59" s="1294"/>
      <c r="F59" s="1294"/>
      <c r="G59" s="2506">
        <v>33.25</v>
      </c>
      <c r="H59" s="2506">
        <v>33.25</v>
      </c>
      <c r="I59" s="1958"/>
    </row>
    <row r="60" spans="1:11" x14ac:dyDescent="0.2">
      <c r="A60" s="468" t="s">
        <v>134</v>
      </c>
      <c r="B60" s="456" t="s">
        <v>56</v>
      </c>
      <c r="C60" s="1352">
        <f>DispatchSchedule!F42</f>
        <v>0</v>
      </c>
      <c r="D60" s="1352">
        <f>DispatchSchedule!G42</f>
        <v>0</v>
      </c>
      <c r="E60" s="1352">
        <f>DispatchSchedule!H42</f>
        <v>0</v>
      </c>
      <c r="F60" s="1352">
        <f>DispatchSchedule!I42</f>
        <v>0</v>
      </c>
      <c r="G60" s="1352">
        <f>DispatchSchedule!J42</f>
        <v>0</v>
      </c>
      <c r="H60" s="1352">
        <f>DispatchSchedule!K42</f>
        <v>0</v>
      </c>
      <c r="I60" s="563"/>
    </row>
    <row r="61" spans="1:11" x14ac:dyDescent="0.2">
      <c r="A61" s="468"/>
      <c r="B61" s="456"/>
      <c r="C61" s="702"/>
      <c r="D61" s="702"/>
      <c r="E61" s="702"/>
      <c r="F61" s="702"/>
      <c r="G61" s="702"/>
      <c r="H61" s="703"/>
      <c r="I61" s="563"/>
    </row>
    <row r="62" spans="1:11" ht="13.2" x14ac:dyDescent="0.25">
      <c r="A62" s="1750" t="s">
        <v>135</v>
      </c>
      <c r="B62" s="1751" t="s">
        <v>88</v>
      </c>
      <c r="C62" s="1752"/>
      <c r="D62" s="1752"/>
      <c r="E62" s="1752"/>
      <c r="F62" s="1752"/>
      <c r="G62" s="1752">
        <f t="shared" ref="G62:H62" si="4">IF(G60=0,0,(G57/G60))</f>
        <v>0</v>
      </c>
      <c r="H62" s="1969">
        <f t="shared" si="4"/>
        <v>0</v>
      </c>
      <c r="I62" s="277"/>
    </row>
    <row r="63" spans="1:11" x14ac:dyDescent="0.2">
      <c r="A63" s="465" t="s">
        <v>806</v>
      </c>
      <c r="B63" s="1749" t="s">
        <v>88</v>
      </c>
      <c r="C63" s="1753"/>
      <c r="D63" s="1753"/>
      <c r="E63" s="1753"/>
      <c r="F63" s="1753"/>
      <c r="G63" s="1753" t="e">
        <f t="shared" ref="G63:H63" si="5">G56/G60</f>
        <v>#DIV/0!</v>
      </c>
      <c r="H63" s="1970" t="e">
        <f t="shared" si="5"/>
        <v>#DIV/0!</v>
      </c>
      <c r="I63" s="1354"/>
    </row>
    <row r="64" spans="1:11" ht="13.2" thickBot="1" x14ac:dyDescent="0.25">
      <c r="A64" s="1971" t="s">
        <v>806</v>
      </c>
      <c r="B64" s="1972" t="s">
        <v>1055</v>
      </c>
      <c r="C64" s="1973"/>
      <c r="D64" s="1973"/>
      <c r="E64" s="1973"/>
      <c r="F64" s="1973"/>
      <c r="G64" s="1973">
        <f t="shared" ref="G64:H64" si="6">G56*1000/G59</f>
        <v>1296.5614035087719</v>
      </c>
      <c r="H64" s="1974">
        <f t="shared" si="6"/>
        <v>1296.5614035087719</v>
      </c>
      <c r="I64" s="1354"/>
    </row>
    <row r="65" spans="1:9" x14ac:dyDescent="0.2">
      <c r="C65" s="1354"/>
      <c r="D65" s="1354"/>
      <c r="E65" s="1354"/>
      <c r="F65" s="1354"/>
      <c r="G65" s="1354"/>
      <c r="H65" s="1354"/>
      <c r="I65" s="1354"/>
    </row>
    <row r="66" spans="1:9" x14ac:dyDescent="0.2">
      <c r="A66" s="415" t="s">
        <v>467</v>
      </c>
    </row>
    <row r="67" spans="1:9" x14ac:dyDescent="0.2">
      <c r="A67" s="439" t="s">
        <v>1251</v>
      </c>
      <c r="B67" s="183"/>
      <c r="C67" s="2332"/>
      <c r="D67" s="2332"/>
      <c r="E67" s="1346"/>
      <c r="F67" s="1346"/>
      <c r="G67" s="1346"/>
      <c r="H67" s="1346"/>
      <c r="I67" s="1346"/>
    </row>
    <row r="68" spans="1:9" x14ac:dyDescent="0.2">
      <c r="A68" s="439" t="s">
        <v>856</v>
      </c>
      <c r="B68" s="183"/>
      <c r="C68" s="183"/>
      <c r="D68" s="183"/>
    </row>
    <row r="69" spans="1:9" x14ac:dyDescent="0.2">
      <c r="A69" s="439" t="s">
        <v>1042</v>
      </c>
      <c r="B69" s="183"/>
      <c r="C69" s="868"/>
      <c r="D69" s="868"/>
      <c r="E69" s="241"/>
      <c r="F69" s="241"/>
      <c r="G69" s="241"/>
      <c r="H69" s="241"/>
      <c r="I69" s="241"/>
    </row>
    <row r="70" spans="1:9" x14ac:dyDescent="0.2">
      <c r="A70" s="439" t="s">
        <v>858</v>
      </c>
      <c r="B70" s="183"/>
      <c r="C70" s="183"/>
      <c r="D70" s="2335"/>
    </row>
    <row r="71" spans="1:9" x14ac:dyDescent="0.2">
      <c r="A71" s="439" t="s">
        <v>1252</v>
      </c>
      <c r="B71" s="183"/>
      <c r="C71" s="183"/>
      <c r="D71" s="2335"/>
    </row>
    <row r="72" spans="1:9" x14ac:dyDescent="0.2">
      <c r="A72" s="439"/>
      <c r="B72" s="415"/>
      <c r="C72" s="1346"/>
      <c r="D72" s="1346"/>
      <c r="E72" s="1346"/>
      <c r="F72" s="1346"/>
      <c r="G72" s="1346"/>
      <c r="H72" s="1346"/>
      <c r="I72" s="1346"/>
    </row>
    <row r="73" spans="1:9" x14ac:dyDescent="0.2">
      <c r="A73" s="439"/>
      <c r="B73" s="415"/>
      <c r="C73" s="415"/>
      <c r="D73" s="415"/>
    </row>
    <row r="74" spans="1:9" x14ac:dyDescent="0.2">
      <c r="A74" s="439"/>
      <c r="B74" s="415"/>
      <c r="C74" s="2333"/>
      <c r="D74" s="2333"/>
      <c r="E74" s="241"/>
      <c r="F74" s="241"/>
      <c r="G74" s="241"/>
      <c r="H74" s="241"/>
      <c r="I74" s="241"/>
    </row>
    <row r="75" spans="1:9" x14ac:dyDescent="0.2">
      <c r="A75" s="439"/>
      <c r="B75" s="415"/>
      <c r="C75" s="415"/>
      <c r="D75" s="2334"/>
    </row>
    <row r="76" spans="1:9" x14ac:dyDescent="0.2">
      <c r="A76" s="439"/>
      <c r="B76" s="415"/>
      <c r="C76" s="415"/>
      <c r="D76" s="2334"/>
    </row>
    <row r="77" spans="1:9" x14ac:dyDescent="0.2">
      <c r="C77" s="165"/>
      <c r="D77" s="165"/>
      <c r="E77" s="165"/>
      <c r="F77" s="165"/>
      <c r="G77" s="165"/>
      <c r="H77" s="165"/>
      <c r="I77" s="165"/>
    </row>
    <row r="78" spans="1:9" x14ac:dyDescent="0.2">
      <c r="D78" s="895"/>
    </row>
    <row r="79" spans="1:9" x14ac:dyDescent="0.2">
      <c r="C79" s="165"/>
      <c r="D79" s="165"/>
      <c r="E79" s="165"/>
      <c r="F79" s="165"/>
      <c r="G79" s="165"/>
      <c r="H79" s="165"/>
      <c r="I79" s="165"/>
    </row>
    <row r="80" spans="1:9" x14ac:dyDescent="0.2">
      <c r="C80" s="449"/>
      <c r="D80" s="449"/>
      <c r="E80" s="449"/>
      <c r="F80" s="449"/>
      <c r="G80" s="449"/>
      <c r="H80" s="449"/>
      <c r="I80" s="449"/>
    </row>
    <row r="81" spans="3:9" x14ac:dyDescent="0.2">
      <c r="C81" s="449"/>
      <c r="D81" s="449"/>
      <c r="E81" s="449"/>
      <c r="F81" s="449"/>
      <c r="G81" s="449"/>
      <c r="H81" s="449"/>
      <c r="I81" s="449"/>
    </row>
    <row r="82" spans="3:9" x14ac:dyDescent="0.2">
      <c r="C82" s="449"/>
      <c r="D82" s="449"/>
      <c r="E82" s="449"/>
      <c r="F82" s="449"/>
      <c r="G82" s="449"/>
      <c r="H82" s="449"/>
      <c r="I82" s="449"/>
    </row>
    <row r="83" spans="3:9" x14ac:dyDescent="0.2">
      <c r="C83" s="449"/>
      <c r="D83" s="449"/>
      <c r="E83" s="449"/>
      <c r="F83" s="449"/>
      <c r="G83" s="449"/>
      <c r="H83" s="449"/>
      <c r="I83" s="449"/>
    </row>
    <row r="84" spans="3:9" x14ac:dyDescent="0.2">
      <c r="C84" s="449"/>
      <c r="D84" s="449"/>
      <c r="E84" s="449"/>
      <c r="F84" s="449"/>
      <c r="G84" s="449"/>
      <c r="H84" s="449"/>
      <c r="I84" s="449"/>
    </row>
    <row r="85" spans="3:9" x14ac:dyDescent="0.2">
      <c r="C85" s="449"/>
      <c r="D85" s="449"/>
      <c r="E85" s="449"/>
      <c r="F85" s="449"/>
      <c r="G85" s="449"/>
      <c r="H85" s="449"/>
      <c r="I85" s="449"/>
    </row>
    <row r="86" spans="3:9" x14ac:dyDescent="0.2">
      <c r="C86" s="449"/>
      <c r="D86" s="449"/>
      <c r="E86" s="449"/>
      <c r="F86" s="449"/>
      <c r="G86" s="449"/>
      <c r="H86" s="449"/>
      <c r="I86" s="449"/>
    </row>
    <row r="87" spans="3:9" x14ac:dyDescent="0.2">
      <c r="C87" s="449"/>
      <c r="D87" s="449"/>
      <c r="E87" s="449"/>
      <c r="F87" s="449"/>
      <c r="G87" s="449"/>
      <c r="H87" s="449"/>
      <c r="I87" s="449"/>
    </row>
    <row r="89" spans="3:9" x14ac:dyDescent="0.2">
      <c r="C89" s="70"/>
      <c r="D89" s="70"/>
      <c r="E89" s="70"/>
      <c r="F89" s="70"/>
      <c r="G89" s="70"/>
      <c r="H89" s="70"/>
    </row>
    <row r="90" spans="3:9" x14ac:dyDescent="0.2">
      <c r="C90" s="70"/>
      <c r="D90" s="70"/>
      <c r="E90" s="70"/>
      <c r="F90" s="70"/>
      <c r="G90" s="70"/>
      <c r="H90" s="70"/>
    </row>
    <row r="91" spans="3:9" x14ac:dyDescent="0.2">
      <c r="C91" s="70"/>
      <c r="D91" s="70"/>
      <c r="E91" s="70"/>
      <c r="F91" s="70"/>
      <c r="G91" s="70"/>
      <c r="H91" s="70"/>
    </row>
    <row r="92" spans="3:9" x14ac:dyDescent="0.2">
      <c r="C92" s="70"/>
      <c r="D92" s="70"/>
      <c r="E92" s="70"/>
      <c r="F92" s="70"/>
      <c r="G92" s="70"/>
      <c r="H92" s="70"/>
      <c r="I92" s="542"/>
    </row>
    <row r="93" spans="3:9" x14ac:dyDescent="0.2">
      <c r="C93" s="70"/>
      <c r="D93" s="70"/>
      <c r="E93" s="70"/>
      <c r="F93" s="70"/>
      <c r="G93" s="70"/>
      <c r="H93" s="70"/>
    </row>
    <row r="94" spans="3:9" x14ac:dyDescent="0.2">
      <c r="C94" s="70"/>
      <c r="D94" s="70"/>
      <c r="E94" s="70"/>
      <c r="F94" s="70"/>
      <c r="G94" s="70"/>
      <c r="H94" s="70"/>
    </row>
    <row r="95" spans="3:9" x14ac:dyDescent="0.2">
      <c r="C95" s="70"/>
      <c r="D95" s="70"/>
      <c r="E95" s="70"/>
      <c r="F95" s="70"/>
      <c r="G95" s="70"/>
      <c r="H95" s="70"/>
    </row>
    <row r="96" spans="3:9" x14ac:dyDescent="0.2">
      <c r="C96" s="70"/>
      <c r="D96" s="70"/>
      <c r="E96" s="70"/>
      <c r="F96" s="70"/>
      <c r="G96" s="70"/>
      <c r="H96" s="70"/>
    </row>
    <row r="97" spans="3:8" x14ac:dyDescent="0.2">
      <c r="C97" s="449"/>
      <c r="D97" s="449"/>
      <c r="E97" s="449"/>
      <c r="F97" s="449"/>
      <c r="G97" s="449"/>
      <c r="H97" s="449"/>
    </row>
    <row r="98" spans="3:8" x14ac:dyDescent="0.2">
      <c r="C98" s="449"/>
      <c r="D98" s="449"/>
      <c r="E98" s="449"/>
      <c r="F98" s="449"/>
      <c r="G98" s="449"/>
      <c r="H98" s="449"/>
    </row>
    <row r="99" spans="3:8" x14ac:dyDescent="0.2">
      <c r="C99" s="449"/>
      <c r="D99" s="449"/>
      <c r="E99" s="449"/>
      <c r="F99" s="449"/>
      <c r="G99" s="449"/>
      <c r="H99" s="449"/>
    </row>
  </sheetData>
  <dataValidations disablePrompts="1" count="3">
    <dataValidation type="list" allowBlank="1" showInputMessage="1" showErrorMessage="1" sqref="C13 C9 C28 C19 C35 B54 C39" xr:uid="{00000000-0002-0000-3000-000000000000}">
      <formula1>Currency</formula1>
    </dataValidation>
    <dataValidation type="list" allowBlank="1" showInputMessage="1" showErrorMessage="1" sqref="C17 C26 C33" xr:uid="{00000000-0002-0000-3000-000001000000}">
      <formula1>Combustible</formula1>
    </dataValidation>
    <dataValidation type="list" allowBlank="1" showInputMessage="1" showErrorMessage="1" sqref="C18 C27 C34" xr:uid="{00000000-0002-0000-3000-000002000000}">
      <formula1>Units</formula1>
    </dataValidation>
  </dataValidations>
  <pageMargins left="0.23" right="0.17" top="0.41" bottom="0.18" header="0.18" footer="0"/>
  <pageSetup paperSize="9" scale="4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6"/>
  <dimension ref="A1:BC165"/>
  <sheetViews>
    <sheetView showGridLines="0" view="pageBreakPreview" topLeftCell="A19" zoomScaleNormal="100" zoomScaleSheetLayoutView="100" workbookViewId="0">
      <pane xSplit="2" ySplit="3" topLeftCell="C73" activePane="bottomRight" state="frozen"/>
      <selection activeCell="A19" sqref="A19"/>
      <selection pane="topRight" activeCell="C19" sqref="C19"/>
      <selection pane="bottomLeft" activeCell="A22" sqref="A22"/>
      <selection pane="bottomRight" activeCell="I77" sqref="I77"/>
    </sheetView>
  </sheetViews>
  <sheetFormatPr defaultColWidth="11" defaultRowHeight="12.6" x14ac:dyDescent="0.2"/>
  <cols>
    <col min="1" max="1" width="26.36328125" customWidth="1"/>
    <col min="2" max="2" width="11.6328125" bestFit="1" customWidth="1"/>
    <col min="3" max="3" width="16.453125" hidden="1" customWidth="1"/>
    <col min="4" max="5" width="20" hidden="1" customWidth="1"/>
    <col min="6" max="8" width="20" bestFit="1" customWidth="1"/>
    <col min="9" max="9" width="20.453125" bestFit="1" customWidth="1"/>
    <col min="10" max="10" width="34.7265625" bestFit="1" customWidth="1"/>
    <col min="11" max="11" width="11.90625" customWidth="1"/>
    <col min="12" max="12" width="7.08984375" customWidth="1"/>
    <col min="13" max="13" width="12" customWidth="1"/>
    <col min="14" max="14" width="13.90625" customWidth="1"/>
    <col min="15" max="15" width="12.08984375" customWidth="1"/>
    <col min="16" max="16" width="13.6328125" customWidth="1"/>
    <col min="17" max="17" width="13.7265625" customWidth="1"/>
    <col min="18" max="18" width="13.90625" style="1801" bestFit="1" customWidth="1"/>
    <col min="19" max="21" width="11.08984375" style="1801" bestFit="1" customWidth="1"/>
    <col min="22" max="22" width="17.36328125" style="1801" customWidth="1"/>
    <col min="23" max="23" width="11.08984375" style="1801" bestFit="1" customWidth="1"/>
    <col min="28" max="28" width="18.26953125" customWidth="1"/>
    <col min="34" max="34" width="18.7265625" customWidth="1"/>
  </cols>
  <sheetData>
    <row r="1" spans="1:42" s="27" customFormat="1" ht="16.2" x14ac:dyDescent="0.3">
      <c r="A1" s="3" t="s">
        <v>174</v>
      </c>
      <c r="R1" s="1800"/>
      <c r="S1" s="1800"/>
      <c r="T1" s="1800"/>
      <c r="U1" s="1800"/>
      <c r="V1" s="1800"/>
      <c r="W1" s="1800"/>
    </row>
    <row r="2" spans="1:42" ht="22.2" x14ac:dyDescent="0.35">
      <c r="F2" s="943"/>
      <c r="G2" s="943"/>
    </row>
    <row r="3" spans="1:42" ht="16.2" x14ac:dyDescent="0.3">
      <c r="A3" s="1797"/>
      <c r="C3" s="241"/>
      <c r="D3" s="241"/>
      <c r="E3" s="241"/>
      <c r="F3" s="241"/>
      <c r="G3" s="241"/>
      <c r="H3" s="241"/>
      <c r="R3" s="1802"/>
      <c r="S3" s="1802"/>
      <c r="T3" s="1802"/>
      <c r="U3" s="1802"/>
      <c r="V3" s="1802"/>
      <c r="W3" s="1802"/>
    </row>
    <row r="4" spans="1:42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  <c r="M4" s="2931"/>
      <c r="N4" s="2931"/>
      <c r="O4" s="2931"/>
    </row>
    <row r="5" spans="1:42" ht="13.2" thickBot="1" x14ac:dyDescent="0.25">
      <c r="A5" s="26"/>
      <c r="B5" s="23" t="s">
        <v>36</v>
      </c>
      <c r="C5" s="425">
        <f>DispatchSchedule!F3</f>
        <v>46023</v>
      </c>
      <c r="D5" s="425">
        <f>DispatchSchedule!G3</f>
        <v>46054</v>
      </c>
      <c r="E5" s="425">
        <f>DispatchSchedule!H3</f>
        <v>46082</v>
      </c>
      <c r="F5" s="425">
        <f>DispatchSchedule!I3</f>
        <v>46113</v>
      </c>
      <c r="G5" s="425">
        <f>DispatchSchedule!J3</f>
        <v>46143</v>
      </c>
      <c r="H5" s="425">
        <f>DispatchSchedule!K3</f>
        <v>46174</v>
      </c>
      <c r="J5" s="103"/>
      <c r="K5" s="103"/>
      <c r="L5" s="103"/>
      <c r="M5" s="103"/>
      <c r="N5" s="44"/>
      <c r="O5" s="104"/>
    </row>
    <row r="6" spans="1:42" s="185" customFormat="1" ht="13.2" thickBot="1" x14ac:dyDescent="0.25">
      <c r="A6" s="1762" t="s">
        <v>177</v>
      </c>
      <c r="B6" s="1763" t="s">
        <v>88</v>
      </c>
      <c r="C6" s="1764" t="e">
        <f>(C22*C23+C24*C25+C26*C27+C28*C29+C34*C35+C30*C31+C32*C33+C38*C39+C40*C41+C36*C37+C42*C43+C44*C45+C46*C47+C48*C49+C50*C51+C52*C53+C54*C55+C56*C57+C58*C59+C60*C61+C62*C63+C64*C65+C66*C67)/C70</f>
        <v>#DIV/0!</v>
      </c>
      <c r="D6" s="1764" t="e">
        <f t="shared" ref="D6:H6" si="0">(D22*D23+D24*D25+D26*D27+D28*D29+D34*D35+D30*D31+D32*D33+D38*D39+D40*D41+D36*D37+D42*D43+D44*D45+D46*D47+D48*D49+D50*D51+D52*D53+D54*D55+D56*D57+D58*D59+D60*D61+D62*D63+D64*D65+D66*D67)/D70</f>
        <v>#DIV/0!</v>
      </c>
      <c r="E6" s="1764" t="e">
        <f t="shared" si="0"/>
        <v>#DIV/0!</v>
      </c>
      <c r="F6" s="1764">
        <f t="shared" si="0"/>
        <v>27.328951411646724</v>
      </c>
      <c r="G6" s="1764">
        <f>(G22*G23+G24*G25+G26*G27+G28*G29+G34*G35+G30*G31+G32*G33+G38*G39+G40*G41+G36*G37+G42*G43+G44*G45+G46*G47+G48*G49+G50*G51+G52*G53+G54*G55+G56*G57+G58*G59+G60*G61+G62*G63+G64*G65+G66*G67)/G70</f>
        <v>21.660291168761947</v>
      </c>
      <c r="H6" s="1764">
        <f t="shared" si="0"/>
        <v>22.442829411047715</v>
      </c>
      <c r="I6" s="1765" t="e">
        <f>AVERAGE(C6:H6)</f>
        <v>#DIV/0!</v>
      </c>
      <c r="J6" s="1766"/>
      <c r="K6" s="1766"/>
      <c r="L6" s="1766"/>
      <c r="M6" s="1766"/>
      <c r="N6" s="1767"/>
      <c r="O6" s="1767"/>
      <c r="R6" s="1803"/>
      <c r="S6" s="1803"/>
      <c r="T6" s="1803"/>
      <c r="U6" s="1803"/>
      <c r="V6" s="1803"/>
      <c r="W6" s="1803"/>
    </row>
    <row r="7" spans="1:42" ht="13.2" thickBot="1" x14ac:dyDescent="0.25"/>
    <row r="8" spans="1:42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6"/>
      <c r="L8" s="2946"/>
      <c r="M8" s="2946"/>
      <c r="N8" s="2947"/>
      <c r="P8" s="2931" t="s">
        <v>609</v>
      </c>
      <c r="Q8" s="2932"/>
      <c r="R8" s="2932"/>
      <c r="S8" s="2932"/>
      <c r="T8" s="2932"/>
      <c r="V8" s="2931" t="s">
        <v>610</v>
      </c>
      <c r="W8" s="2932"/>
      <c r="X8" s="2932"/>
      <c r="Y8" s="2932"/>
      <c r="Z8" s="2932"/>
      <c r="AB8" s="2931" t="s">
        <v>611</v>
      </c>
      <c r="AC8" s="2932"/>
      <c r="AD8" s="2932"/>
      <c r="AE8" s="2932"/>
      <c r="AF8" s="2932"/>
      <c r="AH8" s="2931" t="s">
        <v>612</v>
      </c>
      <c r="AI8" s="2932"/>
      <c r="AJ8" s="2932"/>
      <c r="AK8" s="2932"/>
      <c r="AL8" s="2932"/>
    </row>
    <row r="9" spans="1:42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1195" t="s">
        <v>185</v>
      </c>
      <c r="K9" s="1198"/>
      <c r="L9" s="1198"/>
      <c r="M9" s="1198"/>
      <c r="N9" s="1198" t="s">
        <v>183</v>
      </c>
      <c r="P9" s="1198" t="s">
        <v>181</v>
      </c>
      <c r="Q9" s="1198" t="s">
        <v>182</v>
      </c>
      <c r="R9" s="1804" t="s">
        <v>186</v>
      </c>
      <c r="S9" s="1804" t="s">
        <v>185</v>
      </c>
      <c r="T9" s="1804" t="s">
        <v>183</v>
      </c>
      <c r="V9" s="1804" t="s">
        <v>181</v>
      </c>
      <c r="W9" s="1804" t="s">
        <v>182</v>
      </c>
      <c r="X9" s="1198" t="s">
        <v>186</v>
      </c>
      <c r="Y9" s="1198" t="s">
        <v>185</v>
      </c>
      <c r="Z9" s="1198" t="s">
        <v>183</v>
      </c>
      <c r="AB9" s="1198" t="s">
        <v>181</v>
      </c>
      <c r="AC9" s="1198" t="s">
        <v>182</v>
      </c>
      <c r="AD9" s="1198" t="s">
        <v>186</v>
      </c>
      <c r="AE9" s="1198" t="s">
        <v>185</v>
      </c>
      <c r="AF9" s="1198" t="s">
        <v>183</v>
      </c>
      <c r="AH9" s="1198" t="s">
        <v>181</v>
      </c>
      <c r="AI9" s="1198" t="s">
        <v>182</v>
      </c>
      <c r="AJ9" s="1198" t="s">
        <v>186</v>
      </c>
      <c r="AK9" s="1198" t="s">
        <v>185</v>
      </c>
      <c r="AL9" s="1198" t="s">
        <v>183</v>
      </c>
    </row>
    <row r="10" spans="1:42" x14ac:dyDescent="0.2">
      <c r="A10" s="352" t="s">
        <v>20</v>
      </c>
      <c r="B10" s="581">
        <f>+C70*0.58</f>
        <v>0</v>
      </c>
      <c r="C10" s="579">
        <v>1</v>
      </c>
      <c r="D10" s="1044">
        <f>C10*C17</f>
        <v>1.0310341272296113</v>
      </c>
      <c r="E10" s="1045" t="e">
        <f>$C$6*D10</f>
        <v>#DIV/0!</v>
      </c>
      <c r="F10" s="322"/>
      <c r="G10" s="352" t="s">
        <v>20</v>
      </c>
      <c r="H10" s="581">
        <f>+D70*0.58</f>
        <v>0</v>
      </c>
      <c r="I10" s="579">
        <v>1</v>
      </c>
      <c r="J10" s="1196">
        <f>I10*I17</f>
        <v>1.0310341272296111</v>
      </c>
      <c r="K10" s="1203"/>
      <c r="L10" s="1203"/>
      <c r="M10" s="1203"/>
      <c r="N10" s="1199" t="e">
        <f>$D$6*J10</f>
        <v>#DIV/0!</v>
      </c>
      <c r="P10" s="1200" t="s">
        <v>20</v>
      </c>
      <c r="Q10" s="1201">
        <f>+E70*0.58</f>
        <v>0</v>
      </c>
      <c r="R10" s="579">
        <v>1</v>
      </c>
      <c r="S10" s="1196">
        <f>R10*R17</f>
        <v>1.0310341272296113</v>
      </c>
      <c r="T10" s="1806" t="e">
        <f>$E$6*S10</f>
        <v>#DIV/0!</v>
      </c>
      <c r="V10" s="1807" t="s">
        <v>20</v>
      </c>
      <c r="W10" s="1201">
        <f>+F70*0.58</f>
        <v>873.01812535780016</v>
      </c>
      <c r="X10" s="1202">
        <v>1</v>
      </c>
      <c r="Y10" s="1203">
        <f>X10*X17</f>
        <v>1.0310341272296113</v>
      </c>
      <c r="Z10" s="1199">
        <f>$F$6*Y10</f>
        <v>28.177081566807633</v>
      </c>
      <c r="AB10" s="1200" t="s">
        <v>20</v>
      </c>
      <c r="AC10" s="1201">
        <f>+G70*0.58</f>
        <v>935.52044460399986</v>
      </c>
      <c r="AD10" s="1202">
        <v>1</v>
      </c>
      <c r="AE10" s="1203">
        <f>AD10*AD17</f>
        <v>1.0310341272296113</v>
      </c>
      <c r="AF10" s="1199">
        <f>$G$6*AE10</f>
        <v>22.33249940072373</v>
      </c>
      <c r="AH10" s="1200" t="s">
        <v>20</v>
      </c>
      <c r="AI10" s="1201">
        <f>+H70*0.58</f>
        <v>914.28526257999988</v>
      </c>
      <c r="AJ10" s="1202">
        <v>1</v>
      </c>
      <c r="AK10" s="1203">
        <f>AJ10*AJ17</f>
        <v>1.0310341272296111</v>
      </c>
      <c r="AL10" s="1199">
        <f>$H$6*AK10</f>
        <v>23.139323034382627</v>
      </c>
      <c r="AN10" s="241">
        <f>+B10+H10+Q10+W10+AC10+AI10</f>
        <v>2722.8238325417997</v>
      </c>
      <c r="AP10" s="241"/>
    </row>
    <row r="11" spans="1:42" x14ac:dyDescent="0.2">
      <c r="A11" s="352" t="s">
        <v>21</v>
      </c>
      <c r="B11" s="581">
        <f>+C70*0.197</f>
        <v>0</v>
      </c>
      <c r="C11" s="579">
        <v>1.3</v>
      </c>
      <c r="D11" s="1044">
        <f>C11*C17</f>
        <v>1.3403443653984948</v>
      </c>
      <c r="E11" s="1045" t="e">
        <f>$C$6*D11</f>
        <v>#DIV/0!</v>
      </c>
      <c r="F11" s="322"/>
      <c r="G11" s="352" t="s">
        <v>21</v>
      </c>
      <c r="H11" s="581">
        <f>+D70*0.197</f>
        <v>0</v>
      </c>
      <c r="I11" s="579">
        <v>1.3</v>
      </c>
      <c r="J11" s="1196">
        <f>I11*I17</f>
        <v>1.3403443653984946</v>
      </c>
      <c r="K11" s="1203"/>
      <c r="L11" s="1203"/>
      <c r="M11" s="1203"/>
      <c r="N11" s="1199" t="e">
        <f>$D$6*J11</f>
        <v>#DIV/0!</v>
      </c>
      <c r="P11" s="1200" t="s">
        <v>21</v>
      </c>
      <c r="Q11" s="1201">
        <f>+E70*0.197</f>
        <v>0</v>
      </c>
      <c r="R11" s="579">
        <v>1.3</v>
      </c>
      <c r="S11" s="1196">
        <f>R11*R17</f>
        <v>1.3403443653984948</v>
      </c>
      <c r="T11" s="1806" t="e">
        <f>$E$6*S11</f>
        <v>#DIV/0!</v>
      </c>
      <c r="V11" s="1807" t="s">
        <v>21</v>
      </c>
      <c r="W11" s="1201">
        <f>+F70*0.197</f>
        <v>296.52512188877006</v>
      </c>
      <c r="X11" s="1202">
        <v>1.3</v>
      </c>
      <c r="Y11" s="1203">
        <f>X11*X17</f>
        <v>1.3403443653984948</v>
      </c>
      <c r="Z11" s="1199">
        <f>$F$6*Y11</f>
        <v>36.630206036849927</v>
      </c>
      <c r="AB11" s="1200" t="s">
        <v>21</v>
      </c>
      <c r="AC11" s="1201">
        <f>+G70*0.197</f>
        <v>317.75435790860001</v>
      </c>
      <c r="AD11" s="1202">
        <v>1.3</v>
      </c>
      <c r="AE11" s="1203">
        <f>AD11*AD17</f>
        <v>1.3403443653984948</v>
      </c>
      <c r="AF11" s="1199">
        <f>$G$6*AE11</f>
        <v>29.032249220940852</v>
      </c>
      <c r="AH11" s="1200" t="s">
        <v>21</v>
      </c>
      <c r="AI11" s="1201">
        <f>+H70*0.197</f>
        <v>310.54171849699998</v>
      </c>
      <c r="AJ11" s="1202">
        <v>1.3</v>
      </c>
      <c r="AK11" s="1203">
        <f>AJ11*AJ17</f>
        <v>1.3403443653984946</v>
      </c>
      <c r="AL11" s="1199">
        <f>$H$6*AK11</f>
        <v>30.08111994469742</v>
      </c>
      <c r="AN11" s="241">
        <f>+B11+H11+Q11+W11+AC11+AI11</f>
        <v>924.82119829437011</v>
      </c>
    </row>
    <row r="12" spans="1:42" ht="13.2" thickBot="1" x14ac:dyDescent="0.25">
      <c r="A12" s="353" t="s">
        <v>22</v>
      </c>
      <c r="B12" s="582">
        <f>+C70*0.223</f>
        <v>0</v>
      </c>
      <c r="C12" s="580">
        <v>0.6</v>
      </c>
      <c r="D12" s="1046">
        <f>C12*C17</f>
        <v>0.61862047633776673</v>
      </c>
      <c r="E12" s="1047" t="e">
        <f>$C$6*D12</f>
        <v>#DIV/0!</v>
      </c>
      <c r="F12" s="322"/>
      <c r="G12" s="353" t="s">
        <v>22</v>
      </c>
      <c r="H12" s="582">
        <f>+D70*0.223</f>
        <v>0</v>
      </c>
      <c r="I12" s="580">
        <v>0.6</v>
      </c>
      <c r="J12" s="1197">
        <f>I12*I17</f>
        <v>0.61862047633776662</v>
      </c>
      <c r="K12" s="1203"/>
      <c r="L12" s="1203"/>
      <c r="M12" s="1203"/>
      <c r="N12" s="1199" t="e">
        <f>$D$6*J12</f>
        <v>#DIV/0!</v>
      </c>
      <c r="P12" s="1200" t="s">
        <v>22</v>
      </c>
      <c r="Q12" s="1201">
        <f>+E70*0.223</f>
        <v>0</v>
      </c>
      <c r="R12" s="580">
        <v>0.6</v>
      </c>
      <c r="S12" s="1197">
        <f>R12*R17</f>
        <v>0.61862047633776673</v>
      </c>
      <c r="T12" s="1806" t="e">
        <f>$E$6*S12</f>
        <v>#DIV/0!</v>
      </c>
      <c r="V12" s="1807" t="s">
        <v>22</v>
      </c>
      <c r="W12" s="1201">
        <f>+F70*0.223</f>
        <v>335.66041716343005</v>
      </c>
      <c r="X12" s="1202">
        <v>0.6</v>
      </c>
      <c r="Y12" s="1203">
        <f>X12*X17</f>
        <v>0.61862047633776673</v>
      </c>
      <c r="Z12" s="1199">
        <f>$F$6*Y12</f>
        <v>16.906248940084581</v>
      </c>
      <c r="AB12" s="1200" t="s">
        <v>22</v>
      </c>
      <c r="AC12" s="1201">
        <f>+G70*0.223</f>
        <v>359.69148128739999</v>
      </c>
      <c r="AD12" s="1202">
        <v>0.6</v>
      </c>
      <c r="AE12" s="1203">
        <f>AD12*AD17</f>
        <v>0.61862047633776673</v>
      </c>
      <c r="AF12" s="1199">
        <f>$G$6*AE12</f>
        <v>13.399499640434238</v>
      </c>
      <c r="AH12" s="1200" t="s">
        <v>22</v>
      </c>
      <c r="AI12" s="1201">
        <f>+H70*0.223</f>
        <v>351.52691992299998</v>
      </c>
      <c r="AJ12" s="1202">
        <v>0.6</v>
      </c>
      <c r="AK12" s="1203">
        <f>AJ12*AJ17</f>
        <v>0.61862047633776662</v>
      </c>
      <c r="AL12" s="1199">
        <f>$H$6*AK12</f>
        <v>13.883593820629576</v>
      </c>
      <c r="AN12" s="241">
        <f>+B12+H12+Q12+W12+AC12+AI12</f>
        <v>1046.87881837383</v>
      </c>
    </row>
    <row r="13" spans="1:42" ht="13.2" thickBot="1" x14ac:dyDescent="0.25">
      <c r="A13" s="99"/>
      <c r="B13" s="399"/>
      <c r="C13" s="85"/>
      <c r="D13" s="241"/>
      <c r="E13" s="100"/>
      <c r="F13" s="402"/>
      <c r="G13" s="99"/>
      <c r="H13" s="85"/>
      <c r="I13" s="85"/>
      <c r="P13" s="84"/>
      <c r="Q13" s="85"/>
      <c r="R13" s="1805"/>
      <c r="V13" s="1808"/>
      <c r="W13" s="1805"/>
      <c r="X13" s="85"/>
      <c r="AB13" s="84"/>
      <c r="AC13" s="85"/>
      <c r="AD13" s="85"/>
      <c r="AH13" s="84"/>
      <c r="AI13" s="85"/>
      <c r="AJ13" s="85"/>
    </row>
    <row r="14" spans="1:42" x14ac:dyDescent="0.2">
      <c r="A14" s="1870" t="s">
        <v>179</v>
      </c>
      <c r="B14" s="532" t="s">
        <v>60</v>
      </c>
      <c r="C14" s="533" t="e">
        <f>C6*SUM(B10:B12)</f>
        <v>#DIV/0!</v>
      </c>
      <c r="E14" s="100"/>
      <c r="F14" s="402"/>
      <c r="G14" s="531" t="s">
        <v>179</v>
      </c>
      <c r="H14" s="532" t="s">
        <v>60</v>
      </c>
      <c r="I14" s="533" t="e">
        <f>D6*SUM(H10:H12)</f>
        <v>#DIV/0!</v>
      </c>
      <c r="P14" s="1" t="s">
        <v>179</v>
      </c>
      <c r="Q14" s="85" t="s">
        <v>60</v>
      </c>
      <c r="R14" s="1805" t="e">
        <f>E6*SUM(Q10:Q12)</f>
        <v>#DIV/0!</v>
      </c>
      <c r="V14" s="1809" t="s">
        <v>179</v>
      </c>
      <c r="W14" s="1805" t="s">
        <v>60</v>
      </c>
      <c r="X14" s="85">
        <f>F6*SUM(W10:W12)</f>
        <v>41135.637809293497</v>
      </c>
      <c r="AB14" s="1" t="s">
        <v>179</v>
      </c>
      <c r="AC14" s="85" t="s">
        <v>60</v>
      </c>
      <c r="AD14" s="85">
        <f>G6*SUM(AC10:AC12)</f>
        <v>34937.31935250391</v>
      </c>
      <c r="AH14" s="1" t="s">
        <v>179</v>
      </c>
      <c r="AI14" s="85" t="s">
        <v>60</v>
      </c>
      <c r="AJ14" s="85">
        <f>H6*SUM(AI10:AI12)</f>
        <v>35377.841691582595</v>
      </c>
    </row>
    <row r="15" spans="1:42" x14ac:dyDescent="0.2">
      <c r="A15" s="534" t="s">
        <v>180</v>
      </c>
      <c r="B15" s="85" t="s">
        <v>60</v>
      </c>
      <c r="C15" s="535" t="e">
        <f>SUMPRODUCT(B10:B12,E10:E12)</f>
        <v>#DIV/0!</v>
      </c>
      <c r="E15" s="100"/>
      <c r="G15" s="534" t="s">
        <v>180</v>
      </c>
      <c r="H15" s="85" t="s">
        <v>60</v>
      </c>
      <c r="I15" s="535" t="e">
        <f>SUMPRODUCT(H10:H12,N10:N12)</f>
        <v>#DIV/0!</v>
      </c>
      <c r="P15" s="1" t="s">
        <v>180</v>
      </c>
      <c r="Q15" s="85" t="s">
        <v>60</v>
      </c>
      <c r="R15" s="1805" t="e">
        <f>SUMPRODUCT(Q10:Q12,T10:T12)</f>
        <v>#DIV/0!</v>
      </c>
      <c r="V15" s="1809" t="s">
        <v>180</v>
      </c>
      <c r="W15" s="1805" t="s">
        <v>60</v>
      </c>
      <c r="X15" s="85">
        <f>SUMPRODUCT(W10:W12,Z10:Z12)</f>
        <v>41135.637809293505</v>
      </c>
      <c r="AB15" s="1" t="s">
        <v>180</v>
      </c>
      <c r="AC15" s="85" t="s">
        <v>60</v>
      </c>
      <c r="AD15" s="85">
        <f>SUMPRODUCT(AC10:AC12,AF10:AF12)</f>
        <v>34937.319352503917</v>
      </c>
      <c r="AH15" s="1" t="s">
        <v>180</v>
      </c>
      <c r="AI15" s="85" t="s">
        <v>60</v>
      </c>
      <c r="AJ15" s="85">
        <f>SUMPRODUCT(AI10:AI12,AL10:AL12)</f>
        <v>35377.841691582587</v>
      </c>
    </row>
    <row r="16" spans="1:42" x14ac:dyDescent="0.2">
      <c r="A16" s="534" t="s">
        <v>184</v>
      </c>
      <c r="B16" s="85" t="s">
        <v>60</v>
      </c>
      <c r="C16" s="535" t="e">
        <f>C14-C15</f>
        <v>#DIV/0!</v>
      </c>
      <c r="E16" s="100"/>
      <c r="G16" s="534" t="s">
        <v>184</v>
      </c>
      <c r="H16" s="85" t="s">
        <v>60</v>
      </c>
      <c r="I16" s="535" t="e">
        <f>I14-I15</f>
        <v>#DIV/0!</v>
      </c>
      <c r="P16" s="1" t="s">
        <v>184</v>
      </c>
      <c r="Q16" s="85" t="s">
        <v>60</v>
      </c>
      <c r="R16" s="1805" t="e">
        <f>R14-R15</f>
        <v>#DIV/0!</v>
      </c>
      <c r="V16" s="1809" t="s">
        <v>184</v>
      </c>
      <c r="W16" s="1805" t="s">
        <v>60</v>
      </c>
      <c r="X16" s="85">
        <f>X14-X15</f>
        <v>0</v>
      </c>
      <c r="AB16" s="1" t="s">
        <v>184</v>
      </c>
      <c r="AC16" s="85" t="s">
        <v>60</v>
      </c>
      <c r="AD16" s="85">
        <f>AD14-AD15</f>
        <v>0</v>
      </c>
      <c r="AH16" s="1" t="s">
        <v>184</v>
      </c>
      <c r="AI16" s="85" t="s">
        <v>60</v>
      </c>
      <c r="AJ16" s="85">
        <f>AJ14-AJ15</f>
        <v>0</v>
      </c>
    </row>
    <row r="17" spans="1:55" ht="13.2" thickBot="1" x14ac:dyDescent="0.25">
      <c r="A17" s="536" t="s">
        <v>187</v>
      </c>
      <c r="B17" s="537" t="s">
        <v>188</v>
      </c>
      <c r="C17" s="538">
        <v>1.0310341272296113</v>
      </c>
      <c r="D17" s="101"/>
      <c r="E17" s="102"/>
      <c r="G17" s="536" t="s">
        <v>187</v>
      </c>
      <c r="H17" s="537" t="s">
        <v>188</v>
      </c>
      <c r="I17" s="538">
        <v>1.0310341272296111</v>
      </c>
      <c r="J17" s="101"/>
      <c r="P17" s="1" t="s">
        <v>187</v>
      </c>
      <c r="Q17" s="85" t="s">
        <v>188</v>
      </c>
      <c r="R17" s="1805">
        <v>1.0310341272296113</v>
      </c>
      <c r="V17" s="1809" t="s">
        <v>187</v>
      </c>
      <c r="W17" s="1805" t="s">
        <v>188</v>
      </c>
      <c r="X17" s="85">
        <v>1.0310341272296113</v>
      </c>
      <c r="AB17" s="1" t="s">
        <v>187</v>
      </c>
      <c r="AC17" s="85" t="s">
        <v>188</v>
      </c>
      <c r="AD17" s="85">
        <v>1.0310341272296113</v>
      </c>
      <c r="AH17" s="1" t="s">
        <v>187</v>
      </c>
      <c r="AI17" s="85" t="s">
        <v>188</v>
      </c>
      <c r="AJ17" s="85">
        <v>1.0310341272296111</v>
      </c>
    </row>
    <row r="18" spans="1:55" ht="13.2" thickTop="1" x14ac:dyDescent="0.2">
      <c r="A18" s="84"/>
      <c r="B18" s="85"/>
      <c r="C18" s="85"/>
    </row>
    <row r="19" spans="1:55" ht="19.8" x14ac:dyDescent="0.3">
      <c r="B19" s="85"/>
      <c r="G19" s="2277"/>
      <c r="H19" s="1821"/>
    </row>
    <row r="20" spans="1:55" ht="13.2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43"/>
      <c r="T20" s="2943"/>
      <c r="U20" s="2943"/>
      <c r="V20" s="2943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2931"/>
      <c r="AY20" s="2931"/>
      <c r="AZ20" s="2931"/>
      <c r="BA20" s="4"/>
    </row>
    <row r="21" spans="1:55" ht="13.2" thickBot="1" x14ac:dyDescent="0.25">
      <c r="A21" s="1250" t="s">
        <v>61</v>
      </c>
      <c r="B21" s="23" t="s">
        <v>36</v>
      </c>
      <c r="C21" s="425">
        <f>C5</f>
        <v>46023</v>
      </c>
      <c r="D21" s="425">
        <f t="shared" ref="D21:H21" si="1">D5</f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2313" t="s">
        <v>1260</v>
      </c>
      <c r="J21" s="2265"/>
      <c r="K21" s="2265"/>
      <c r="L21" s="2265"/>
      <c r="M21" s="2265"/>
      <c r="N21" s="5"/>
      <c r="O21" s="5"/>
      <c r="P21" s="5"/>
      <c r="Q21" s="5"/>
      <c r="R21" s="1810"/>
      <c r="S21" s="1810"/>
      <c r="T21" s="1810"/>
      <c r="U21" s="1810"/>
      <c r="V21" s="1810"/>
      <c r="W21" s="1810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x14ac:dyDescent="0.3">
      <c r="A22" s="2936" t="s">
        <v>57</v>
      </c>
      <c r="B22" s="418" t="s">
        <v>56</v>
      </c>
      <c r="C22" s="2531">
        <f>DispatchSchedule!F28</f>
        <v>0</v>
      </c>
      <c r="D22" s="2531">
        <f>DispatchSchedule!G28</f>
        <v>0</v>
      </c>
      <c r="E22" s="2531">
        <f>DispatchSchedule!H28</f>
        <v>0</v>
      </c>
      <c r="F22" s="2531">
        <f>DispatchSchedule!I28</f>
        <v>287.8</v>
      </c>
      <c r="G22" s="2531">
        <f>DispatchSchedule!J28</f>
        <v>332.3</v>
      </c>
      <c r="H22" s="2531">
        <f>DispatchSchedule!K28</f>
        <v>348.4</v>
      </c>
      <c r="I22" s="780" t="s">
        <v>595</v>
      </c>
      <c r="J22" s="615"/>
      <c r="K22" s="615"/>
      <c r="L22" s="615"/>
      <c r="M22" s="615"/>
      <c r="N22" s="165"/>
      <c r="O22" s="165"/>
      <c r="P22" s="165"/>
      <c r="R22" s="1802"/>
      <c r="S22" s="1802"/>
      <c r="T22" s="1802"/>
      <c r="U22" s="1802"/>
      <c r="V22" s="1802"/>
      <c r="W22" s="1802"/>
    </row>
    <row r="23" spans="1:55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  <c r="I23" s="322">
        <f>SUM(C22:H22)</f>
        <v>968.5</v>
      </c>
      <c r="R23" s="1802"/>
      <c r="S23" s="1802"/>
      <c r="T23" s="1802"/>
      <c r="U23" s="1802"/>
      <c r="V23" s="1802"/>
      <c r="W23" s="1802"/>
    </row>
    <row r="24" spans="1:55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  <c r="R24" s="1802"/>
      <c r="S24" s="1802"/>
      <c r="T24" s="1802"/>
      <c r="U24" s="1802"/>
      <c r="V24" s="1802"/>
      <c r="W24" s="1802"/>
    </row>
    <row r="25" spans="1:55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  <c r="R25" s="1802"/>
      <c r="S25" s="1802"/>
      <c r="T25" s="1802"/>
      <c r="U25" s="1802"/>
      <c r="V25" s="1802"/>
      <c r="W25" s="1802"/>
    </row>
    <row r="26" spans="1:55" x14ac:dyDescent="0.2">
      <c r="A26" s="2936" t="s">
        <v>1054</v>
      </c>
      <c r="B26" s="418" t="s">
        <v>56</v>
      </c>
      <c r="C26" s="779"/>
      <c r="D26" s="779"/>
      <c r="E26" s="779"/>
      <c r="F26" s="779"/>
      <c r="G26" s="779"/>
      <c r="H26" s="779"/>
      <c r="I26" s="165"/>
      <c r="R26" s="1802"/>
      <c r="S26" s="1802"/>
      <c r="T26" s="1802"/>
      <c r="U26" s="1802"/>
      <c r="V26" s="1802"/>
      <c r="W26" s="1802"/>
    </row>
    <row r="27" spans="1:55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  <c r="N27" s="2"/>
      <c r="R27" s="1802"/>
      <c r="S27" s="1802"/>
      <c r="T27" s="1802"/>
      <c r="U27" s="1802"/>
      <c r="V27" s="1802"/>
      <c r="W27" s="1802"/>
    </row>
    <row r="28" spans="1:55" x14ac:dyDescent="0.2">
      <c r="A28" s="2936" t="s">
        <v>1339</v>
      </c>
      <c r="B28" s="418" t="s">
        <v>56</v>
      </c>
      <c r="C28" s="2532">
        <f>DispatchSchedule!F31</f>
        <v>0</v>
      </c>
      <c r="D28" s="2532">
        <f>DispatchSchedule!G31</f>
        <v>0</v>
      </c>
      <c r="E28" s="2532">
        <f>DispatchSchedule!H31</f>
        <v>0</v>
      </c>
      <c r="F28" s="2532">
        <f>DispatchSchedule!I31</f>
        <v>5.7478619999999996</v>
      </c>
      <c r="G28" s="2532">
        <f>DispatchSchedule!J31</f>
        <v>42.975520000000003</v>
      </c>
      <c r="H28" s="2532">
        <f>DispatchSchedule!K31</f>
        <v>58.876800000000003</v>
      </c>
      <c r="I28" s="322"/>
      <c r="J28" s="165"/>
      <c r="K28" s="165"/>
      <c r="L28" s="165"/>
      <c r="M28" s="165"/>
      <c r="R28" s="1802"/>
      <c r="S28" s="1802"/>
      <c r="T28" s="1802"/>
      <c r="U28" s="1802"/>
      <c r="V28" s="1802"/>
      <c r="W28" s="1802"/>
    </row>
    <row r="29" spans="1:55" x14ac:dyDescent="0.2">
      <c r="A29" s="2942"/>
      <c r="B29" s="489" t="s">
        <v>88</v>
      </c>
      <c r="C29" s="778"/>
      <c r="D29" s="778"/>
      <c r="E29" s="778"/>
      <c r="F29" s="778"/>
      <c r="G29" s="778"/>
      <c r="H29" s="778"/>
      <c r="N29" s="2"/>
      <c r="R29" s="1802"/>
      <c r="S29" s="1802"/>
      <c r="T29" s="1802"/>
      <c r="U29" s="1802"/>
      <c r="V29" s="1802"/>
      <c r="W29" s="1802"/>
    </row>
    <row r="30" spans="1:55" x14ac:dyDescent="0.2">
      <c r="A30" s="2936" t="s">
        <v>369</v>
      </c>
      <c r="B30" s="12" t="s">
        <v>56</v>
      </c>
      <c r="C30" s="2533">
        <f>'DSP1'!C68</f>
        <v>0</v>
      </c>
      <c r="D30" s="2533">
        <f>'DSP1'!D68</f>
        <v>0</v>
      </c>
      <c r="E30" s="2533">
        <f>'DSP1'!E68</f>
        <v>0</v>
      </c>
      <c r="F30" s="2533">
        <f>'DSP1'!F68</f>
        <v>28.956569999999999</v>
      </c>
      <c r="G30" s="2533">
        <f>'DSP1'!G68</f>
        <v>28.59515</v>
      </c>
      <c r="H30" s="2533">
        <f>'DSP1'!H68</f>
        <v>29.376000000000001</v>
      </c>
      <c r="I30" s="322"/>
      <c r="J30" s="165"/>
      <c r="K30" s="165"/>
      <c r="L30" s="165"/>
      <c r="M30" s="165"/>
      <c r="N30" s="1327"/>
      <c r="O30" s="1327"/>
      <c r="Q30" s="165"/>
      <c r="R30" s="1802"/>
      <c r="S30" s="1802"/>
      <c r="T30" s="1802"/>
      <c r="U30" s="1802"/>
      <c r="V30" s="1802"/>
      <c r="W30" s="1802"/>
      <c r="X30" s="414"/>
      <c r="Y30" s="414"/>
      <c r="Z30" s="414"/>
    </row>
    <row r="31" spans="1:55" x14ac:dyDescent="0.2">
      <c r="A31" s="2937"/>
      <c r="B31" s="83" t="s">
        <v>88</v>
      </c>
      <c r="C31" s="311">
        <f>'DSP1'!C62</f>
        <v>0</v>
      </c>
      <c r="D31" s="311">
        <f>'DSP1'!D62</f>
        <v>0</v>
      </c>
      <c r="E31" s="311">
        <f>'DSP1'!E62</f>
        <v>0</v>
      </c>
      <c r="F31" s="311">
        <f>'DSP1'!F62</f>
        <v>42.229763079079881</v>
      </c>
      <c r="G31" s="311">
        <f>'DSP1'!G62</f>
        <v>42.260102956369884</v>
      </c>
      <c r="H31" s="311">
        <f>'DSP1'!H62</f>
        <v>42.195489390339063</v>
      </c>
      <c r="N31" s="1327"/>
      <c r="O31" s="1327"/>
      <c r="R31" s="1802"/>
      <c r="S31" s="1802"/>
      <c r="T31" s="1802"/>
      <c r="U31" s="1802"/>
      <c r="V31" s="1802"/>
      <c r="W31" s="1802"/>
    </row>
    <row r="32" spans="1:55" x14ac:dyDescent="0.2">
      <c r="A32" s="2936" t="s">
        <v>424</v>
      </c>
      <c r="B32" s="12" t="s">
        <v>56</v>
      </c>
      <c r="C32" s="2534">
        <f>'DSP2'!C69</f>
        <v>0</v>
      </c>
      <c r="D32" s="2534">
        <f>'DSP2'!D69</f>
        <v>0</v>
      </c>
      <c r="E32" s="2534">
        <f>'DSP2'!E69</f>
        <v>0</v>
      </c>
      <c r="F32" s="2534">
        <f>'DSP2'!F69</f>
        <v>36.936</v>
      </c>
      <c r="G32" s="2534">
        <f>'DSP2'!G69</f>
        <v>37.37397</v>
      </c>
      <c r="H32" s="2534">
        <f>'DSP2'!H69</f>
        <v>36.936</v>
      </c>
      <c r="I32" s="322"/>
      <c r="J32" s="165"/>
      <c r="K32" s="165"/>
      <c r="L32" s="165"/>
      <c r="M32" s="165"/>
      <c r="N32" s="1327"/>
      <c r="O32" s="1327"/>
      <c r="Q32" s="165"/>
      <c r="R32" s="1802"/>
      <c r="S32" s="1802"/>
      <c r="T32" s="1802"/>
      <c r="U32" s="1802"/>
      <c r="V32" s="1802"/>
      <c r="W32" s="1802"/>
    </row>
    <row r="33" spans="1:24" x14ac:dyDescent="0.2">
      <c r="A33" s="2937"/>
      <c r="B33" s="83" t="s">
        <v>88</v>
      </c>
      <c r="C33" s="311">
        <f>'DSP2'!C63</f>
        <v>0</v>
      </c>
      <c r="D33" s="311">
        <f>'DSP2'!D63</f>
        <v>0</v>
      </c>
      <c r="E33" s="311">
        <f>'DSP2'!E63</f>
        <v>0</v>
      </c>
      <c r="F33" s="311">
        <f>'DSP2'!F63</f>
        <v>39.827255265756989</v>
      </c>
      <c r="G33" s="311">
        <f>'DSP2'!G63</f>
        <v>39.806455725573706</v>
      </c>
      <c r="H33" s="311">
        <f>'DSP2'!H63</f>
        <v>39.827255265756989</v>
      </c>
      <c r="N33" s="1327"/>
      <c r="O33" s="1327"/>
      <c r="R33" s="1802"/>
      <c r="S33" s="1802"/>
      <c r="T33" s="1802"/>
      <c r="U33" s="1802"/>
      <c r="V33" s="1802"/>
      <c r="W33" s="1802"/>
    </row>
    <row r="34" spans="1:24" x14ac:dyDescent="0.2">
      <c r="A34" s="2936" t="s">
        <v>392</v>
      </c>
      <c r="B34" s="418" t="s">
        <v>56</v>
      </c>
      <c r="C34" s="2535">
        <f>'GT16'!C79</f>
        <v>0</v>
      </c>
      <c r="D34" s="2535">
        <f>'GT16'!D79</f>
        <v>0</v>
      </c>
      <c r="E34" s="2535">
        <f>'GT16'!E79</f>
        <v>0</v>
      </c>
      <c r="F34" s="2535">
        <f>'GT16'!F79</f>
        <v>0</v>
      </c>
      <c r="G34" s="2535">
        <f>'GT16'!G79</f>
        <v>0</v>
      </c>
      <c r="H34" s="2535">
        <f>'GT16'!H79</f>
        <v>0</v>
      </c>
      <c r="I34" s="322"/>
      <c r="J34" s="165"/>
      <c r="K34" s="165"/>
      <c r="L34" s="165"/>
      <c r="M34" s="165"/>
      <c r="N34" s="1327"/>
      <c r="O34" s="1327"/>
      <c r="P34" s="165"/>
      <c r="Q34" s="165"/>
      <c r="R34" s="1802"/>
      <c r="S34" s="1802"/>
      <c r="T34" s="1802"/>
      <c r="U34" s="1802"/>
      <c r="V34" s="1802"/>
      <c r="W34" s="1802"/>
    </row>
    <row r="35" spans="1:24" x14ac:dyDescent="0.2">
      <c r="A35" s="2942"/>
      <c r="B35" s="489" t="s">
        <v>88</v>
      </c>
      <c r="C35" s="658">
        <f>'GT16'!C73</f>
        <v>0</v>
      </c>
      <c r="D35" s="658">
        <f>'GT16'!D73</f>
        <v>0</v>
      </c>
      <c r="E35" s="658">
        <f>'GT16'!E73</f>
        <v>0</v>
      </c>
      <c r="F35" s="658">
        <f>'GT16'!F73</f>
        <v>0</v>
      </c>
      <c r="G35" s="658">
        <f>'GT16'!G73</f>
        <v>0</v>
      </c>
      <c r="H35" s="658">
        <f>'GT16'!H73</f>
        <v>0</v>
      </c>
      <c r="N35" s="1327"/>
      <c r="O35" s="1327"/>
      <c r="R35" s="1802"/>
      <c r="S35" s="1802"/>
      <c r="T35" s="1802"/>
      <c r="U35" s="1802"/>
      <c r="V35" s="1802"/>
      <c r="W35" s="1802"/>
    </row>
    <row r="36" spans="1:24" x14ac:dyDescent="0.2">
      <c r="A36" s="2936" t="s">
        <v>409</v>
      </c>
      <c r="B36" s="12" t="s">
        <v>56</v>
      </c>
      <c r="C36" s="1042">
        <f>'GT07'!C64</f>
        <v>0</v>
      </c>
      <c r="D36" s="1042">
        <f>'GT07'!D64</f>
        <v>0</v>
      </c>
      <c r="E36" s="1042">
        <f>'GT07'!E64</f>
        <v>0</v>
      </c>
      <c r="F36" s="1042">
        <f>'GT07'!F64</f>
        <v>0</v>
      </c>
      <c r="G36" s="1042">
        <f>'GT07'!G64</f>
        <v>0</v>
      </c>
      <c r="H36" s="1042">
        <f>'GT07'!H64</f>
        <v>0</v>
      </c>
      <c r="I36" s="322"/>
      <c r="J36" s="165"/>
      <c r="K36" s="165"/>
      <c r="L36" s="165"/>
      <c r="M36" s="165"/>
      <c r="N36" s="1327"/>
      <c r="O36" s="1327"/>
      <c r="Q36" s="165"/>
      <c r="R36" s="1802"/>
      <c r="S36" s="1802"/>
      <c r="T36" s="1802"/>
      <c r="U36" s="1802"/>
      <c r="V36" s="1802"/>
      <c r="W36" s="1802"/>
    </row>
    <row r="37" spans="1:24" x14ac:dyDescent="0.2">
      <c r="A37" s="2937"/>
      <c r="B37" s="83" t="s">
        <v>88</v>
      </c>
      <c r="C37" s="311">
        <f>'GT07'!C58</f>
        <v>0</v>
      </c>
      <c r="D37" s="311">
        <f>'GT07'!D58</f>
        <v>0</v>
      </c>
      <c r="E37" s="311">
        <f>'GT07'!E58</f>
        <v>0</v>
      </c>
      <c r="F37" s="311">
        <f>'GT07'!F58</f>
        <v>0</v>
      </c>
      <c r="G37" s="311">
        <f>'GT07'!G58</f>
        <v>0</v>
      </c>
      <c r="H37" s="311">
        <f>'GT07'!H58</f>
        <v>0</v>
      </c>
      <c r="N37" s="1327"/>
      <c r="O37" s="1327"/>
      <c r="R37" s="1802"/>
      <c r="S37" s="1802"/>
      <c r="T37" s="1802"/>
      <c r="U37" s="1802"/>
      <c r="V37" s="1802"/>
      <c r="W37" s="1802"/>
    </row>
    <row r="38" spans="1:24" x14ac:dyDescent="0.2">
      <c r="A38" s="2936" t="s">
        <v>5</v>
      </c>
      <c r="B38" s="12" t="s">
        <v>56</v>
      </c>
      <c r="C38" s="1037">
        <f>CCKP!C85</f>
        <v>0</v>
      </c>
      <c r="D38" s="1037">
        <f>CCKP!D85</f>
        <v>0</v>
      </c>
      <c r="E38" s="1037">
        <f>CCKP!E85</f>
        <v>0</v>
      </c>
      <c r="F38" s="1037">
        <f>CCKP!F85</f>
        <v>84.525620000000004</v>
      </c>
      <c r="G38" s="1037">
        <f>CCKP!G85</f>
        <v>84.525599999999997</v>
      </c>
      <c r="H38" s="1037">
        <f>CCKP!H85</f>
        <v>84.525620000000004</v>
      </c>
      <c r="I38" s="322"/>
      <c r="J38" s="322"/>
      <c r="K38" s="322"/>
      <c r="L38" s="322"/>
      <c r="M38" s="322"/>
      <c r="N38" s="1327"/>
      <c r="O38" s="1327"/>
      <c r="Q38" s="165"/>
      <c r="R38" s="1802"/>
      <c r="S38" s="1802"/>
      <c r="T38" s="1802"/>
      <c r="U38" s="1802"/>
      <c r="V38" s="1802"/>
      <c r="W38" s="1802"/>
    </row>
    <row r="39" spans="1:24" x14ac:dyDescent="0.2">
      <c r="A39" s="2937"/>
      <c r="B39" s="83" t="s">
        <v>88</v>
      </c>
      <c r="C39" s="311">
        <f>CCKP!C78</f>
        <v>0</v>
      </c>
      <c r="D39" s="311">
        <f>CCKP!D78</f>
        <v>0</v>
      </c>
      <c r="E39" s="311">
        <f>CCKP!E78</f>
        <v>0</v>
      </c>
      <c r="F39" s="311">
        <f>CCKP!F78</f>
        <v>39.289046578981946</v>
      </c>
      <c r="G39" s="1325">
        <f>CCKP!G78</f>
        <v>39.227940964165178</v>
      </c>
      <c r="H39" s="1325">
        <f>CCKP!H78</f>
        <v>39.227940845596024</v>
      </c>
      <c r="N39" s="1327"/>
      <c r="O39" s="1327"/>
      <c r="R39" s="1802"/>
      <c r="S39" s="1802"/>
      <c r="T39" s="1802"/>
      <c r="U39" s="1802"/>
      <c r="V39" s="1802"/>
      <c r="W39" s="1802"/>
    </row>
    <row r="40" spans="1:24" x14ac:dyDescent="0.2">
      <c r="A40" s="2936" t="s">
        <v>1176</v>
      </c>
      <c r="B40" s="418" t="s">
        <v>56</v>
      </c>
      <c r="C40" s="1040">
        <f>+'CCKP 02'!C69</f>
        <v>0</v>
      </c>
      <c r="D40" s="1040">
        <f>+'CCKP 02'!D69</f>
        <v>0</v>
      </c>
      <c r="E40" s="1040">
        <f>+'CCKP 02'!E69</f>
        <v>0</v>
      </c>
      <c r="F40" s="1040">
        <f>+'CCKP 02'!F69</f>
        <v>32.027999999999999</v>
      </c>
      <c r="G40" s="1040">
        <f>+'CCKP 02'!G69</f>
        <v>0</v>
      </c>
      <c r="H40" s="1040">
        <f>+'CCKP 02'!H69</f>
        <v>0</v>
      </c>
      <c r="I40" s="322"/>
      <c r="J40" s="165"/>
      <c r="K40" s="165"/>
      <c r="L40" s="165"/>
      <c r="M40" s="165"/>
      <c r="N40" s="1327"/>
      <c r="O40" s="1327"/>
      <c r="R40" s="1802"/>
      <c r="S40" s="1802"/>
      <c r="T40" s="1802"/>
      <c r="U40" s="1802"/>
      <c r="V40" s="1802"/>
      <c r="W40" s="1802"/>
    </row>
    <row r="41" spans="1:24" x14ac:dyDescent="0.2">
      <c r="A41" s="2937"/>
      <c r="B41" s="489" t="s">
        <v>88</v>
      </c>
      <c r="C41" s="2314">
        <f>+'CCKP 02'!C62</f>
        <v>0</v>
      </c>
      <c r="D41" s="2314">
        <f>+'CCKP 02'!D62</f>
        <v>0</v>
      </c>
      <c r="E41" s="2314">
        <f>+'CCKP 02'!E62</f>
        <v>0</v>
      </c>
      <c r="F41" s="2314">
        <f>+'CCKP 02'!F62</f>
        <v>105.13288111375044</v>
      </c>
      <c r="G41" s="1077">
        <f>+'CCKP 02'!G62</f>
        <v>0</v>
      </c>
      <c r="H41" s="1077">
        <f>+'CCKP 02'!H62</f>
        <v>0</v>
      </c>
      <c r="N41" s="1327"/>
      <c r="O41" s="1327"/>
      <c r="R41" s="1802"/>
      <c r="S41" s="1802"/>
      <c r="T41" s="1802"/>
      <c r="U41" s="1802"/>
      <c r="V41" s="1802"/>
      <c r="W41" s="1802"/>
    </row>
    <row r="42" spans="1:24" x14ac:dyDescent="0.2">
      <c r="A42" s="2936" t="s">
        <v>14</v>
      </c>
      <c r="B42" s="418" t="s">
        <v>56</v>
      </c>
      <c r="C42" s="2315">
        <f>CPUT!C76</f>
        <v>0</v>
      </c>
      <c r="D42" s="2315">
        <f>CPUT!D76</f>
        <v>0</v>
      </c>
      <c r="E42" s="2315">
        <f>CPUT!E76</f>
        <v>0</v>
      </c>
      <c r="F42" s="2315">
        <f>CPUT!F76</f>
        <v>410.24100000000004</v>
      </c>
      <c r="G42" s="2315">
        <f>CPUT!G76</f>
        <v>423.89049999999997</v>
      </c>
      <c r="H42" s="2315">
        <f>CPUT!H76</f>
        <v>297.45983999999999</v>
      </c>
      <c r="I42" s="322">
        <f>SUM(C42:H42)</f>
        <v>1131.5913399999999</v>
      </c>
      <c r="N42" s="1327"/>
      <c r="O42" s="1327"/>
      <c r="Q42" s="165"/>
      <c r="R42" s="1802"/>
      <c r="S42" s="1802"/>
      <c r="T42" s="1802"/>
      <c r="U42" s="1802"/>
      <c r="V42" s="1802"/>
      <c r="W42" s="1802"/>
    </row>
    <row r="43" spans="1:24" s="185" customFormat="1" x14ac:dyDescent="0.2">
      <c r="A43" s="2937"/>
      <c r="B43" s="489" t="s">
        <v>88</v>
      </c>
      <c r="C43" s="2314" t="e">
        <f>CPUT!C69</f>
        <v>#DIV/0!</v>
      </c>
      <c r="D43" s="2314" t="e">
        <f>CPUT!D69</f>
        <v>#DIV/0!</v>
      </c>
      <c r="E43" s="2314" t="e">
        <f>CPUT!E69</f>
        <v>#DIV/0!</v>
      </c>
      <c r="F43" s="2314">
        <f>CPUT!F69</f>
        <v>16.360073257141064</v>
      </c>
      <c r="G43" s="2314">
        <f>CPUT!G69</f>
        <v>16.149669524586059</v>
      </c>
      <c r="H43" s="2314">
        <f>CPUT!H69</f>
        <v>17.055875654499228</v>
      </c>
      <c r="I43"/>
      <c r="J43"/>
      <c r="K43"/>
      <c r="L43"/>
      <c r="M43"/>
      <c r="N43" s="1327"/>
      <c r="O43" s="1327"/>
      <c r="P43"/>
      <c r="Q43"/>
      <c r="R43" s="1802"/>
      <c r="S43" s="1802"/>
      <c r="T43" s="1802"/>
      <c r="U43" s="1802"/>
      <c r="V43" s="1802"/>
      <c r="W43" s="1802"/>
      <c r="X43"/>
    </row>
    <row r="44" spans="1:24" x14ac:dyDescent="0.2">
      <c r="A44" s="2944" t="s">
        <v>538</v>
      </c>
      <c r="B44" s="418" t="s">
        <v>56</v>
      </c>
      <c r="C44" s="2315">
        <f>DNCHU!C54</f>
        <v>0</v>
      </c>
      <c r="D44" s="2315">
        <f>DNCHU!D54</f>
        <v>0</v>
      </c>
      <c r="E44" s="2315">
        <f>DNCHU!E54</f>
        <v>0</v>
      </c>
      <c r="F44" s="2315">
        <f>DNCHU!F54</f>
        <v>11.456619999999999</v>
      </c>
      <c r="G44" s="2315">
        <f>DNCHU!G54</f>
        <v>11.56061</v>
      </c>
      <c r="H44" s="2315">
        <f>DNCHU!H54</f>
        <v>11.456630000000001</v>
      </c>
      <c r="I44" s="322"/>
      <c r="N44" s="1327"/>
      <c r="O44" s="1327"/>
      <c r="Q44" s="165"/>
      <c r="R44" s="1802"/>
      <c r="S44" s="1802"/>
      <c r="T44" s="1802"/>
      <c r="U44" s="1802"/>
      <c r="V44" s="1802"/>
      <c r="W44" s="1802"/>
    </row>
    <row r="45" spans="1:24" x14ac:dyDescent="0.2">
      <c r="A45" s="2937"/>
      <c r="B45" s="489" t="s">
        <v>88</v>
      </c>
      <c r="C45" s="2314">
        <f>DNCHU!C51</f>
        <v>0</v>
      </c>
      <c r="D45" s="2314">
        <f>DNCHU!D51</f>
        <v>0</v>
      </c>
      <c r="E45" s="2314">
        <f>DNCHU!E51</f>
        <v>0</v>
      </c>
      <c r="F45" s="2314">
        <f>DNCHU!F51</f>
        <v>40.367711230488567</v>
      </c>
      <c r="G45" s="2314">
        <f>DNCHU!G51</f>
        <v>40.352448181914276</v>
      </c>
      <c r="H45" s="2314">
        <f>DNCHU!H51</f>
        <v>40.367709749425444</v>
      </c>
      <c r="I45" s="322">
        <f>+I42+2715</f>
        <v>3846.5913399999999</v>
      </c>
      <c r="N45" s="1327"/>
      <c r="O45" s="1327"/>
      <c r="R45" s="1802"/>
      <c r="S45" s="1802"/>
      <c r="T45" s="1802"/>
      <c r="U45" s="1802"/>
      <c r="V45" s="1802"/>
      <c r="W45" s="1802"/>
    </row>
    <row r="46" spans="1:24" x14ac:dyDescent="0.2">
      <c r="A46" s="2936" t="s">
        <v>1053</v>
      </c>
      <c r="B46" s="418" t="s">
        <v>56</v>
      </c>
      <c r="C46" s="2316">
        <f>'Island Gen'!C58</f>
        <v>0</v>
      </c>
      <c r="D46" s="2316">
        <f>'Island Gen'!D58</f>
        <v>0</v>
      </c>
      <c r="E46" s="2315">
        <f>'Island Gen'!E58</f>
        <v>0</v>
      </c>
      <c r="F46" s="2315">
        <f>'Island Gen'!F58</f>
        <v>0.2</v>
      </c>
      <c r="G46" s="2315">
        <f>'Island Gen'!G58</f>
        <v>0.2</v>
      </c>
      <c r="H46" s="2315">
        <f>'Island Gen'!H58</f>
        <v>0.2</v>
      </c>
      <c r="I46" s="322"/>
      <c r="N46" s="1327"/>
      <c r="O46" s="1327"/>
      <c r="Q46" s="165"/>
      <c r="R46" s="1802"/>
      <c r="S46" s="1802"/>
      <c r="T46" s="1802"/>
      <c r="U46" s="1802"/>
      <c r="V46" s="1802"/>
      <c r="W46" s="1802"/>
    </row>
    <row r="47" spans="1:24" x14ac:dyDescent="0.2">
      <c r="A47" s="2937"/>
      <c r="B47" s="489" t="s">
        <v>88</v>
      </c>
      <c r="C47" s="2314">
        <f>'Island Gen'!C51</f>
        <v>0</v>
      </c>
      <c r="D47" s="2314">
        <f>'Island Gen'!D51</f>
        <v>0</v>
      </c>
      <c r="E47" s="2314">
        <f>'Island Gen'!E51</f>
        <v>0</v>
      </c>
      <c r="F47" s="2314">
        <f>'Island Gen'!F51</f>
        <v>127.45046499999999</v>
      </c>
      <c r="G47" s="2314">
        <f>'Island Gen'!G51</f>
        <v>127.45046499999999</v>
      </c>
      <c r="H47" s="2314">
        <f>'Island Gen'!H51</f>
        <v>127.45046499999999</v>
      </c>
      <c r="N47" s="1327"/>
      <c r="O47" s="1327"/>
      <c r="R47" s="1802"/>
      <c r="S47" s="1802"/>
      <c r="T47" s="1802"/>
      <c r="U47" s="1802"/>
      <c r="V47" s="1802"/>
      <c r="W47" s="1802"/>
    </row>
    <row r="48" spans="1:24" x14ac:dyDescent="0.2">
      <c r="A48" s="2936" t="s">
        <v>643</v>
      </c>
      <c r="B48" s="418" t="s">
        <v>56</v>
      </c>
      <c r="C48" s="2315">
        <f>Barge!C58</f>
        <v>0</v>
      </c>
      <c r="D48" s="2315">
        <f>Barge!D58</f>
        <v>0</v>
      </c>
      <c r="E48" s="2315">
        <f>Barge!E58</f>
        <v>0</v>
      </c>
      <c r="F48" s="2315">
        <f>Barge!F58</f>
        <v>26.049679999999999</v>
      </c>
      <c r="G48" s="2315">
        <f>Barge!G58</f>
        <v>25.811679999999999</v>
      </c>
      <c r="H48" s="2315">
        <f>Barge!H58</f>
        <v>26.049720000000001</v>
      </c>
      <c r="I48" s="322"/>
      <c r="N48" s="1327"/>
      <c r="O48" s="1327"/>
      <c r="Q48" s="165"/>
      <c r="R48" s="1802"/>
      <c r="S48" s="1802"/>
      <c r="T48" s="1802"/>
      <c r="U48" s="1802"/>
      <c r="V48" s="1802"/>
      <c r="W48" s="1802"/>
    </row>
    <row r="49" spans="1:39" x14ac:dyDescent="0.2">
      <c r="A49" s="2937"/>
      <c r="B49" s="489" t="s">
        <v>88</v>
      </c>
      <c r="C49" s="2317">
        <f>Barge!C52</f>
        <v>0</v>
      </c>
      <c r="D49" s="2317">
        <f>Barge!D52</f>
        <v>0</v>
      </c>
      <c r="E49" s="2317">
        <f>Barge!E52</f>
        <v>0</v>
      </c>
      <c r="F49" s="2317">
        <f>Barge!F52</f>
        <v>40.421014751456447</v>
      </c>
      <c r="G49" s="2317">
        <f>Barge!G52</f>
        <v>40.442195564129108</v>
      </c>
      <c r="H49" s="2317">
        <f>Barge!H52</f>
        <v>40.421011224185143</v>
      </c>
      <c r="N49" s="1327"/>
      <c r="O49" s="1327"/>
      <c r="R49" s="1802"/>
      <c r="S49" s="1802"/>
      <c r="T49" s="1802"/>
      <c r="U49" s="1802"/>
      <c r="V49" s="1802"/>
      <c r="W49" s="1802"/>
    </row>
    <row r="50" spans="1:39" x14ac:dyDescent="0.2">
      <c r="A50" s="2936" t="s">
        <v>1183</v>
      </c>
      <c r="B50" s="488" t="s">
        <v>56</v>
      </c>
      <c r="C50" s="2536">
        <f>+'30MW-Hambantota'!C60</f>
        <v>0</v>
      </c>
      <c r="D50" s="2536">
        <f>+'30MW-Hambantota'!D60</f>
        <v>0</v>
      </c>
      <c r="E50" s="2536">
        <f>+'30MW-Hambantota'!E60</f>
        <v>0</v>
      </c>
      <c r="F50" s="2536">
        <f>+'30MW-Hambantota'!F60</f>
        <v>0</v>
      </c>
      <c r="G50" s="2536">
        <f>+'30MW-Hambantota'!G60</f>
        <v>0</v>
      </c>
      <c r="H50" s="2536">
        <f>+'30MW-Hambantota'!H60</f>
        <v>0</v>
      </c>
      <c r="I50" s="322"/>
      <c r="N50" s="403"/>
      <c r="O50" s="1327"/>
      <c r="Q50" s="165"/>
      <c r="R50" s="1802"/>
      <c r="S50" s="1802"/>
      <c r="T50" s="1802"/>
      <c r="U50" s="1802"/>
      <c r="V50" s="1802"/>
      <c r="W50" s="1802"/>
    </row>
    <row r="51" spans="1:39" x14ac:dyDescent="0.2">
      <c r="A51" s="2939"/>
      <c r="B51" s="489" t="s">
        <v>88</v>
      </c>
      <c r="C51" s="2318">
        <f>'30MW-Hambantota'!C54</f>
        <v>0</v>
      </c>
      <c r="D51" s="2318">
        <f>'30MW-Hambantota'!D54</f>
        <v>0</v>
      </c>
      <c r="E51" s="2318">
        <f>'30MW-Hambantota'!E54</f>
        <v>0</v>
      </c>
      <c r="F51" s="2318">
        <f>'30MW-Hambantota'!F54</f>
        <v>0</v>
      </c>
      <c r="G51" s="2318">
        <f>'30MW-Hambantota'!G54</f>
        <v>0</v>
      </c>
      <c r="H51" s="2318">
        <f>'30MW-Hambantota'!H54</f>
        <v>0</v>
      </c>
      <c r="N51" s="403"/>
      <c r="O51" s="1327"/>
      <c r="R51" s="1802"/>
      <c r="S51" s="1802"/>
      <c r="T51" s="1802"/>
      <c r="U51" s="1802"/>
      <c r="V51" s="1802"/>
      <c r="W51" s="1802"/>
    </row>
    <row r="52" spans="1:39" x14ac:dyDescent="0.2">
      <c r="A52" s="2936" t="s">
        <v>1181</v>
      </c>
      <c r="B52" s="488" t="s">
        <v>56</v>
      </c>
      <c r="C52" s="2536">
        <f>+'20MW-Mathugama'!C60</f>
        <v>0</v>
      </c>
      <c r="D52" s="2536">
        <f>+'20MW-Mathugama'!D60</f>
        <v>0</v>
      </c>
      <c r="E52" s="2536">
        <f>+'20MW-Mathugama'!E60</f>
        <v>0</v>
      </c>
      <c r="F52" s="2536">
        <f>+'20MW-Mathugama'!F60</f>
        <v>0</v>
      </c>
      <c r="G52" s="2536">
        <f>+'20MW-Mathugama'!G60</f>
        <v>0</v>
      </c>
      <c r="H52" s="2536">
        <f>+'20MW-Mathugama'!H60</f>
        <v>0</v>
      </c>
      <c r="I52" s="322"/>
      <c r="N52" s="403"/>
      <c r="O52" s="1327"/>
      <c r="Q52" s="165"/>
      <c r="R52" s="1802"/>
      <c r="S52" s="1802"/>
      <c r="T52" s="1802"/>
      <c r="U52" s="1802"/>
      <c r="V52" s="1802"/>
      <c r="W52" s="1802"/>
    </row>
    <row r="53" spans="1:39" x14ac:dyDescent="0.2">
      <c r="A53" s="2939"/>
      <c r="B53" s="489" t="s">
        <v>88</v>
      </c>
      <c r="C53" s="2318">
        <f>'20MW-Mathugama'!C54</f>
        <v>0</v>
      </c>
      <c r="D53" s="2318">
        <f>'20MW-Mathugama'!D54</f>
        <v>0</v>
      </c>
      <c r="E53" s="2318">
        <f>'20MW-Mathugama'!E54</f>
        <v>0</v>
      </c>
      <c r="F53" s="2318">
        <f>'20MW-Mathugama'!F54</f>
        <v>0</v>
      </c>
      <c r="G53" s="2318">
        <f>'20MW-Mathugama'!G54</f>
        <v>0</v>
      </c>
      <c r="H53" s="2318">
        <f>'20MW-Mathugama'!H54</f>
        <v>0</v>
      </c>
      <c r="N53" s="403"/>
      <c r="O53" s="1327"/>
      <c r="R53" s="1802"/>
      <c r="S53" s="1802"/>
      <c r="T53" s="1802"/>
      <c r="U53" s="1802"/>
      <c r="V53" s="1802"/>
      <c r="W53" s="1802"/>
    </row>
    <row r="54" spans="1:39" s="1335" customFormat="1" x14ac:dyDescent="0.2">
      <c r="A54" s="2936" t="s">
        <v>13</v>
      </c>
      <c r="B54" s="418" t="s">
        <v>56</v>
      </c>
      <c r="C54" s="2315">
        <f>CCKW!C81</f>
        <v>0</v>
      </c>
      <c r="D54" s="2315">
        <f>CCKW!D81</f>
        <v>0</v>
      </c>
      <c r="E54" s="2315">
        <f>CCKW!E81</f>
        <v>0</v>
      </c>
      <c r="F54" s="2319">
        <f>CCKW!F81</f>
        <v>150.1927</v>
      </c>
      <c r="G54" s="2319">
        <f>CCKW!G81</f>
        <v>130.619</v>
      </c>
      <c r="H54" s="2315">
        <f>CCKW!H81</f>
        <v>134.74469999999999</v>
      </c>
      <c r="I54" s="2261">
        <f>SUM(C54:H54)</f>
        <v>415.55639999999994</v>
      </c>
      <c r="J54" s="402">
        <f>+I54+I62</f>
        <v>593.24657999999999</v>
      </c>
      <c r="K54" s="402"/>
      <c r="L54" s="402"/>
      <c r="M54" s="402"/>
      <c r="N54" s="1327"/>
      <c r="O54" s="1327"/>
      <c r="P54"/>
      <c r="Q54"/>
      <c r="R54" s="1802"/>
      <c r="S54" s="1802"/>
      <c r="T54" s="1802"/>
      <c r="U54" s="1802"/>
      <c r="V54" s="1802"/>
      <c r="W54" s="1802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</row>
    <row r="55" spans="1:39" s="1335" customFormat="1" x14ac:dyDescent="0.2">
      <c r="A55" s="2937"/>
      <c r="B55" s="83" t="s">
        <v>88</v>
      </c>
      <c r="C55" s="311">
        <f>CCKW!C82</f>
        <v>0</v>
      </c>
      <c r="D55" s="311">
        <f>CCKW!D82</f>
        <v>0</v>
      </c>
      <c r="E55" s="311">
        <f>CCKW!E82</f>
        <v>0</v>
      </c>
      <c r="F55" s="1539">
        <f>CCKW!F82</f>
        <v>47.688996196781417</v>
      </c>
      <c r="G55" s="1539">
        <f>CCKW!G82</f>
        <v>48.291132699244585</v>
      </c>
      <c r="H55" s="658">
        <f>CCKW!H82</f>
        <v>48.190826549760025</v>
      </c>
      <c r="I55" s="2567">
        <f t="shared" ref="I55:I63" si="2">SUM(C55:H55)</f>
        <v>144.17095544578603</v>
      </c>
      <c r="J55"/>
      <c r="K55"/>
      <c r="L55"/>
      <c r="M55"/>
      <c r="N55" s="1327"/>
      <c r="O55" s="1327"/>
      <c r="P55"/>
      <c r="Q55"/>
      <c r="R55" s="1802"/>
      <c r="S55" s="1802"/>
      <c r="T55" s="1802"/>
      <c r="U55" s="1802"/>
      <c r="V55" s="1802"/>
      <c r="W55" s="1802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</row>
    <row r="56" spans="1:39" s="1335" customFormat="1" x14ac:dyDescent="0.2">
      <c r="A56" s="2936" t="s">
        <v>1321</v>
      </c>
      <c r="B56" s="418" t="s">
        <v>56</v>
      </c>
      <c r="C56" s="2653">
        <f>'SGPS 100MW'!C53</f>
        <v>0</v>
      </c>
      <c r="D56" s="2653">
        <f>'SGPS 100MW'!D53</f>
        <v>0</v>
      </c>
      <c r="E56" s="2653">
        <f>'SGPS 100MW'!E53</f>
        <v>0</v>
      </c>
      <c r="F56" s="2654">
        <f>'SGPS 100MW'!F53</f>
        <v>0</v>
      </c>
      <c r="G56" s="2654">
        <f>'SGPS 100MW'!G53</f>
        <v>0</v>
      </c>
      <c r="H56" s="2653">
        <f>'SGPS 100MW'!H53</f>
        <v>0</v>
      </c>
      <c r="I56" s="402">
        <f t="shared" si="2"/>
        <v>0</v>
      </c>
      <c r="J56"/>
      <c r="K56"/>
      <c r="L56"/>
      <c r="M56"/>
      <c r="N56" s="1327"/>
      <c r="O56" s="1327"/>
      <c r="P56"/>
      <c r="Q56"/>
      <c r="R56" s="1802"/>
      <c r="S56" s="1802"/>
      <c r="T56" s="1802"/>
      <c r="U56" s="1802"/>
      <c r="V56" s="1802"/>
      <c r="W56" s="1802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</row>
    <row r="57" spans="1:39" s="1335" customFormat="1" x14ac:dyDescent="0.2">
      <c r="A57" s="2937"/>
      <c r="B57" s="83" t="s">
        <v>88</v>
      </c>
      <c r="C57" s="2653">
        <f>+'SGPS 100MW'!C54</f>
        <v>0</v>
      </c>
      <c r="D57" s="2653">
        <f>+'SGPS 100MW'!D54</f>
        <v>0</v>
      </c>
      <c r="E57" s="2653">
        <f>+'SGPS 100MW'!E54</f>
        <v>0</v>
      </c>
      <c r="F57" s="2654">
        <f>+'SGPS 100MW'!F54</f>
        <v>0</v>
      </c>
      <c r="G57" s="2654">
        <f>+'SGPS 100MW'!G54</f>
        <v>0</v>
      </c>
      <c r="H57" s="2653">
        <f>+'SGPS 100MW'!H54</f>
        <v>0</v>
      </c>
      <c r="I57" s="402">
        <f t="shared" si="2"/>
        <v>0</v>
      </c>
      <c r="J57"/>
      <c r="K57"/>
      <c r="L57"/>
      <c r="M57"/>
      <c r="N57" s="1327"/>
      <c r="O57" s="1327"/>
      <c r="P57"/>
      <c r="Q57"/>
      <c r="R57" s="1802"/>
      <c r="S57" s="1802"/>
      <c r="T57" s="1802"/>
      <c r="U57" s="1802"/>
      <c r="V57" s="1802"/>
      <c r="W57" s="1802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</row>
    <row r="58" spans="1:39" s="1335" customFormat="1" x14ac:dyDescent="0.2">
      <c r="A58" s="2936" t="s">
        <v>11</v>
      </c>
      <c r="B58" s="418" t="s">
        <v>56</v>
      </c>
      <c r="C58" s="2655">
        <f>+'ACE-Embilipitíya'!C52</f>
        <v>0</v>
      </c>
      <c r="D58" s="2655">
        <f>+'ACE-Embilipitíya'!D52</f>
        <v>0</v>
      </c>
      <c r="E58" s="2655">
        <f>+'ACE-Embilipitíya'!E52</f>
        <v>0</v>
      </c>
      <c r="F58" s="2656">
        <f>+'ACE-Embilipitíya'!F52</f>
        <v>0</v>
      </c>
      <c r="G58" s="2656">
        <f>+'ACE-Embilipitíya'!G52</f>
        <v>0</v>
      </c>
      <c r="H58" s="2655">
        <f>+'ACE-Embilipitíya'!H52</f>
        <v>0</v>
      </c>
      <c r="I58" s="402">
        <f t="shared" si="2"/>
        <v>0</v>
      </c>
      <c r="J58"/>
      <c r="K58"/>
      <c r="L58"/>
      <c r="M58"/>
      <c r="N58" s="1327"/>
      <c r="O58" s="1327"/>
      <c r="P58"/>
      <c r="Q58"/>
      <c r="R58" s="1802"/>
      <c r="S58" s="1802"/>
      <c r="T58" s="1802"/>
      <c r="U58" s="1802"/>
      <c r="V58" s="1802"/>
      <c r="W58" s="1802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</row>
    <row r="59" spans="1:39" s="1335" customFormat="1" x14ac:dyDescent="0.2">
      <c r="A59" s="2937"/>
      <c r="B59" s="83" t="s">
        <v>88</v>
      </c>
      <c r="C59" s="2657">
        <f>+'ACE-Embilipitíya'!C53</f>
        <v>0</v>
      </c>
      <c r="D59" s="2658">
        <f>+'ACE-Embilipitíya'!D53</f>
        <v>0</v>
      </c>
      <c r="E59" s="2658">
        <f>+'ACE-Embilipitíya'!E53</f>
        <v>0</v>
      </c>
      <c r="F59" s="2659">
        <f>+'ACE-Embilipitíya'!F53</f>
        <v>0</v>
      </c>
      <c r="G59" s="2659">
        <f>+'ACE-Embilipitíya'!G53</f>
        <v>0</v>
      </c>
      <c r="H59" s="2658">
        <f>+'ACE-Embilipitíya'!H53</f>
        <v>0</v>
      </c>
      <c r="I59" s="2567">
        <f t="shared" si="2"/>
        <v>0</v>
      </c>
      <c r="J59"/>
      <c r="K59"/>
      <c r="L59"/>
      <c r="M59"/>
      <c r="N59" s="1327"/>
      <c r="O59" s="1327"/>
      <c r="P59"/>
      <c r="Q59"/>
      <c r="R59" s="1802"/>
      <c r="S59" s="1802"/>
      <c r="T59" s="1802"/>
      <c r="U59" s="1802"/>
      <c r="V59" s="1802"/>
      <c r="W59" s="1802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</row>
    <row r="60" spans="1:39" s="1335" customFormat="1" x14ac:dyDescent="0.2">
      <c r="A60" s="2936" t="s">
        <v>9</v>
      </c>
      <c r="B60" s="418" t="s">
        <v>56</v>
      </c>
      <c r="C60" s="2655">
        <f>+'ACE-Matara'!C60</f>
        <v>0</v>
      </c>
      <c r="D60" s="2660">
        <f>+'ACE-Matara'!D60</f>
        <v>0</v>
      </c>
      <c r="E60" s="2660">
        <f>+'ACE-Matara'!E60</f>
        <v>0</v>
      </c>
      <c r="F60" s="2661">
        <f>+'ACE-Matara'!F60</f>
        <v>0</v>
      </c>
      <c r="G60" s="2661">
        <f>+'ACE-Matara'!G60</f>
        <v>0</v>
      </c>
      <c r="H60" s="2660">
        <f>+'ACE-Matara'!H60</f>
        <v>0</v>
      </c>
      <c r="I60" s="402">
        <f t="shared" si="2"/>
        <v>0</v>
      </c>
      <c r="J60"/>
      <c r="K60"/>
      <c r="L60"/>
      <c r="M60"/>
      <c r="N60" s="1327"/>
      <c r="O60" s="1327"/>
      <c r="P60"/>
      <c r="Q60"/>
      <c r="R60" s="1802"/>
      <c r="S60" s="1802"/>
      <c r="T60" s="1802"/>
      <c r="U60" s="1802"/>
      <c r="V60" s="1802"/>
      <c r="W60" s="1802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</row>
    <row r="61" spans="1:39" s="1335" customFormat="1" x14ac:dyDescent="0.2">
      <c r="A61" s="2937"/>
      <c r="B61" s="83" t="s">
        <v>88</v>
      </c>
      <c r="C61" s="2658">
        <f>+'ACE-Matara'!C62</f>
        <v>0</v>
      </c>
      <c r="D61" s="2662">
        <f>+'ACE-Matara'!D62</f>
        <v>0</v>
      </c>
      <c r="E61" s="2662">
        <f>+'ACE-Matara'!E62</f>
        <v>0</v>
      </c>
      <c r="F61" s="2663">
        <f>+'ACE-Matara'!F62</f>
        <v>0</v>
      </c>
      <c r="G61" s="2663">
        <f>+'ACE-Matara'!G62</f>
        <v>0</v>
      </c>
      <c r="H61" s="2662">
        <f>+'ACE-Matara'!H62</f>
        <v>0</v>
      </c>
      <c r="I61" s="402">
        <f t="shared" si="2"/>
        <v>0</v>
      </c>
      <c r="J61"/>
      <c r="K61"/>
      <c r="L61"/>
      <c r="M61"/>
      <c r="N61" s="1327"/>
      <c r="O61" s="1327"/>
      <c r="P61"/>
      <c r="Q61"/>
      <c r="R61" s="1802"/>
      <c r="S61" s="1802"/>
      <c r="T61" s="1802"/>
      <c r="U61" s="1802"/>
      <c r="V61" s="1802"/>
      <c r="W61" s="1802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</row>
    <row r="62" spans="1:39" s="1335" customFormat="1" x14ac:dyDescent="0.2">
      <c r="A62" s="2936" t="s">
        <v>1244</v>
      </c>
      <c r="B62" s="418" t="s">
        <v>56</v>
      </c>
      <c r="C62" s="1325">
        <f>+Sobadhanavi!C115</f>
        <v>0</v>
      </c>
      <c r="D62" s="1325">
        <f>+Sobadhanavi!D115</f>
        <v>0</v>
      </c>
      <c r="E62" s="1325">
        <f>+Sobadhanavi!E115</f>
        <v>0</v>
      </c>
      <c r="F62" s="1325">
        <f>+Sobadhanavi!F115</f>
        <v>83.609499999999997</v>
      </c>
      <c r="G62" s="1325">
        <f>+Sobadhanavi!G115</f>
        <v>37.743340000000003</v>
      </c>
      <c r="H62" s="1325">
        <f>+Sobadhanavi!H115</f>
        <v>56.337339999999998</v>
      </c>
      <c r="I62" s="402">
        <f t="shared" si="2"/>
        <v>177.69018</v>
      </c>
      <c r="J62"/>
      <c r="K62"/>
      <c r="L62"/>
      <c r="M62"/>
      <c r="N62" s="1327"/>
      <c r="O62" s="1327"/>
      <c r="P62"/>
      <c r="Q62"/>
      <c r="R62" s="1802"/>
      <c r="S62" s="1802"/>
      <c r="T62" s="1802"/>
      <c r="U62" s="1802"/>
      <c r="V62" s="1802"/>
      <c r="W62" s="180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</row>
    <row r="63" spans="1:39" s="1335" customFormat="1" x14ac:dyDescent="0.2">
      <c r="A63" s="2937"/>
      <c r="B63" s="83" t="s">
        <v>88</v>
      </c>
      <c r="C63" s="1325">
        <f>+Sobadhanavi!C116</f>
        <v>0</v>
      </c>
      <c r="D63" s="1325">
        <f>+Sobadhanavi!D116</f>
        <v>0</v>
      </c>
      <c r="E63" s="1325">
        <f>+Sobadhanavi!E116</f>
        <v>0</v>
      </c>
      <c r="F63" s="1325">
        <f>+Sobadhanavi!F116</f>
        <v>90.283206426591292</v>
      </c>
      <c r="G63" s="1325">
        <f>+Sobadhanavi!G116</f>
        <v>98.048876527532997</v>
      </c>
      <c r="H63" s="1325">
        <f>+Sobadhanavi!H116</f>
        <v>93.197474572346451</v>
      </c>
      <c r="I63" s="402">
        <f t="shared" si="2"/>
        <v>281.52955752647074</v>
      </c>
      <c r="J63"/>
      <c r="K63"/>
      <c r="L63"/>
      <c r="M63"/>
      <c r="N63" s="1327"/>
      <c r="O63" s="1327"/>
      <c r="P63"/>
      <c r="Q63"/>
      <c r="R63" s="1802"/>
      <c r="S63" s="1802"/>
      <c r="T63" s="1802"/>
      <c r="U63" s="1802"/>
      <c r="V63" s="1802"/>
      <c r="W63" s="1802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</row>
    <row r="64" spans="1:39" s="1335" customFormat="1" x14ac:dyDescent="0.2">
      <c r="A64" s="2936" t="s">
        <v>15</v>
      </c>
      <c r="B64" s="418" t="s">
        <v>56</v>
      </c>
      <c r="C64" s="2525">
        <f>RENW!D60</f>
        <v>0</v>
      </c>
      <c r="D64" s="2525">
        <f>RENW!E60</f>
        <v>0</v>
      </c>
      <c r="E64" s="2525">
        <f>RENW!F60</f>
        <v>0</v>
      </c>
      <c r="F64" s="2525">
        <f>RENW!G60</f>
        <v>143.06011241000007</v>
      </c>
      <c r="G64" s="2525">
        <f>RENW!H60</f>
        <v>257.57091379999997</v>
      </c>
      <c r="H64" s="2525">
        <f>RENW!I60</f>
        <v>302.69125099999997</v>
      </c>
      <c r="I64" s="165"/>
      <c r="J64"/>
      <c r="K64"/>
      <c r="L64"/>
      <c r="M64"/>
      <c r="N64" s="1327"/>
      <c r="O64" s="1327"/>
      <c r="P64"/>
      <c r="Q64" s="165"/>
      <c r="R64" s="1802"/>
      <c r="S64" s="1802"/>
      <c r="T64" s="1802"/>
      <c r="U64" s="1802"/>
      <c r="V64" s="1802"/>
      <c r="W64" s="1802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</row>
    <row r="65" spans="1:39" s="1335" customFormat="1" x14ac:dyDescent="0.2">
      <c r="A65" s="2937"/>
      <c r="B65" s="83" t="s">
        <v>88</v>
      </c>
      <c r="C65" s="658" t="e">
        <f>RENW!D57</f>
        <v>#DIV/0!</v>
      </c>
      <c r="D65" s="658" t="e">
        <f>RENW!E57</f>
        <v>#DIV/0!</v>
      </c>
      <c r="E65" s="658" t="e">
        <f>RENW!F57</f>
        <v>#DIV/0!</v>
      </c>
      <c r="F65" s="658">
        <f>RENW!G57</f>
        <v>20.444059710181854</v>
      </c>
      <c r="G65" s="658">
        <f>RENW!H57</f>
        <v>18.643701665030271</v>
      </c>
      <c r="H65" s="658">
        <f>RENW!I57</f>
        <v>18.372310176046295</v>
      </c>
      <c r="I65"/>
      <c r="J65"/>
      <c r="K65"/>
      <c r="L65"/>
      <c r="M65"/>
      <c r="N65" s="1327"/>
      <c r="O65" s="1327"/>
      <c r="P65"/>
      <c r="Q65"/>
      <c r="R65" s="1802"/>
      <c r="S65" s="1802"/>
      <c r="T65" s="1802"/>
      <c r="U65" s="1802"/>
      <c r="V65" s="1802"/>
      <c r="W65" s="1802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</row>
    <row r="66" spans="1:39" s="1336" customFormat="1" ht="13.5" customHeight="1" x14ac:dyDescent="0.2">
      <c r="A66" s="2940" t="s">
        <v>840</v>
      </c>
      <c r="B66" s="197" t="s">
        <v>56</v>
      </c>
      <c r="C66" s="2529">
        <f>DispatchSchedule!F99</f>
        <v>0</v>
      </c>
      <c r="D66" s="2529">
        <f>DispatchSchedule!G99</f>
        <v>0</v>
      </c>
      <c r="E66" s="2529">
        <f>DispatchSchedule!H99</f>
        <v>0</v>
      </c>
      <c r="F66" s="2529">
        <f>DispatchSchedule!I99</f>
        <v>204.4</v>
      </c>
      <c r="G66" s="2529">
        <f>DispatchSchedule!J99</f>
        <v>199.79999999999998</v>
      </c>
      <c r="H66" s="2529">
        <f>DispatchSchedule!K99</f>
        <v>189.3</v>
      </c>
      <c r="I66" s="165"/>
      <c r="J66"/>
      <c r="K66"/>
      <c r="L66"/>
      <c r="M66"/>
      <c r="N66" s="403"/>
      <c r="O66" s="1327"/>
      <c r="P66"/>
      <c r="Q66"/>
      <c r="R66" s="1802"/>
      <c r="S66" s="1802"/>
      <c r="T66" s="1802"/>
      <c r="U66" s="1802"/>
      <c r="V66" s="1802"/>
      <c r="W66" s="1802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</row>
    <row r="67" spans="1:39" s="1336" customFormat="1" ht="13.5" customHeight="1" x14ac:dyDescent="0.2">
      <c r="A67" s="2941"/>
      <c r="B67" s="83" t="s">
        <v>88</v>
      </c>
      <c r="C67" s="1194" t="e">
        <f>+'Solar Rooftop &amp; self generation'!C59</f>
        <v>#DIV/0!</v>
      </c>
      <c r="D67" s="1194" t="e">
        <f>+'Solar Rooftop &amp; self generation'!D59</f>
        <v>#DIV/0!</v>
      </c>
      <c r="E67" s="1194" t="e">
        <f>+'Solar Rooftop &amp; self generation'!E59</f>
        <v>#DIV/0!</v>
      </c>
      <c r="F67" s="1194">
        <f>+'Solar Rooftop &amp; self generation'!F59</f>
        <v>28.695327886357227</v>
      </c>
      <c r="G67" s="1194">
        <f>+'Solar Rooftop &amp; self generation'!G59</f>
        <v>28.69532788635723</v>
      </c>
      <c r="H67" s="1194">
        <f>+'Solar Rooftop &amp; self generation'!H59</f>
        <v>28.69532788635723</v>
      </c>
      <c r="I67"/>
      <c r="J67"/>
      <c r="K67"/>
      <c r="L67"/>
      <c r="M67"/>
      <c r="N67" s="403"/>
      <c r="O67" s="1327"/>
      <c r="P67"/>
      <c r="Q67"/>
      <c r="R67" s="1802"/>
      <c r="S67" s="1802"/>
      <c r="T67" s="1802"/>
      <c r="U67" s="1802"/>
      <c r="V67" s="1802"/>
      <c r="W67" s="1802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</row>
    <row r="68" spans="1:39" s="1336" customFormat="1" ht="12.6" hidden="1" customHeight="1" x14ac:dyDescent="0.2">
      <c r="A68" s="2936" t="s">
        <v>794</v>
      </c>
      <c r="B68" s="197" t="s">
        <v>56</v>
      </c>
      <c r="C68" s="1193">
        <f>'Solar Rooftop &amp; self generation'!C49</f>
        <v>0</v>
      </c>
      <c r="D68" s="1193">
        <f>'Solar Rooftop &amp; self generation'!D49</f>
        <v>0</v>
      </c>
      <c r="E68" s="1193">
        <f>'Solar Rooftop &amp; self generation'!E49</f>
        <v>0</v>
      </c>
      <c r="F68" s="1193">
        <f>'Solar Rooftop &amp; self generation'!F49</f>
        <v>0</v>
      </c>
      <c r="G68" s="1193">
        <f>'Solar Rooftop &amp; self generation'!G49</f>
        <v>0</v>
      </c>
      <c r="H68" s="1193">
        <f>'Solar Rooftop &amp; self generation'!H49</f>
        <v>0</v>
      </c>
      <c r="I68" s="165"/>
      <c r="J68"/>
      <c r="K68"/>
      <c r="L68"/>
      <c r="M68"/>
      <c r="N68" s="403"/>
      <c r="O68" s="1327"/>
      <c r="P68"/>
      <c r="Q68"/>
      <c r="R68" s="1802"/>
      <c r="S68" s="1802"/>
      <c r="T68" s="1802"/>
      <c r="U68" s="1802"/>
      <c r="V68" s="1802"/>
      <c r="W68" s="1802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</row>
    <row r="69" spans="1:39" s="1336" customFormat="1" hidden="1" x14ac:dyDescent="0.2">
      <c r="A69" s="2939"/>
      <c r="B69" s="83" t="s">
        <v>88</v>
      </c>
      <c r="C69" s="1194">
        <f>'Solar Rooftop &amp; self generation'!C50</f>
        <v>0</v>
      </c>
      <c r="D69" s="1194">
        <f>'Solar Rooftop &amp; self generation'!D50</f>
        <v>0</v>
      </c>
      <c r="E69" s="1194">
        <f>'Solar Rooftop &amp; self generation'!E50</f>
        <v>0</v>
      </c>
      <c r="F69" s="1194">
        <f>'Solar Rooftop &amp; self generation'!F50</f>
        <v>0</v>
      </c>
      <c r="G69" s="1194">
        <f>'Solar Rooftop &amp; self generation'!G50</f>
        <v>0</v>
      </c>
      <c r="H69" s="1194">
        <f>'Solar Rooftop &amp; self generation'!H50</f>
        <v>0</v>
      </c>
      <c r="I69"/>
      <c r="J69"/>
      <c r="K69"/>
      <c r="L69"/>
      <c r="M69"/>
      <c r="N69" s="403"/>
      <c r="O69" s="1327"/>
      <c r="P69"/>
      <c r="Q69"/>
      <c r="R69" s="1802"/>
      <c r="S69" s="1802"/>
      <c r="T69" s="1802"/>
      <c r="U69" s="1802"/>
      <c r="V69" s="1802"/>
      <c r="W69" s="1802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</row>
    <row r="70" spans="1:39" s="185" customFormat="1" ht="42.75" customHeight="1" x14ac:dyDescent="0.2">
      <c r="A70" s="1761" t="s">
        <v>175</v>
      </c>
      <c r="B70" s="342" t="s">
        <v>56</v>
      </c>
      <c r="C70" s="2523">
        <f>SUM(C22,C28,C30,C32,C34,C36,C38,C40,C42,C44,C46,C48,C50,C52,C54,C56,C58,C60,C62,C64,C66)</f>
        <v>0</v>
      </c>
      <c r="D70" s="2523">
        <f>SUM(D22,D28,D30,D32,D34,D36,D38,D40,D42,D44,D46,D48,D50,D52,D54,D56,D58,D60,D62,D64,D66)</f>
        <v>0</v>
      </c>
      <c r="E70" s="2523">
        <f>SUM(E22,E28,E30,E32,E34,E36,E38,E40,E42,E44,E46,E48,E50,E52,E54,E56,E58,E60,E62,E64,E66)</f>
        <v>0</v>
      </c>
      <c r="F70" s="2523">
        <f t="shared" ref="F70:H70" si="3">SUM(F22,F28,F30,F32,F34,F36,F38,F40,F42,F44,F46,F48,F50,F52,F54,F56,F58,F60,F62,F64,F66)</f>
        <v>1505.2036644100003</v>
      </c>
      <c r="G70" s="2523">
        <f t="shared" si="3"/>
        <v>1612.9662837999999</v>
      </c>
      <c r="H70" s="2523">
        <f t="shared" si="3"/>
        <v>1576.353901</v>
      </c>
      <c r="I70" s="2524">
        <f>F70+G70+H70</f>
        <v>4694.5238492099998</v>
      </c>
      <c r="J70" s="317"/>
      <c r="K70" s="317"/>
      <c r="L70" s="317"/>
      <c r="M70" s="317"/>
      <c r="N70" s="1204"/>
      <c r="O70" s="184"/>
      <c r="P70"/>
      <c r="Q70"/>
      <c r="R70" s="1802"/>
      <c r="S70" s="1802"/>
      <c r="T70" s="1802"/>
      <c r="U70" s="1802"/>
      <c r="V70" s="1802"/>
      <c r="W70" s="1802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</row>
    <row r="71" spans="1:39" ht="16.2" x14ac:dyDescent="0.3">
      <c r="A71" s="1797"/>
      <c r="C71" s="236"/>
      <c r="D71" s="236"/>
      <c r="E71" s="236"/>
      <c r="F71" s="236"/>
      <c r="G71" s="236"/>
      <c r="H71" s="236"/>
      <c r="I71" s="2530"/>
      <c r="J71" s="184"/>
      <c r="K71" s="184"/>
      <c r="L71" s="184"/>
      <c r="M71" s="184"/>
      <c r="O71" s="1798"/>
      <c r="R71" s="1802"/>
      <c r="S71" s="1802"/>
      <c r="T71" s="1802"/>
      <c r="U71" s="1802"/>
      <c r="V71" s="1802"/>
      <c r="W71" s="1802"/>
    </row>
    <row r="72" spans="1:39" x14ac:dyDescent="0.2">
      <c r="A72" s="47" t="s">
        <v>389</v>
      </c>
      <c r="B72" s="47" t="s">
        <v>94</v>
      </c>
      <c r="C72" s="1039" t="e">
        <f>C6*C70*1000000</f>
        <v>#DIV/0!</v>
      </c>
      <c r="D72" s="1039" t="e">
        <f t="shared" ref="D72:H72" si="4">D6*D70*1000000</f>
        <v>#DIV/0!</v>
      </c>
      <c r="E72" s="1039" t="e">
        <f t="shared" si="4"/>
        <v>#DIV/0!</v>
      </c>
      <c r="F72" s="1039">
        <f t="shared" si="4"/>
        <v>41135637809.293495</v>
      </c>
      <c r="G72" s="1039">
        <f t="shared" si="4"/>
        <v>34937319352.503914</v>
      </c>
      <c r="H72" s="1039">
        <f t="shared" si="4"/>
        <v>35377841691.582596</v>
      </c>
    </row>
    <row r="73" spans="1:39" x14ac:dyDescent="0.2">
      <c r="C73" s="150"/>
      <c r="D73" s="150"/>
      <c r="E73" s="150"/>
      <c r="F73" s="150"/>
      <c r="G73" s="150"/>
      <c r="H73" s="150"/>
      <c r="I73" s="1088"/>
      <c r="J73" s="241"/>
      <c r="K73" s="241"/>
      <c r="L73" s="241"/>
      <c r="M73" s="241"/>
    </row>
    <row r="74" spans="1:39" x14ac:dyDescent="0.2">
      <c r="A74" s="47" t="s">
        <v>389</v>
      </c>
      <c r="B74" s="484" t="s">
        <v>746</v>
      </c>
      <c r="C74" s="1043" t="e">
        <f>C72/1000000</f>
        <v>#DIV/0!</v>
      </c>
      <c r="D74" s="1043" t="e">
        <f t="shared" ref="D74:H74" si="5">D72/1000000</f>
        <v>#DIV/0!</v>
      </c>
      <c r="E74" s="1043" t="e">
        <f t="shared" si="5"/>
        <v>#DIV/0!</v>
      </c>
      <c r="F74" s="1043">
        <f t="shared" si="5"/>
        <v>41135.637809293497</v>
      </c>
      <c r="G74" s="1043">
        <f t="shared" si="5"/>
        <v>34937.319352503917</v>
      </c>
      <c r="H74" s="1073">
        <f t="shared" si="5"/>
        <v>35377.841691582595</v>
      </c>
      <c r="I74" s="1088">
        <f>F74+G74+H74</f>
        <v>111450.79885338001</v>
      </c>
    </row>
    <row r="75" spans="1:39" x14ac:dyDescent="0.2">
      <c r="B75" s="415"/>
      <c r="C75" s="1039" t="e">
        <f>C34*C35+C30*C31+C32*C33+C38*C39+C48*C49+C54*C55+C56*C57+C42*C43+C64*C65+C36*C37+C46*C47+C44*C45+C50*C51+C52*C53+C66*C67+C68*C69+C40*C41+C58*C59+C60*C61+C62*C63</f>
        <v>#DIV/0!</v>
      </c>
      <c r="D75" s="1039" t="e">
        <f t="shared" ref="D75:H75" si="6">D34*D35+D30*D31+D32*D33+D38*D39+D48*D49+D54*D55+D56*D57+D42*D43+D64*D65+D36*D37+D46*D47+D44*D45+D50*D51+D52*D53+D66*D67+D68*D69+D40*D41+D58*D59+D60*D61+D62*D63</f>
        <v>#DIV/0!</v>
      </c>
      <c r="E75" s="1039" t="e">
        <f t="shared" si="6"/>
        <v>#DIV/0!</v>
      </c>
      <c r="F75" s="1039">
        <f t="shared" si="6"/>
        <v>41135.63780929349</v>
      </c>
      <c r="G75" s="1039">
        <f t="shared" si="6"/>
        <v>34937.31935250391</v>
      </c>
      <c r="H75" s="1039">
        <f t="shared" si="6"/>
        <v>35377.841691582602</v>
      </c>
      <c r="I75" s="1088">
        <f>F75+G75+H75</f>
        <v>111450.79885337999</v>
      </c>
      <c r="O75" s="184"/>
    </row>
    <row r="76" spans="1:39" ht="18" customHeight="1" x14ac:dyDescent="0.2">
      <c r="B76" s="415"/>
      <c r="C76" s="150"/>
      <c r="D76" s="150"/>
      <c r="E76" s="150" t="e">
        <f>+C75+D75+E75</f>
        <v>#DIV/0!</v>
      </c>
      <c r="F76" s="150"/>
      <c r="G76" s="150"/>
      <c r="H76" s="150"/>
    </row>
    <row r="77" spans="1:39" ht="36" x14ac:dyDescent="0.2">
      <c r="A77" s="1094" t="s">
        <v>747</v>
      </c>
      <c r="B77" s="1089" t="s">
        <v>748</v>
      </c>
      <c r="E77" s="150">
        <f>+C70+D70+E70</f>
        <v>0</v>
      </c>
      <c r="F77" s="2279">
        <f>I74</f>
        <v>111450.79885338001</v>
      </c>
      <c r="G77" s="150"/>
      <c r="H77" s="150"/>
      <c r="I77" s="414"/>
      <c r="J77" s="414"/>
      <c r="K77" s="414"/>
      <c r="L77" s="414"/>
      <c r="M77" s="414"/>
      <c r="N77" s="414"/>
    </row>
    <row r="78" spans="1:39" ht="36" x14ac:dyDescent="0.2">
      <c r="A78" s="1094" t="s">
        <v>749</v>
      </c>
      <c r="B78" s="1089" t="s">
        <v>56</v>
      </c>
      <c r="E78" s="2801"/>
      <c r="F78" s="2569">
        <f>I70</f>
        <v>4694.5238492099998</v>
      </c>
      <c r="G78" s="150"/>
      <c r="H78" s="150"/>
    </row>
    <row r="79" spans="1:39" ht="36" x14ac:dyDescent="0.2">
      <c r="A79" s="1094" t="s">
        <v>750</v>
      </c>
      <c r="B79" s="1089" t="s">
        <v>751</v>
      </c>
      <c r="E79" s="2169"/>
      <c r="F79" s="1978">
        <f>F77/F78</f>
        <v>23.740597009031084</v>
      </c>
      <c r="G79" s="414"/>
      <c r="H79" s="150"/>
    </row>
    <row r="80" spans="1:39" ht="28.8" x14ac:dyDescent="0.2">
      <c r="A80" s="1092" t="s">
        <v>790</v>
      </c>
      <c r="B80" s="1093" t="s">
        <v>751</v>
      </c>
      <c r="F80" s="1979">
        <f>F79/F84*100</f>
        <v>24.553311623778143</v>
      </c>
      <c r="G80" s="218"/>
      <c r="H80" s="241"/>
    </row>
    <row r="81" spans="1:9" x14ac:dyDescent="0.2">
      <c r="B81" s="415"/>
      <c r="F81" s="150"/>
      <c r="H81" s="241"/>
    </row>
    <row r="82" spans="1:9" x14ac:dyDescent="0.2">
      <c r="B82" s="415"/>
      <c r="F82" s="150"/>
    </row>
    <row r="83" spans="1:9" x14ac:dyDescent="0.2">
      <c r="A83" s="484" t="s">
        <v>789</v>
      </c>
      <c r="B83" s="484"/>
      <c r="F83" s="1865">
        <v>3.31</v>
      </c>
      <c r="G83" s="2825" t="s">
        <v>1298</v>
      </c>
    </row>
    <row r="84" spans="1:9" x14ac:dyDescent="0.2">
      <c r="A84" s="47"/>
      <c r="B84" s="47"/>
      <c r="F84" s="1864">
        <f>100-F83</f>
        <v>96.69</v>
      </c>
    </row>
    <row r="85" spans="1:9" x14ac:dyDescent="0.2">
      <c r="F85" s="165">
        <f>100-2.82</f>
        <v>97.18</v>
      </c>
    </row>
    <row r="86" spans="1:9" x14ac:dyDescent="0.2">
      <c r="A86" s="415"/>
      <c r="C86" s="165"/>
      <c r="D86" s="165"/>
      <c r="E86" s="165"/>
      <c r="F86" s="165"/>
      <c r="G86" s="165"/>
      <c r="H86" s="165"/>
    </row>
    <row r="87" spans="1:9" x14ac:dyDescent="0.2">
      <c r="A87" s="1" t="s">
        <v>788</v>
      </c>
      <c r="C87" s="1106"/>
      <c r="D87" s="1106"/>
      <c r="E87" s="1106"/>
      <c r="F87" s="1106"/>
      <c r="G87" s="1106"/>
      <c r="H87" s="402"/>
      <c r="I87" s="1074"/>
    </row>
    <row r="88" spans="1:9" x14ac:dyDescent="0.2">
      <c r="A88" s="415" t="s">
        <v>1059</v>
      </c>
      <c r="C88" s="1106"/>
      <c r="D88" s="1106"/>
      <c r="E88" s="1106"/>
      <c r="F88" s="1106"/>
      <c r="G88" s="1106"/>
      <c r="H88" s="402"/>
    </row>
    <row r="89" spans="1:9" x14ac:dyDescent="0.2">
      <c r="A89" s="415"/>
      <c r="C89" s="1286"/>
      <c r="D89" s="1286"/>
      <c r="E89" s="1286"/>
      <c r="F89" s="1286"/>
      <c r="G89" s="1286"/>
      <c r="H89" s="1286"/>
      <c r="I89" s="1286"/>
    </row>
    <row r="90" spans="1:9" x14ac:dyDescent="0.2">
      <c r="A90" s="2938" t="s">
        <v>1048</v>
      </c>
      <c r="B90" s="408" t="s">
        <v>705</v>
      </c>
      <c r="F90" s="47" t="s">
        <v>706</v>
      </c>
      <c r="G90" s="47" t="s">
        <v>707</v>
      </c>
    </row>
    <row r="91" spans="1:9" ht="14.4" x14ac:dyDescent="0.3">
      <c r="A91" s="2938"/>
      <c r="B91" s="1748">
        <v>0.57990219980975</v>
      </c>
      <c r="F91" s="1748">
        <v>0.19726293690765259</v>
      </c>
      <c r="G91" s="1748">
        <v>0.22283486328259736</v>
      </c>
    </row>
    <row r="92" spans="1:9" hidden="1" x14ac:dyDescent="0.2"/>
    <row r="93" spans="1:9" hidden="1" x14ac:dyDescent="0.2">
      <c r="C93" s="322"/>
    </row>
    <row r="94" spans="1:9" hidden="1" x14ac:dyDescent="0.2">
      <c r="C94" s="615"/>
      <c r="D94" s="615"/>
      <c r="E94" s="615"/>
      <c r="F94" s="615"/>
      <c r="G94" s="615"/>
      <c r="H94" s="1075"/>
    </row>
    <row r="95" spans="1:9" hidden="1" x14ac:dyDescent="0.2"/>
    <row r="96" spans="1:9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spans="1:18" hidden="1" x14ac:dyDescent="0.2"/>
    <row r="114" spans="1:18" hidden="1" x14ac:dyDescent="0.2"/>
    <row r="115" spans="1:18" hidden="1" x14ac:dyDescent="0.2"/>
    <row r="116" spans="1:18" hidden="1" x14ac:dyDescent="0.2"/>
    <row r="117" spans="1:18" hidden="1" x14ac:dyDescent="0.2"/>
    <row r="118" spans="1:18" hidden="1" x14ac:dyDescent="0.2"/>
    <row r="119" spans="1:18" hidden="1" x14ac:dyDescent="0.2"/>
    <row r="120" spans="1:18" ht="50.4" x14ac:dyDescent="0.2">
      <c r="J120" s="456" t="s">
        <v>1425</v>
      </c>
      <c r="K120" s="2849"/>
      <c r="L120" s="2849"/>
      <c r="M120" s="2850" t="s">
        <v>1461</v>
      </c>
      <c r="N120" s="2850" t="s">
        <v>1429</v>
      </c>
      <c r="O120" s="2850" t="s">
        <v>1426</v>
      </c>
      <c r="P120" s="2850" t="s">
        <v>1427</v>
      </c>
      <c r="Q120" s="2850" t="s">
        <v>1428</v>
      </c>
      <c r="R120" s="2848"/>
    </row>
    <row r="121" spans="1:18" x14ac:dyDescent="0.2">
      <c r="A121" s="2586" t="s">
        <v>1275</v>
      </c>
      <c r="B121" s="2587" t="s">
        <v>746</v>
      </c>
      <c r="C121" s="2588" t="e">
        <f>(C30*C31+C32*C33+C34*C35+C36*C37+C38*C39+C40*C41+C42*C43+C44*C45+C46*C47+C48*C49+C52*C53+C50*C51)</f>
        <v>#DIV/0!</v>
      </c>
      <c r="D121" s="2588" t="e">
        <f t="shared" ref="D121:H121" si="7">(D30*D31+D32*D33+D34*D35+D36*D37+D38*D39+D40*D41+D42*D43+D44*D45+D46*D47+D48*D49+D52*D53+D50*D51)</f>
        <v>#DIV/0!</v>
      </c>
      <c r="E121" s="2588" t="e">
        <f t="shared" si="7"/>
        <v>#DIV/0!</v>
      </c>
      <c r="F121" s="2588">
        <f t="shared" si="7"/>
        <v>17634.510462258288</v>
      </c>
      <c r="G121" s="2588">
        <f t="shared" si="7"/>
        <v>14393.486020893988</v>
      </c>
      <c r="H121" s="2588">
        <f t="shared" si="7"/>
        <v>12640.722293424606</v>
      </c>
      <c r="I121" s="2589">
        <f>+SUM(F121:H121)</f>
        <v>44668.718776576876</v>
      </c>
      <c r="J121" s="2847">
        <v>77319.324105731197</v>
      </c>
      <c r="K121" s="1053" t="s">
        <v>1275</v>
      </c>
      <c r="L121" s="2933" t="s">
        <v>1307</v>
      </c>
      <c r="M121" s="2897">
        <f>+F121+G121+H121</f>
        <v>44668.718776576876</v>
      </c>
      <c r="N121" s="1056" t="e">
        <f>+C121+D121+E121</f>
        <v>#DIV/0!</v>
      </c>
      <c r="O121" s="1056">
        <v>49769.814841758038</v>
      </c>
      <c r="P121" s="1056">
        <v>49432.817803216298</v>
      </c>
      <c r="Q121" s="1056">
        <v>39746.42815969573</v>
      </c>
      <c r="R121" s="241"/>
    </row>
    <row r="122" spans="1:18" x14ac:dyDescent="0.2">
      <c r="A122" s="2590" t="s">
        <v>541</v>
      </c>
      <c r="B122" s="1711" t="s">
        <v>746</v>
      </c>
      <c r="C122" s="2591">
        <f>C54*C55+C58*C59+C60*C61+C56*C57+C62*C63</f>
        <v>0</v>
      </c>
      <c r="D122" s="2591">
        <f t="shared" ref="D122:H122" si="8">D54*D55+D58*D59+D60*D61+D56*D57+D62*D63</f>
        <v>0</v>
      </c>
      <c r="E122" s="2592">
        <f t="shared" si="8"/>
        <v>0</v>
      </c>
      <c r="F122" s="2592">
        <f t="shared" si="8"/>
        <v>14711.072846808416</v>
      </c>
      <c r="G122" s="2592">
        <f t="shared" si="8"/>
        <v>10008.431545439325</v>
      </c>
      <c r="H122" s="2592">
        <f t="shared" si="8"/>
        <v>11743.956278323087</v>
      </c>
      <c r="I122" s="2589">
        <f t="shared" ref="I122:I126" si="9">+SUM(F122:H122)</f>
        <v>36463.460670570828</v>
      </c>
      <c r="J122" s="2847">
        <v>11175.007386142674</v>
      </c>
      <c r="K122" s="1053" t="s">
        <v>541</v>
      </c>
      <c r="L122" s="2934"/>
      <c r="M122" s="2897">
        <f t="shared" ref="M122:M126" si="10">+F122+G122+H122</f>
        <v>36463.460670570828</v>
      </c>
      <c r="N122" s="1056">
        <f t="shared" ref="N122:N125" si="11">+C122+D122+E122</f>
        <v>0</v>
      </c>
      <c r="O122" s="1056">
        <v>15306.836786015841</v>
      </c>
      <c r="P122" s="1056">
        <v>15932.007183609603</v>
      </c>
      <c r="Q122" s="1056">
        <v>4911.2261185334373</v>
      </c>
      <c r="R122" s="241"/>
    </row>
    <row r="123" spans="1:18" x14ac:dyDescent="0.2">
      <c r="A123" s="2593" t="s">
        <v>1276</v>
      </c>
      <c r="B123" s="2594" t="s">
        <v>746</v>
      </c>
      <c r="C123" s="2595" t="e">
        <f>+C64*C65</f>
        <v>#DIV/0!</v>
      </c>
      <c r="D123" s="2595" t="e">
        <f t="shared" ref="D123:H123" si="12">+D64*D65</f>
        <v>#DIV/0!</v>
      </c>
      <c r="E123" s="2595" t="e">
        <f t="shared" si="12"/>
        <v>#DIV/0!</v>
      </c>
      <c r="F123" s="2595">
        <f t="shared" si="12"/>
        <v>2924.7294802553697</v>
      </c>
      <c r="G123" s="2595">
        <f t="shared" si="12"/>
        <v>4802.0752744764277</v>
      </c>
      <c r="H123" s="2595">
        <f t="shared" si="12"/>
        <v>5561.1375509474829</v>
      </c>
      <c r="I123" s="2589">
        <f t="shared" si="9"/>
        <v>13287.94230567928</v>
      </c>
      <c r="J123" s="2847">
        <v>22255.087796220596</v>
      </c>
      <c r="K123" s="1053" t="s">
        <v>1431</v>
      </c>
      <c r="L123" s="2934"/>
      <c r="M123" s="2897">
        <f t="shared" si="10"/>
        <v>13287.94230567928</v>
      </c>
      <c r="N123" s="1056" t="e">
        <f t="shared" si="11"/>
        <v>#DIV/0!</v>
      </c>
      <c r="O123" s="1056">
        <v>8089.8466017357641</v>
      </c>
      <c r="P123" s="1056">
        <v>7823.016806620074</v>
      </c>
      <c r="Q123" s="1056">
        <v>10773.310526180598</v>
      </c>
      <c r="R123" s="241"/>
    </row>
    <row r="124" spans="1:18" x14ac:dyDescent="0.2">
      <c r="A124" s="2596" t="s">
        <v>1277</v>
      </c>
      <c r="B124" s="2597" t="s">
        <v>746</v>
      </c>
      <c r="C124" s="2598" t="e">
        <f>+C66*C67</f>
        <v>#DIV/0!</v>
      </c>
      <c r="D124" s="2598" t="e">
        <f>+D66*D67</f>
        <v>#DIV/0!</v>
      </c>
      <c r="E124" s="2598" t="e">
        <f t="shared" ref="E124:G124" si="13">+E66*E67</f>
        <v>#DIV/0!</v>
      </c>
      <c r="F124" s="2598">
        <f t="shared" si="13"/>
        <v>5865.3250199714175</v>
      </c>
      <c r="G124" s="2598">
        <f t="shared" si="13"/>
        <v>5733.3265116941739</v>
      </c>
      <c r="H124" s="2598">
        <f>+H66*H67</f>
        <v>5432.025568887424</v>
      </c>
      <c r="I124" s="2589">
        <f t="shared" si="9"/>
        <v>17030.677100553017</v>
      </c>
      <c r="J124" s="2847">
        <v>25664.292311735084</v>
      </c>
      <c r="K124" s="1053" t="s">
        <v>1430</v>
      </c>
      <c r="L124" s="2934"/>
      <c r="M124" s="2897">
        <f t="shared" si="10"/>
        <v>17030.677100553017</v>
      </c>
      <c r="N124" s="1056" t="e">
        <f t="shared" si="11"/>
        <v>#DIV/0!</v>
      </c>
      <c r="O124" s="1056">
        <v>8345.6777611300004</v>
      </c>
      <c r="P124" s="1056">
        <v>5287.2142998400004</v>
      </c>
      <c r="Q124" s="1056">
        <v>13038.361068240771</v>
      </c>
      <c r="R124" s="241"/>
    </row>
    <row r="125" spans="1:18" x14ac:dyDescent="0.2">
      <c r="A125" s="2596" t="s">
        <v>79</v>
      </c>
      <c r="B125" s="2597"/>
      <c r="C125" s="2598" t="e">
        <f>+C42*C43</f>
        <v>#DIV/0!</v>
      </c>
      <c r="D125" s="2598" t="e">
        <f t="shared" ref="D125:H125" si="14">+D42*D43</f>
        <v>#DIV/0!</v>
      </c>
      <c r="E125" s="2598" t="e">
        <f t="shared" si="14"/>
        <v>#DIV/0!</v>
      </c>
      <c r="F125" s="2598">
        <f t="shared" si="14"/>
        <v>6711.5728130828074</v>
      </c>
      <c r="G125" s="2598">
        <f t="shared" si="14"/>
        <v>6845.6914896115468</v>
      </c>
      <c r="H125" s="2598">
        <f t="shared" si="14"/>
        <v>5073.4380432472353</v>
      </c>
      <c r="I125" s="2589">
        <f t="shared" si="9"/>
        <v>18630.70234594159</v>
      </c>
      <c r="J125" s="2847">
        <v>47980.289380451955</v>
      </c>
      <c r="K125" s="1053" t="s">
        <v>79</v>
      </c>
      <c r="L125" s="2934"/>
      <c r="M125" s="2897">
        <f t="shared" si="10"/>
        <v>18630.70234594159</v>
      </c>
      <c r="N125" s="1056" t="e">
        <f t="shared" si="11"/>
        <v>#DIV/0!</v>
      </c>
      <c r="O125" s="1056">
        <v>26916.0966012024</v>
      </c>
      <c r="P125" s="1056">
        <v>31375.517240366302</v>
      </c>
      <c r="Q125" s="1056">
        <v>21375.024684447606</v>
      </c>
      <c r="R125" s="241"/>
    </row>
    <row r="126" spans="1:18" x14ac:dyDescent="0.2">
      <c r="A126" s="1" t="s">
        <v>1278</v>
      </c>
      <c r="B126" s="415"/>
      <c r="C126" s="2599" t="e">
        <f>+C121-C125</f>
        <v>#DIV/0!</v>
      </c>
      <c r="D126" s="2599" t="e">
        <f t="shared" ref="D126:H126" si="15">+D121-D125</f>
        <v>#DIV/0!</v>
      </c>
      <c r="E126" s="2599" t="e">
        <f t="shared" si="15"/>
        <v>#DIV/0!</v>
      </c>
      <c r="F126" s="444">
        <f t="shared" si="15"/>
        <v>10922.937649175481</v>
      </c>
      <c r="G126" s="2599">
        <f>+G121-G125</f>
        <v>7547.7945312824413</v>
      </c>
      <c r="H126" s="2599">
        <f t="shared" si="15"/>
        <v>7567.2842501773703</v>
      </c>
      <c r="I126" s="2589">
        <f t="shared" si="9"/>
        <v>26038.016430635293</v>
      </c>
      <c r="K126" s="1053" t="s">
        <v>445</v>
      </c>
      <c r="L126" s="2935"/>
      <c r="M126" s="2897">
        <f t="shared" si="10"/>
        <v>26038.016430635293</v>
      </c>
      <c r="N126" s="1056" t="e">
        <f>+N121+N122+N123+N124</f>
        <v>#DIV/0!</v>
      </c>
      <c r="O126" s="1056">
        <f t="shared" ref="O126:Q126" si="16">+O121+O122+O123+O124</f>
        <v>81512.175990639647</v>
      </c>
      <c r="P126" s="1056">
        <f t="shared" si="16"/>
        <v>78475.056093285966</v>
      </c>
      <c r="Q126" s="1056">
        <f t="shared" si="16"/>
        <v>68469.32587265053</v>
      </c>
      <c r="R126"/>
    </row>
    <row r="127" spans="1:18" x14ac:dyDescent="0.2">
      <c r="L127" s="218"/>
      <c r="M127" s="218"/>
      <c r="R127"/>
    </row>
    <row r="128" spans="1:18" x14ac:dyDescent="0.2">
      <c r="A128" s="2600" t="s">
        <v>1275</v>
      </c>
      <c r="B128" s="2587" t="s">
        <v>56</v>
      </c>
      <c r="C128" s="2601">
        <f>+C30+C32+C34+C36+C38+C40+C42+C44+C46+C48+C50+C52</f>
        <v>0</v>
      </c>
      <c r="D128" s="47">
        <f t="shared" ref="D128:H128" si="17">+D30+D32+D34+D36+D38+D40+D42+D44+D46+D48+D50+D52</f>
        <v>0</v>
      </c>
      <c r="E128" s="47">
        <f t="shared" si="17"/>
        <v>0</v>
      </c>
      <c r="F128" s="47">
        <f t="shared" si="17"/>
        <v>630.39349000000016</v>
      </c>
      <c r="G128" s="47">
        <f t="shared" si="17"/>
        <v>611.95751000000007</v>
      </c>
      <c r="H128" s="47">
        <f t="shared" si="17"/>
        <v>486.00380999999999</v>
      </c>
      <c r="I128" s="2601">
        <f>SUM(C128:H128)</f>
        <v>1728.35481</v>
      </c>
      <c r="J128" s="402">
        <v>3356.4947407300001</v>
      </c>
      <c r="K128" s="1053" t="s">
        <v>1275</v>
      </c>
      <c r="L128" s="2933" t="s">
        <v>56</v>
      </c>
      <c r="M128" s="2898">
        <f>+F128+G128+H128</f>
        <v>1728.35481</v>
      </c>
      <c r="N128" s="2601">
        <f>+C128+D128+E128</f>
        <v>0</v>
      </c>
      <c r="O128" s="2601">
        <v>1856.3414589999998</v>
      </c>
      <c r="P128" s="2601">
        <v>1852.884801205</v>
      </c>
      <c r="Q128" s="2601">
        <v>1648.3361890000001</v>
      </c>
      <c r="R128" s="236"/>
    </row>
    <row r="129" spans="1:18" x14ac:dyDescent="0.2">
      <c r="A129" s="2602" t="s">
        <v>541</v>
      </c>
      <c r="B129" s="2587" t="s">
        <v>56</v>
      </c>
      <c r="C129" s="2603">
        <f>+C54+C56+C58+C60+C62</f>
        <v>0</v>
      </c>
      <c r="D129" s="2603">
        <f t="shared" ref="D129:H129" si="18">+D54+D56+D58+D60+D62</f>
        <v>0</v>
      </c>
      <c r="E129" s="2603">
        <f t="shared" si="18"/>
        <v>0</v>
      </c>
      <c r="F129" s="2603">
        <f t="shared" si="18"/>
        <v>233.8022</v>
      </c>
      <c r="G129" s="2603">
        <f>+G54+G56+G58+G60+G62</f>
        <v>168.36234000000002</v>
      </c>
      <c r="H129" s="2603">
        <f t="shared" si="18"/>
        <v>191.08204000000001</v>
      </c>
      <c r="I129" s="2601">
        <f t="shared" ref="I129:I134" si="19">SUM(C129:H129)</f>
        <v>593.24657999999999</v>
      </c>
      <c r="J129" s="402">
        <v>239.78586000000001</v>
      </c>
      <c r="K129" s="1053" t="s">
        <v>541</v>
      </c>
      <c r="L129" s="2934"/>
      <c r="M129" s="2898">
        <f t="shared" ref="M129:M134" si="20">+F129+G129+H129</f>
        <v>593.24657999999999</v>
      </c>
      <c r="N129" s="2601">
        <f t="shared" ref="N129:N133" si="21">+C129+D129+E129</f>
        <v>0</v>
      </c>
      <c r="O129" s="2601">
        <v>281.59519599999999</v>
      </c>
      <c r="P129" s="2601">
        <v>331.02084400000001</v>
      </c>
      <c r="Q129" s="2601">
        <v>98.315974000000011</v>
      </c>
      <c r="R129" s="236"/>
    </row>
    <row r="130" spans="1:18" x14ac:dyDescent="0.2">
      <c r="A130" s="2604" t="s">
        <v>1276</v>
      </c>
      <c r="B130" s="2587" t="s">
        <v>56</v>
      </c>
      <c r="C130" s="182">
        <f>+C64</f>
        <v>0</v>
      </c>
      <c r="D130" s="47">
        <f t="shared" ref="D130:H130" si="22">+D64</f>
        <v>0</v>
      </c>
      <c r="E130" s="47">
        <f t="shared" si="22"/>
        <v>0</v>
      </c>
      <c r="F130" s="47">
        <f t="shared" si="22"/>
        <v>143.06011241000007</v>
      </c>
      <c r="G130" s="47">
        <f t="shared" si="22"/>
        <v>257.57091379999997</v>
      </c>
      <c r="H130" s="47">
        <f t="shared" si="22"/>
        <v>302.69125099999997</v>
      </c>
      <c r="I130" s="2601">
        <f t="shared" si="19"/>
        <v>703.32227721000004</v>
      </c>
      <c r="J130" s="402">
        <v>1293.5433229400001</v>
      </c>
      <c r="K130" s="1053" t="s">
        <v>1431</v>
      </c>
      <c r="L130" s="2934"/>
      <c r="M130" s="2898">
        <f t="shared" si="20"/>
        <v>703.32227721000004</v>
      </c>
      <c r="N130" s="2601">
        <f t="shared" si="21"/>
        <v>0</v>
      </c>
      <c r="O130" s="2601">
        <v>448.14258376764809</v>
      </c>
      <c r="P130" s="2601">
        <v>422.77541392999996</v>
      </c>
      <c r="Q130" s="2601">
        <v>630.72893793999992</v>
      </c>
      <c r="R130" s="236"/>
    </row>
    <row r="131" spans="1:18" x14ac:dyDescent="0.2">
      <c r="A131" s="2605" t="s">
        <v>1277</v>
      </c>
      <c r="B131" s="2587" t="s">
        <v>56</v>
      </c>
      <c r="C131" s="182">
        <f>+C66</f>
        <v>0</v>
      </c>
      <c r="D131" s="47">
        <f t="shared" ref="D131:H131" si="23">+D66</f>
        <v>0</v>
      </c>
      <c r="E131" s="47">
        <f t="shared" si="23"/>
        <v>0</v>
      </c>
      <c r="F131" s="47">
        <f t="shared" si="23"/>
        <v>204.4</v>
      </c>
      <c r="G131" s="47">
        <f t="shared" si="23"/>
        <v>199.79999999999998</v>
      </c>
      <c r="H131" s="47">
        <f t="shared" si="23"/>
        <v>189.3</v>
      </c>
      <c r="I131" s="2601">
        <f t="shared" si="19"/>
        <v>593.5</v>
      </c>
      <c r="J131" s="402">
        <v>877.71686999999997</v>
      </c>
      <c r="K131" s="1053" t="s">
        <v>1430</v>
      </c>
      <c r="L131" s="2934"/>
      <c r="M131" s="2898">
        <f t="shared" si="20"/>
        <v>593.5</v>
      </c>
      <c r="N131" s="2601">
        <f t="shared" si="21"/>
        <v>0</v>
      </c>
      <c r="O131" s="2601">
        <v>368.11494600000003</v>
      </c>
      <c r="P131" s="2601">
        <v>210.46016</v>
      </c>
      <c r="Q131" s="2601">
        <v>461.89184999999998</v>
      </c>
      <c r="R131" s="236"/>
    </row>
    <row r="132" spans="1:18" x14ac:dyDescent="0.2">
      <c r="A132" s="1053" t="s">
        <v>79</v>
      </c>
      <c r="B132" s="2587" t="s">
        <v>56</v>
      </c>
      <c r="C132" s="2606">
        <f>+C42</f>
        <v>0</v>
      </c>
      <c r="D132" s="47">
        <f t="shared" ref="D132:H132" si="24">+D42</f>
        <v>0</v>
      </c>
      <c r="E132" s="47">
        <f t="shared" si="24"/>
        <v>0</v>
      </c>
      <c r="F132" s="47">
        <f t="shared" si="24"/>
        <v>410.24100000000004</v>
      </c>
      <c r="G132" s="47">
        <f t="shared" si="24"/>
        <v>423.89049999999997</v>
      </c>
      <c r="H132" s="47">
        <f t="shared" si="24"/>
        <v>297.45983999999999</v>
      </c>
      <c r="I132" s="2601">
        <f t="shared" si="19"/>
        <v>1131.5913399999999</v>
      </c>
      <c r="J132" s="402">
        <v>2624.9714400000003</v>
      </c>
      <c r="K132" s="1053" t="s">
        <v>79</v>
      </c>
      <c r="L132" s="2934"/>
      <c r="M132" s="2898">
        <f t="shared" si="20"/>
        <v>1131.5913399999999</v>
      </c>
      <c r="N132" s="2601">
        <f t="shared" si="21"/>
        <v>0</v>
      </c>
      <c r="O132" s="2601">
        <v>1382.9018799999999</v>
      </c>
      <c r="P132" s="2601">
        <v>1474.0529999999999</v>
      </c>
      <c r="Q132" s="2601">
        <v>1202.7473</v>
      </c>
      <c r="R132" s="236"/>
    </row>
    <row r="133" spans="1:18" x14ac:dyDescent="0.2">
      <c r="A133" s="1053" t="s">
        <v>962</v>
      </c>
      <c r="B133" s="2587" t="s">
        <v>56</v>
      </c>
      <c r="C133" s="2607">
        <f>+C22</f>
        <v>0</v>
      </c>
      <c r="D133" s="2607">
        <f t="shared" ref="D133:H133" si="25">+D22</f>
        <v>0</v>
      </c>
      <c r="E133" s="2607">
        <f t="shared" si="25"/>
        <v>0</v>
      </c>
      <c r="F133" s="2607">
        <f t="shared" si="25"/>
        <v>287.8</v>
      </c>
      <c r="G133" s="2607">
        <f t="shared" si="25"/>
        <v>332.3</v>
      </c>
      <c r="H133" s="2607">
        <f t="shared" si="25"/>
        <v>348.4</v>
      </c>
      <c r="I133" s="2601">
        <f t="shared" si="19"/>
        <v>968.5</v>
      </c>
      <c r="J133" s="402">
        <v>731.52330073000019</v>
      </c>
      <c r="K133" s="1053" t="s">
        <v>962</v>
      </c>
      <c r="L133" s="2934"/>
      <c r="M133" s="2898">
        <f t="shared" si="20"/>
        <v>968.5</v>
      </c>
      <c r="N133" s="2601">
        <f t="shared" si="21"/>
        <v>0</v>
      </c>
      <c r="O133" s="2601">
        <v>1270.5050000000001</v>
      </c>
      <c r="P133" s="2601">
        <v>1258.942618243</v>
      </c>
      <c r="Q133" s="2601">
        <v>1493.2609669999997</v>
      </c>
      <c r="R133" s="236"/>
    </row>
    <row r="134" spans="1:18" x14ac:dyDescent="0.2">
      <c r="A134" s="1053" t="s">
        <v>1432</v>
      </c>
      <c r="B134" s="2587" t="s">
        <v>56</v>
      </c>
      <c r="C134" s="2607">
        <f>+C28</f>
        <v>0</v>
      </c>
      <c r="D134" s="2607">
        <f t="shared" ref="D134:H134" si="26">+D28</f>
        <v>0</v>
      </c>
      <c r="E134" s="2607">
        <f t="shared" si="26"/>
        <v>0</v>
      </c>
      <c r="F134" s="2607">
        <f t="shared" si="26"/>
        <v>5.7478619999999996</v>
      </c>
      <c r="G134" s="2607">
        <f t="shared" si="26"/>
        <v>42.975520000000003</v>
      </c>
      <c r="H134" s="2607">
        <f t="shared" si="26"/>
        <v>58.876800000000003</v>
      </c>
      <c r="I134" s="2601">
        <f t="shared" si="19"/>
        <v>107.600182</v>
      </c>
      <c r="K134" s="1053" t="s">
        <v>1432</v>
      </c>
      <c r="L134" s="2934"/>
      <c r="M134" s="2898">
        <f t="shared" si="20"/>
        <v>107.600182</v>
      </c>
      <c r="N134" s="2601">
        <f>+C134+D134+E134</f>
        <v>0</v>
      </c>
      <c r="O134" s="2601">
        <v>51.731999999999999</v>
      </c>
      <c r="P134" s="2601">
        <v>54.298000000000002</v>
      </c>
      <c r="Q134" s="2601">
        <v>56.651070000000004</v>
      </c>
      <c r="R134" s="236"/>
    </row>
    <row r="135" spans="1:18" x14ac:dyDescent="0.2">
      <c r="K135" s="1053" t="s">
        <v>445</v>
      </c>
      <c r="L135" s="2935"/>
      <c r="M135" s="2898">
        <f>+M128+M129+M130+M131+M132+M133+M134</f>
        <v>5826.1151892099997</v>
      </c>
      <c r="N135" s="2601">
        <f>+N128+N129+N130+N131+N133+N134</f>
        <v>0</v>
      </c>
      <c r="O135" s="2601">
        <f t="shared" ref="O135:Q135" si="27">+O128+O129+O130+O131+O133+O134</f>
        <v>4276.4311847676472</v>
      </c>
      <c r="P135" s="2601">
        <f t="shared" si="27"/>
        <v>4130.3818373779995</v>
      </c>
      <c r="Q135" s="2601">
        <f t="shared" si="27"/>
        <v>4389.1849879399997</v>
      </c>
    </row>
    <row r="136" spans="1:18" x14ac:dyDescent="0.2">
      <c r="A136" s="2600" t="s">
        <v>1275</v>
      </c>
      <c r="B136" s="2587" t="s">
        <v>1279</v>
      </c>
      <c r="C136" s="832" t="e">
        <f t="shared" ref="C136:H141" si="28">+C121/C128</f>
        <v>#DIV/0!</v>
      </c>
      <c r="D136" s="832" t="e">
        <f t="shared" si="28"/>
        <v>#DIV/0!</v>
      </c>
      <c r="E136" s="832" t="e">
        <f t="shared" si="28"/>
        <v>#DIV/0!</v>
      </c>
      <c r="F136" s="832">
        <f t="shared" si="28"/>
        <v>27.973814358803551</v>
      </c>
      <c r="G136" s="832">
        <f t="shared" si="28"/>
        <v>23.520400984855936</v>
      </c>
      <c r="H136" s="832">
        <f t="shared" si="28"/>
        <v>26.009512751401282</v>
      </c>
      <c r="I136" s="414" t="e">
        <f>+AVERAGE(C136:H136)</f>
        <v>#DIV/0!</v>
      </c>
    </row>
    <row r="137" spans="1:18" x14ac:dyDescent="0.2">
      <c r="A137" s="2602" t="s">
        <v>541</v>
      </c>
      <c r="B137" s="2587" t="s">
        <v>1279</v>
      </c>
      <c r="C137" s="1071" t="e">
        <f t="shared" si="28"/>
        <v>#DIV/0!</v>
      </c>
      <c r="D137" s="1071" t="e">
        <f t="shared" si="28"/>
        <v>#DIV/0!</v>
      </c>
      <c r="E137" s="1071" t="e">
        <f t="shared" si="28"/>
        <v>#DIV/0!</v>
      </c>
      <c r="F137" s="1071">
        <f t="shared" si="28"/>
        <v>62.921019762895369</v>
      </c>
      <c r="G137" s="1071">
        <f t="shared" si="28"/>
        <v>59.445785473398175</v>
      </c>
      <c r="H137" s="1071">
        <f t="shared" si="28"/>
        <v>61.460283124060673</v>
      </c>
      <c r="I137" s="402" t="e">
        <f t="shared" ref="I137:I141" si="29">+AVERAGE(C137:H137)</f>
        <v>#DIV/0!</v>
      </c>
    </row>
    <row r="138" spans="1:18" x14ac:dyDescent="0.2">
      <c r="A138" s="2604" t="s">
        <v>1276</v>
      </c>
      <c r="B138" s="2587" t="s">
        <v>1279</v>
      </c>
      <c r="C138" s="832" t="e">
        <f t="shared" si="28"/>
        <v>#DIV/0!</v>
      </c>
      <c r="D138" s="832" t="e">
        <f t="shared" si="28"/>
        <v>#DIV/0!</v>
      </c>
      <c r="E138" s="832" t="e">
        <f t="shared" si="28"/>
        <v>#DIV/0!</v>
      </c>
      <c r="F138" s="832">
        <f t="shared" si="28"/>
        <v>20.444059710181854</v>
      </c>
      <c r="G138" s="832">
        <f t="shared" si="28"/>
        <v>18.643701665030271</v>
      </c>
      <c r="H138" s="832">
        <f t="shared" si="28"/>
        <v>18.372310176046295</v>
      </c>
      <c r="I138" s="402" t="e">
        <f t="shared" si="29"/>
        <v>#DIV/0!</v>
      </c>
    </row>
    <row r="139" spans="1:18" x14ac:dyDescent="0.2">
      <c r="A139" s="2605" t="s">
        <v>1277</v>
      </c>
      <c r="B139" s="2587" t="s">
        <v>1279</v>
      </c>
      <c r="C139" s="832" t="e">
        <f t="shared" si="28"/>
        <v>#DIV/0!</v>
      </c>
      <c r="D139" s="832" t="e">
        <f t="shared" si="28"/>
        <v>#DIV/0!</v>
      </c>
      <c r="E139" s="832" t="e">
        <f t="shared" si="28"/>
        <v>#DIV/0!</v>
      </c>
      <c r="F139" s="832">
        <f t="shared" si="28"/>
        <v>28.695327886357227</v>
      </c>
      <c r="G139" s="832">
        <f t="shared" si="28"/>
        <v>28.69532788635723</v>
      </c>
      <c r="H139" s="832">
        <f t="shared" si="28"/>
        <v>28.69532788635723</v>
      </c>
      <c r="I139" s="402" t="e">
        <f t="shared" si="29"/>
        <v>#DIV/0!</v>
      </c>
    </row>
    <row r="140" spans="1:18" x14ac:dyDescent="0.2">
      <c r="A140" s="1053" t="s">
        <v>79</v>
      </c>
      <c r="B140" s="2587" t="s">
        <v>1279</v>
      </c>
      <c r="C140" s="832" t="e">
        <f t="shared" si="28"/>
        <v>#DIV/0!</v>
      </c>
      <c r="D140" s="832" t="e">
        <f t="shared" si="28"/>
        <v>#DIV/0!</v>
      </c>
      <c r="E140" s="832" t="e">
        <f t="shared" si="28"/>
        <v>#DIV/0!</v>
      </c>
      <c r="F140" s="832">
        <f t="shared" si="28"/>
        <v>16.360073257141064</v>
      </c>
      <c r="G140" s="832">
        <f t="shared" si="28"/>
        <v>16.149669524586059</v>
      </c>
      <c r="H140" s="832">
        <f t="shared" si="28"/>
        <v>17.055875654499228</v>
      </c>
      <c r="I140" s="402" t="e">
        <f>+AVERAGE(C140:H140)</f>
        <v>#DIV/0!</v>
      </c>
    </row>
    <row r="141" spans="1:18" x14ac:dyDescent="0.2">
      <c r="A141" s="1053" t="s">
        <v>1278</v>
      </c>
      <c r="B141" s="2587" t="s">
        <v>1279</v>
      </c>
      <c r="C141" s="832" t="e">
        <f t="shared" si="28"/>
        <v>#DIV/0!</v>
      </c>
      <c r="D141" s="832" t="e">
        <f t="shared" si="28"/>
        <v>#DIV/0!</v>
      </c>
      <c r="E141" s="832" t="e">
        <f t="shared" si="28"/>
        <v>#DIV/0!</v>
      </c>
      <c r="F141" s="832">
        <f t="shared" si="28"/>
        <v>37.953223242444338</v>
      </c>
      <c r="G141" s="832">
        <f t="shared" si="28"/>
        <v>22.713796362571294</v>
      </c>
      <c r="H141" s="832">
        <f t="shared" si="28"/>
        <v>21.720104047581433</v>
      </c>
      <c r="I141" s="402" t="e">
        <f t="shared" si="29"/>
        <v>#DIV/0!</v>
      </c>
    </row>
    <row r="145" spans="1:13" x14ac:dyDescent="0.2">
      <c r="A145" s="415" t="s">
        <v>13</v>
      </c>
      <c r="C145" s="402">
        <f t="shared" ref="C145:H145" si="30">+PRODUCT(C54,C55)</f>
        <v>0</v>
      </c>
      <c r="D145" s="402">
        <f t="shared" si="30"/>
        <v>0</v>
      </c>
      <c r="E145" s="402">
        <f t="shared" si="30"/>
        <v>0</v>
      </c>
      <c r="F145" s="402">
        <f t="shared" si="30"/>
        <v>7162.5390990843325</v>
      </c>
      <c r="G145" s="402">
        <f t="shared" si="30"/>
        <v>6307.7394620426285</v>
      </c>
      <c r="H145" s="402">
        <f t="shared" si="30"/>
        <v>6493.4584661994495</v>
      </c>
      <c r="I145" s="402">
        <f>SUM(C145:H145)</f>
        <v>19963.73702732641</v>
      </c>
      <c r="J145" s="402">
        <f>+C54*C55+D54*D55+E54*E55+F54*F55+G54*G55+H55*H54</f>
        <v>19963.73702732641</v>
      </c>
      <c r="K145" s="402"/>
      <c r="L145" s="402"/>
      <c r="M145" s="402"/>
    </row>
    <row r="146" spans="1:13" x14ac:dyDescent="0.2">
      <c r="A146" s="415" t="s">
        <v>1244</v>
      </c>
      <c r="C146" s="402">
        <f t="shared" ref="C146:H146" si="31">+PRODUCT(C62,C63)</f>
        <v>0</v>
      </c>
      <c r="D146" s="402">
        <f t="shared" si="31"/>
        <v>0</v>
      </c>
      <c r="E146" s="402">
        <f t="shared" si="31"/>
        <v>0</v>
      </c>
      <c r="F146" s="402">
        <f t="shared" si="31"/>
        <v>7548.5337477240846</v>
      </c>
      <c r="G146" s="402">
        <f t="shared" si="31"/>
        <v>3700.6920833966974</v>
      </c>
      <c r="H146" s="402">
        <f t="shared" si="31"/>
        <v>5250.4978121236363</v>
      </c>
      <c r="I146" s="402">
        <f>SUM(C146:H146)</f>
        <v>16499.723643244419</v>
      </c>
      <c r="J146" s="402">
        <f>+C62*C63+D62*D63+E62*E63+F62*F63+G62*G63+H63*H62</f>
        <v>16499.723643244419</v>
      </c>
      <c r="K146" s="402"/>
      <c r="L146" s="402"/>
      <c r="M146" s="402"/>
    </row>
    <row r="148" spans="1:13" x14ac:dyDescent="0.2">
      <c r="A148" t="s">
        <v>392</v>
      </c>
      <c r="C148" s="402">
        <f t="shared" ref="C148:H148" si="32">+PRODUCT(C34,C35)</f>
        <v>0</v>
      </c>
      <c r="D148" s="402">
        <f t="shared" si="32"/>
        <v>0</v>
      </c>
      <c r="E148" s="402">
        <f t="shared" si="32"/>
        <v>0</v>
      </c>
      <c r="F148" s="402">
        <f t="shared" si="32"/>
        <v>0</v>
      </c>
      <c r="G148" s="402">
        <f t="shared" si="32"/>
        <v>0</v>
      </c>
      <c r="H148" s="402">
        <f t="shared" si="32"/>
        <v>0</v>
      </c>
      <c r="I148" s="414">
        <f t="shared" ref="I148:I155" si="33">SUM(C148:H148)</f>
        <v>0</v>
      </c>
    </row>
    <row r="149" spans="1:13" x14ac:dyDescent="0.2">
      <c r="A149" t="s">
        <v>409</v>
      </c>
      <c r="C149" s="402">
        <f>+PRODUCT(C36,C37)</f>
        <v>0</v>
      </c>
      <c r="D149" s="402">
        <f t="shared" ref="D149:H149" si="34">+PRODUCT(D36,D37)</f>
        <v>0</v>
      </c>
      <c r="E149" s="402">
        <f t="shared" si="34"/>
        <v>0</v>
      </c>
      <c r="F149" s="402">
        <f t="shared" si="34"/>
        <v>0</v>
      </c>
      <c r="G149" s="402">
        <f t="shared" si="34"/>
        <v>0</v>
      </c>
      <c r="H149" s="402">
        <f t="shared" si="34"/>
        <v>0</v>
      </c>
      <c r="I149" s="414">
        <f t="shared" si="33"/>
        <v>0</v>
      </c>
    </row>
    <row r="150" spans="1:13" x14ac:dyDescent="0.2">
      <c r="A150" t="s">
        <v>5</v>
      </c>
      <c r="C150" s="402">
        <f>+PRODUCT(C38,C39)</f>
        <v>0</v>
      </c>
      <c r="D150" s="402">
        <f t="shared" ref="D150:H150" si="35">+PRODUCT(D38,D39)</f>
        <v>0</v>
      </c>
      <c r="E150" s="402">
        <f t="shared" si="35"/>
        <v>0</v>
      </c>
      <c r="F150" s="402">
        <f t="shared" si="35"/>
        <v>3320.9310212973282</v>
      </c>
      <c r="G150" s="402">
        <f t="shared" si="35"/>
        <v>3315.7652467606399</v>
      </c>
      <c r="H150" s="402">
        <f t="shared" si="35"/>
        <v>3315.7660212973283</v>
      </c>
      <c r="I150" s="414">
        <f t="shared" si="33"/>
        <v>9952.4622893552969</v>
      </c>
    </row>
    <row r="151" spans="1:13" x14ac:dyDescent="0.2">
      <c r="A151" t="s">
        <v>1176</v>
      </c>
      <c r="C151" s="402">
        <f>+PRODUCT(C40,C41)</f>
        <v>0</v>
      </c>
      <c r="D151" s="402">
        <f t="shared" ref="D151:H151" si="36">+PRODUCT(D40,D41)</f>
        <v>0</v>
      </c>
      <c r="E151" s="402">
        <f t="shared" si="36"/>
        <v>0</v>
      </c>
      <c r="F151" s="402">
        <f t="shared" si="36"/>
        <v>3367.1959163111992</v>
      </c>
      <c r="G151" s="402">
        <f t="shared" si="36"/>
        <v>0</v>
      </c>
      <c r="H151" s="402">
        <f t="shared" si="36"/>
        <v>0</v>
      </c>
      <c r="I151" s="414">
        <f t="shared" si="33"/>
        <v>3367.1959163111992</v>
      </c>
    </row>
    <row r="152" spans="1:13" x14ac:dyDescent="0.2">
      <c r="A152" t="s">
        <v>1053</v>
      </c>
      <c r="C152" s="402">
        <f>+PRODUCT(C46,C47)</f>
        <v>0</v>
      </c>
      <c r="D152" s="402">
        <f t="shared" ref="D152:H152" si="37">+PRODUCT(D46,D47)</f>
        <v>0</v>
      </c>
      <c r="E152" s="402">
        <f t="shared" si="37"/>
        <v>0</v>
      </c>
      <c r="F152" s="402">
        <f t="shared" si="37"/>
        <v>25.490093000000002</v>
      </c>
      <c r="G152" s="402">
        <f t="shared" si="37"/>
        <v>25.490093000000002</v>
      </c>
      <c r="H152" s="402">
        <f t="shared" si="37"/>
        <v>25.490093000000002</v>
      </c>
      <c r="I152" s="414">
        <f t="shared" si="33"/>
        <v>76.470279000000005</v>
      </c>
    </row>
    <row r="153" spans="1:13" x14ac:dyDescent="0.2">
      <c r="A153" t="s">
        <v>643</v>
      </c>
      <c r="C153" s="402">
        <f>+PRODUCT(C48,C49)</f>
        <v>0</v>
      </c>
      <c r="D153" s="402">
        <f t="shared" ref="D153:H153" si="38">+PRODUCT(D48,D49)</f>
        <v>0</v>
      </c>
      <c r="E153" s="402">
        <f t="shared" si="38"/>
        <v>0</v>
      </c>
      <c r="F153" s="402">
        <f t="shared" si="38"/>
        <v>1052.9544995507199</v>
      </c>
      <c r="G153" s="402">
        <f t="shared" si="38"/>
        <v>1043.88101039872</v>
      </c>
      <c r="H153" s="402">
        <f t="shared" si="38"/>
        <v>1052.9560245068803</v>
      </c>
      <c r="I153" s="414">
        <f t="shared" si="33"/>
        <v>3149.7915344563207</v>
      </c>
    </row>
    <row r="154" spans="1:13" x14ac:dyDescent="0.2">
      <c r="A154" t="s">
        <v>1183</v>
      </c>
      <c r="C154" s="402">
        <f>+PRODUCT(C50,C51)</f>
        <v>0</v>
      </c>
      <c r="D154" s="402">
        <f t="shared" ref="D154:H154" si="39">+PRODUCT(D50,D51)</f>
        <v>0</v>
      </c>
      <c r="E154" s="402">
        <f t="shared" si="39"/>
        <v>0</v>
      </c>
      <c r="F154" s="402">
        <f t="shared" si="39"/>
        <v>0</v>
      </c>
      <c r="G154" s="402">
        <f t="shared" si="39"/>
        <v>0</v>
      </c>
      <c r="H154" s="402">
        <f t="shared" si="39"/>
        <v>0</v>
      </c>
      <c r="I154" s="414">
        <f t="shared" si="33"/>
        <v>0</v>
      </c>
    </row>
    <row r="155" spans="1:13" x14ac:dyDescent="0.2">
      <c r="A155" t="s">
        <v>1181</v>
      </c>
      <c r="C155" s="402">
        <f>+PRODUCT(C52,C53)</f>
        <v>0</v>
      </c>
      <c r="D155" s="402">
        <f t="shared" ref="D155:H155" si="40">+PRODUCT(D52,D53)</f>
        <v>0</v>
      </c>
      <c r="E155" s="402">
        <f t="shared" si="40"/>
        <v>0</v>
      </c>
      <c r="F155" s="402">
        <f t="shared" si="40"/>
        <v>0</v>
      </c>
      <c r="G155" s="402">
        <f t="shared" si="40"/>
        <v>0</v>
      </c>
      <c r="H155" s="402">
        <f t="shared" si="40"/>
        <v>0</v>
      </c>
      <c r="I155" s="414">
        <f t="shared" si="33"/>
        <v>0</v>
      </c>
    </row>
    <row r="156" spans="1:13" x14ac:dyDescent="0.2">
      <c r="A156" t="s">
        <v>369</v>
      </c>
      <c r="C156" s="402">
        <f>+PRODUCT(C30,C31)</f>
        <v>0</v>
      </c>
      <c r="D156" s="402">
        <f t="shared" ref="D156:H156" si="41">+PRODUCT(D30,D31)</f>
        <v>0</v>
      </c>
      <c r="E156" s="402">
        <f t="shared" si="41"/>
        <v>0</v>
      </c>
      <c r="F156" s="402">
        <f t="shared" si="41"/>
        <v>1222.829090682792</v>
      </c>
      <c r="G156" s="402">
        <f t="shared" si="41"/>
        <v>1208.4339830528404</v>
      </c>
      <c r="H156" s="402">
        <f t="shared" si="41"/>
        <v>1239.5346963306004</v>
      </c>
    </row>
    <row r="157" spans="1:13" x14ac:dyDescent="0.2">
      <c r="A157" t="s">
        <v>424</v>
      </c>
      <c r="C157" s="402">
        <f>+PRODUCT(C32,C33)</f>
        <v>0</v>
      </c>
      <c r="D157" s="402">
        <f t="shared" ref="D157:H157" si="42">+PRODUCT(D32,D33)</f>
        <v>0</v>
      </c>
      <c r="E157" s="402">
        <f t="shared" si="42"/>
        <v>0</v>
      </c>
      <c r="F157" s="402">
        <f t="shared" si="42"/>
        <v>1471.0595004960001</v>
      </c>
      <c r="G157" s="402">
        <f t="shared" si="42"/>
        <v>1487.72528209392</v>
      </c>
      <c r="H157" s="402">
        <f t="shared" si="42"/>
        <v>1471.0595004960001</v>
      </c>
    </row>
    <row r="158" spans="1:13" x14ac:dyDescent="0.2">
      <c r="A158" t="s">
        <v>538</v>
      </c>
      <c r="C158" s="402">
        <f>+PRODUCT(C44,C45)</f>
        <v>0</v>
      </c>
      <c r="D158" s="402">
        <f t="shared" ref="D158:H158" si="43">+PRODUCT(D44,D45)</f>
        <v>0</v>
      </c>
      <c r="E158" s="402">
        <f t="shared" si="43"/>
        <v>0</v>
      </c>
      <c r="F158" s="402">
        <f t="shared" si="43"/>
        <v>462.47752783743988</v>
      </c>
      <c r="G158" s="402">
        <f t="shared" si="43"/>
        <v>466.49891597632001</v>
      </c>
      <c r="H158" s="402">
        <f t="shared" si="43"/>
        <v>462.47791454656004</v>
      </c>
    </row>
    <row r="165" spans="3:9" x14ac:dyDescent="0.2">
      <c r="C165" t="e">
        <f>+PRODUCT(C66:C67)</f>
        <v>#DIV/0!</v>
      </c>
      <c r="D165" t="e">
        <f t="shared" ref="D165:H165" si="44">+PRODUCT(D66:D67)</f>
        <v>#DIV/0!</v>
      </c>
      <c r="E165" t="e">
        <f t="shared" si="44"/>
        <v>#DIV/0!</v>
      </c>
      <c r="F165">
        <f t="shared" si="44"/>
        <v>5865.3250199714175</v>
      </c>
      <c r="G165">
        <f t="shared" si="44"/>
        <v>5733.3265116941739</v>
      </c>
      <c r="H165">
        <f t="shared" si="44"/>
        <v>5432.025568887424</v>
      </c>
      <c r="I165" t="e">
        <f>SUM(C165:H165)</f>
        <v>#DIV/0!</v>
      </c>
    </row>
  </sheetData>
  <dataConsolidate/>
  <mergeCells count="56">
    <mergeCell ref="AY20:AZ20"/>
    <mergeCell ref="AO20:AP20"/>
    <mergeCell ref="AQ20:AR20"/>
    <mergeCell ref="AS20:AT20"/>
    <mergeCell ref="AU20:AV20"/>
    <mergeCell ref="AW20:AX20"/>
    <mergeCell ref="AM20:AN20"/>
    <mergeCell ref="Y20:Z20"/>
    <mergeCell ref="AA20:AB20"/>
    <mergeCell ref="AC20:AD20"/>
    <mergeCell ref="AE20:AF20"/>
    <mergeCell ref="AG20:AH20"/>
    <mergeCell ref="AI20:AJ20"/>
    <mergeCell ref="AK20:AL20"/>
    <mergeCell ref="J4:O4"/>
    <mergeCell ref="A54:A55"/>
    <mergeCell ref="A50:A51"/>
    <mergeCell ref="A52:A53"/>
    <mergeCell ref="A48:A49"/>
    <mergeCell ref="A44:A45"/>
    <mergeCell ref="A46:A47"/>
    <mergeCell ref="A36:A37"/>
    <mergeCell ref="J20:N20"/>
    <mergeCell ref="A4:H4"/>
    <mergeCell ref="A8:E8"/>
    <mergeCell ref="G8:N8"/>
    <mergeCell ref="AB8:AF8"/>
    <mergeCell ref="A28:A29"/>
    <mergeCell ref="AH8:AL8"/>
    <mergeCell ref="A38:A39"/>
    <mergeCell ref="A32:A33"/>
    <mergeCell ref="U20:V20"/>
    <mergeCell ref="A26:A27"/>
    <mergeCell ref="A34:A35"/>
    <mergeCell ref="A30:A31"/>
    <mergeCell ref="O20:P20"/>
    <mergeCell ref="A20:H20"/>
    <mergeCell ref="A22:A23"/>
    <mergeCell ref="S20:T20"/>
    <mergeCell ref="A24:A25"/>
    <mergeCell ref="V8:Z8"/>
    <mergeCell ref="W20:X20"/>
    <mergeCell ref="L121:L126"/>
    <mergeCell ref="L128:L135"/>
    <mergeCell ref="Q20:R20"/>
    <mergeCell ref="P8:T8"/>
    <mergeCell ref="A60:A61"/>
    <mergeCell ref="A58:A59"/>
    <mergeCell ref="A90:A91"/>
    <mergeCell ref="A68:A69"/>
    <mergeCell ref="A66:A67"/>
    <mergeCell ref="A64:A65"/>
    <mergeCell ref="A40:A41"/>
    <mergeCell ref="A42:A43"/>
    <mergeCell ref="A56:A57"/>
    <mergeCell ref="A62:A63"/>
  </mergeCells>
  <phoneticPr fontId="54" type="noConversion"/>
  <printOptions horizontalCentered="1"/>
  <pageMargins left="0.5" right="0.26" top="0.13" bottom="0.05" header="0" footer="0"/>
  <pageSetup paperSize="9" scale="4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6385" r:id="rId4" name="CommandButton1">
          <controlPr defaultSize="0" autoLine="0" r:id="rId5">
            <anchor moveWithCells="1">
              <from>
                <xdr:col>5</xdr:col>
                <xdr:colOff>0</xdr:colOff>
                <xdr:row>0</xdr:row>
                <xdr:rowOff>30480</xdr:rowOff>
              </from>
              <to>
                <xdr:col>5</xdr:col>
                <xdr:colOff>762000</xdr:colOff>
                <xdr:row>1</xdr:row>
                <xdr:rowOff>114300</xdr:rowOff>
              </to>
            </anchor>
          </controlPr>
        </control>
      </mc:Choice>
      <mc:Fallback>
        <control shapeId="16385" r:id="rId4" name="CommandButton1"/>
      </mc:Fallback>
    </mc:AlternateContent>
    <mc:AlternateContent xmlns:mc="http://schemas.openxmlformats.org/markup-compatibility/2006">
      <mc:Choice Requires="x14">
        <control shapeId="16386" r:id="rId6" name="CommandButton2">
          <controlPr defaultSize="0" autoLine="0" r:id="rId7">
            <anchor moveWithCells="1">
              <from>
                <xdr:col>5</xdr:col>
                <xdr:colOff>0</xdr:colOff>
                <xdr:row>0</xdr:row>
                <xdr:rowOff>38100</xdr:rowOff>
              </from>
              <to>
                <xdr:col>6</xdr:col>
                <xdr:colOff>144780</xdr:colOff>
                <xdr:row>1</xdr:row>
                <xdr:rowOff>106680</xdr:rowOff>
              </to>
            </anchor>
          </controlPr>
        </control>
      </mc:Choice>
      <mc:Fallback>
        <control shapeId="16386" r:id="rId6" name="CommandButton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2060"/>
  </sheetPr>
  <dimension ref="A1:J134"/>
  <sheetViews>
    <sheetView view="pageBreakPreview" zoomScaleNormal="100" zoomScaleSheetLayoutView="100" workbookViewId="0">
      <pane xSplit="2" ySplit="3" topLeftCell="C96" activePane="bottomRight" state="frozen"/>
      <selection pane="topRight" activeCell="C1" sqref="C1"/>
      <selection pane="bottomLeft" activeCell="A4" sqref="A4"/>
      <selection pane="bottomRight" activeCell="C1" sqref="C1:E1048576"/>
    </sheetView>
  </sheetViews>
  <sheetFormatPr defaultRowHeight="12.6" x14ac:dyDescent="0.2"/>
  <cols>
    <col min="1" max="1" width="47" customWidth="1"/>
    <col min="3" max="5" width="16.6328125" hidden="1" customWidth="1"/>
    <col min="6" max="8" width="16.6328125" customWidth="1"/>
    <col min="9" max="9" width="9.36328125" bestFit="1" customWidth="1"/>
  </cols>
  <sheetData>
    <row r="1" spans="1:9" ht="17.399999999999999" x14ac:dyDescent="0.3">
      <c r="A1" s="53" t="s">
        <v>1227</v>
      </c>
      <c r="B1" s="53"/>
      <c r="C1" s="53"/>
      <c r="D1" s="53"/>
      <c r="E1" s="53"/>
      <c r="F1" s="53"/>
      <c r="G1" s="53"/>
      <c r="H1" s="53"/>
    </row>
    <row r="2" spans="1:9" ht="18" thickBot="1" x14ac:dyDescent="0.35">
      <c r="A2" s="53"/>
      <c r="B2" s="53"/>
      <c r="C2" s="53"/>
      <c r="D2" s="53"/>
      <c r="E2" s="53"/>
      <c r="F2" s="53"/>
      <c r="G2" s="53"/>
      <c r="H2" s="53"/>
    </row>
    <row r="3" spans="1:9" x14ac:dyDescent="0.2">
      <c r="A3" s="46" t="s">
        <v>27</v>
      </c>
      <c r="B3" s="66" t="s">
        <v>36</v>
      </c>
      <c r="C3" s="842">
        <f>+DispatchSchedule!F3</f>
        <v>46023</v>
      </c>
      <c r="D3" s="842">
        <f>+DispatchSchedule!G3</f>
        <v>46054</v>
      </c>
      <c r="E3" s="842">
        <f>+DispatchSchedule!H3</f>
        <v>46082</v>
      </c>
      <c r="F3" s="842">
        <f>+DispatchSchedule!I3</f>
        <v>46113</v>
      </c>
      <c r="G3" s="842">
        <f>+DispatchSchedule!J3</f>
        <v>46143</v>
      </c>
      <c r="H3" s="842">
        <f>+DispatchSchedule!K3</f>
        <v>46174</v>
      </c>
    </row>
    <row r="4" spans="1:9" ht="13.2" x14ac:dyDescent="0.25">
      <c r="A4" s="55" t="s">
        <v>136</v>
      </c>
      <c r="B4" s="61"/>
      <c r="C4" s="61"/>
      <c r="D4" s="61"/>
      <c r="E4" s="61"/>
      <c r="F4" s="61"/>
      <c r="G4" s="61"/>
      <c r="H4" s="61"/>
    </row>
    <row r="5" spans="1:9" x14ac:dyDescent="0.2">
      <c r="A5" s="6"/>
      <c r="B5" s="20"/>
      <c r="C5" s="20"/>
      <c r="D5" s="20"/>
      <c r="E5" s="20"/>
      <c r="F5" s="20"/>
      <c r="G5" s="20"/>
      <c r="H5" s="20"/>
    </row>
    <row r="6" spans="1:9" x14ac:dyDescent="0.2">
      <c r="A6" s="6"/>
      <c r="B6" s="30"/>
      <c r="C6" s="30"/>
      <c r="D6" s="30"/>
      <c r="E6" s="30"/>
      <c r="F6" s="30"/>
      <c r="G6" s="30"/>
      <c r="H6" s="30"/>
      <c r="I6" s="2330" t="s">
        <v>1228</v>
      </c>
    </row>
    <row r="7" spans="1:9" ht="13.2" x14ac:dyDescent="0.25">
      <c r="A7" s="55" t="s">
        <v>122</v>
      </c>
      <c r="B7" s="61"/>
      <c r="C7" s="61"/>
      <c r="D7" s="61"/>
      <c r="E7" s="61"/>
      <c r="F7" s="61"/>
      <c r="G7" s="61"/>
      <c r="H7" s="61"/>
    </row>
    <row r="8" spans="1:9" ht="13.2" x14ac:dyDescent="0.25">
      <c r="A8" s="57" t="s">
        <v>99</v>
      </c>
      <c r="B8" s="63"/>
      <c r="C8" s="12" t="s">
        <v>97</v>
      </c>
      <c r="D8" s="12" t="s">
        <v>97</v>
      </c>
      <c r="E8" s="12" t="s">
        <v>97</v>
      </c>
      <c r="F8" s="12" t="s">
        <v>97</v>
      </c>
      <c r="G8" s="12" t="s">
        <v>97</v>
      </c>
      <c r="H8" s="12" t="s">
        <v>97</v>
      </c>
    </row>
    <row r="9" spans="1:9" x14ac:dyDescent="0.2">
      <c r="A9" s="238" t="s">
        <v>533</v>
      </c>
      <c r="B9" s="20"/>
      <c r="C9" s="1377">
        <v>0.9</v>
      </c>
      <c r="D9" s="1377">
        <v>0.9</v>
      </c>
      <c r="E9" s="1377">
        <v>0.9</v>
      </c>
      <c r="F9" s="1377">
        <v>0.9</v>
      </c>
      <c r="G9" s="1377">
        <v>0.9</v>
      </c>
      <c r="H9" s="1377">
        <v>0.9</v>
      </c>
    </row>
    <row r="10" spans="1:9" x14ac:dyDescent="0.2">
      <c r="A10" s="112" t="s">
        <v>1229</v>
      </c>
      <c r="B10" s="20"/>
      <c r="C10" s="1378">
        <v>24.45</v>
      </c>
      <c r="D10" s="1378">
        <v>24.45</v>
      </c>
      <c r="E10" s="1378">
        <v>24.45</v>
      </c>
      <c r="F10" s="1378">
        <v>24.45</v>
      </c>
      <c r="G10" s="1378">
        <v>24.45</v>
      </c>
      <c r="H10" s="1378">
        <v>24.45</v>
      </c>
    </row>
    <row r="11" spans="1:9" x14ac:dyDescent="0.2">
      <c r="A11" s="112" t="s">
        <v>1329</v>
      </c>
      <c r="B11" s="20"/>
      <c r="C11" s="1378">
        <v>10</v>
      </c>
      <c r="D11" s="1378">
        <v>10</v>
      </c>
      <c r="E11" s="1378">
        <v>10</v>
      </c>
      <c r="F11" s="1378">
        <v>10</v>
      </c>
      <c r="G11" s="1378">
        <v>10</v>
      </c>
      <c r="H11" s="1378">
        <v>10</v>
      </c>
    </row>
    <row r="12" spans="1:9" x14ac:dyDescent="0.2">
      <c r="A12" s="6" t="s">
        <v>1230</v>
      </c>
      <c r="B12" s="30"/>
      <c r="C12" s="1379">
        <v>241.35300000000001</v>
      </c>
      <c r="D12" s="1379">
        <v>241.35300000000001</v>
      </c>
      <c r="E12" s="1379">
        <v>241.35300000000001</v>
      </c>
      <c r="F12" s="1379">
        <v>241.35300000000001</v>
      </c>
      <c r="G12" s="1379">
        <v>241.35300000000001</v>
      </c>
      <c r="H12" s="1379">
        <v>241.35300000000001</v>
      </c>
    </row>
    <row r="13" spans="1:9" x14ac:dyDescent="0.2">
      <c r="A13" s="6" t="s">
        <v>1231</v>
      </c>
      <c r="B13" s="30"/>
      <c r="C13" s="1375">
        <f>Inputs!C28</f>
        <v>324.45999999999998</v>
      </c>
      <c r="D13" s="1375">
        <f>Inputs!D28</f>
        <v>324.12</v>
      </c>
      <c r="E13" s="1375">
        <f>Inputs!E28</f>
        <v>324.05</v>
      </c>
      <c r="F13" s="1375">
        <f>Inputs!F28</f>
        <v>324.05</v>
      </c>
      <c r="G13" s="1375">
        <f>Inputs!G28</f>
        <v>324.05</v>
      </c>
      <c r="H13" s="1375">
        <f>Inputs!H28</f>
        <v>324.05</v>
      </c>
      <c r="I13" s="415"/>
    </row>
    <row r="14" spans="1:9" x14ac:dyDescent="0.2">
      <c r="A14" s="112" t="s">
        <v>1232</v>
      </c>
      <c r="B14" s="30"/>
      <c r="C14" s="69">
        <f t="shared" ref="C14:H14" si="0">C11*C13/C12</f>
        <v>13.443379614092221</v>
      </c>
      <c r="D14" s="69">
        <f t="shared" si="0"/>
        <v>13.429292364296279</v>
      </c>
      <c r="E14" s="69">
        <f t="shared" si="0"/>
        <v>13.426392048161821</v>
      </c>
      <c r="F14" s="69">
        <f t="shared" si="0"/>
        <v>13.426392048161821</v>
      </c>
      <c r="G14" s="69">
        <f t="shared" si="0"/>
        <v>13.426392048161821</v>
      </c>
      <c r="H14" s="69">
        <f t="shared" si="0"/>
        <v>13.426392048161821</v>
      </c>
    </row>
    <row r="15" spans="1:9" x14ac:dyDescent="0.2">
      <c r="A15" s="1401" t="s">
        <v>1447</v>
      </c>
      <c r="B15" s="30"/>
      <c r="C15" s="1380">
        <v>312000</v>
      </c>
      <c r="D15" s="1380">
        <v>312000</v>
      </c>
      <c r="E15" s="1380">
        <v>312000</v>
      </c>
      <c r="F15" s="1380">
        <v>312000</v>
      </c>
      <c r="G15" s="1380">
        <v>312000</v>
      </c>
      <c r="H15" s="1380">
        <v>312000</v>
      </c>
    </row>
    <row r="16" spans="1:9" x14ac:dyDescent="0.2">
      <c r="A16" s="1401" t="s">
        <v>1448</v>
      </c>
      <c r="B16" s="30"/>
      <c r="C16" s="1380">
        <v>212000</v>
      </c>
      <c r="D16" s="1380">
        <v>212000</v>
      </c>
      <c r="E16" s="1380">
        <v>212000</v>
      </c>
      <c r="F16" s="1380">
        <v>212000</v>
      </c>
      <c r="G16" s="1380">
        <v>212000</v>
      </c>
      <c r="H16" s="1380">
        <v>212000</v>
      </c>
    </row>
    <row r="17" spans="1:10" x14ac:dyDescent="0.2">
      <c r="A17" s="112" t="s">
        <v>269</v>
      </c>
      <c r="B17" s="30"/>
      <c r="C17" s="1381">
        <v>744</v>
      </c>
      <c r="D17" s="1381">
        <v>672</v>
      </c>
      <c r="E17" s="1381">
        <v>744</v>
      </c>
      <c r="F17" s="1381">
        <v>720</v>
      </c>
      <c r="G17" s="1381">
        <v>744</v>
      </c>
      <c r="H17" s="1381">
        <v>720</v>
      </c>
    </row>
    <row r="18" spans="1:10" x14ac:dyDescent="0.2">
      <c r="A18" s="112" t="s">
        <v>270</v>
      </c>
      <c r="B18" s="30"/>
      <c r="C18" s="1380">
        <v>8760</v>
      </c>
      <c r="D18" s="1380">
        <v>8760</v>
      </c>
      <c r="E18" s="1380">
        <v>8760</v>
      </c>
      <c r="F18" s="1380">
        <v>8760</v>
      </c>
      <c r="G18" s="1380">
        <v>8760</v>
      </c>
      <c r="H18" s="1380">
        <v>8760</v>
      </c>
    </row>
    <row r="19" spans="1:10" x14ac:dyDescent="0.2">
      <c r="A19" s="6" t="s">
        <v>1233</v>
      </c>
      <c r="B19" s="20" t="s">
        <v>1234</v>
      </c>
      <c r="C19" s="67">
        <f t="shared" ref="C19:H19" si="1">(C9*C17/C18*(C10+C14)*C15)/(C9*C17*C15)</f>
        <v>4.3257282664488838E-3</v>
      </c>
      <c r="D19" s="67">
        <f t="shared" si="1"/>
        <v>4.3241201329105331E-3</v>
      </c>
      <c r="E19" s="67">
        <f t="shared" si="1"/>
        <v>4.3237890465938145E-3</v>
      </c>
      <c r="F19" s="67">
        <f t="shared" si="1"/>
        <v>4.3237890465938145E-3</v>
      </c>
      <c r="G19" s="67">
        <f t="shared" si="1"/>
        <v>4.3237890465938145E-3</v>
      </c>
      <c r="H19" s="67">
        <f t="shared" si="1"/>
        <v>4.3237890465938145E-3</v>
      </c>
    </row>
    <row r="20" spans="1:10" x14ac:dyDescent="0.2">
      <c r="A20" s="6"/>
      <c r="B20" s="30"/>
      <c r="C20" s="12"/>
      <c r="D20" s="12"/>
      <c r="E20" s="12"/>
      <c r="F20" s="12"/>
      <c r="G20" s="12"/>
      <c r="H20" s="12"/>
    </row>
    <row r="21" spans="1:10" ht="13.2" x14ac:dyDescent="0.25">
      <c r="A21" s="55" t="s">
        <v>122</v>
      </c>
      <c r="B21" s="61"/>
      <c r="C21" s="47"/>
      <c r="D21" s="47"/>
      <c r="E21" s="47"/>
      <c r="F21" s="47"/>
      <c r="G21" s="47"/>
      <c r="H21" s="47"/>
    </row>
    <row r="22" spans="1:10" ht="13.2" x14ac:dyDescent="0.25">
      <c r="A22" s="57" t="s">
        <v>99</v>
      </c>
      <c r="B22" s="63"/>
      <c r="C22" s="12" t="s">
        <v>94</v>
      </c>
      <c r="D22" s="12" t="s">
        <v>94</v>
      </c>
      <c r="E22" s="12" t="s">
        <v>94</v>
      </c>
      <c r="F22" s="12" t="s">
        <v>94</v>
      </c>
      <c r="G22" s="12" t="s">
        <v>94</v>
      </c>
      <c r="H22" s="12" t="s">
        <v>94</v>
      </c>
    </row>
    <row r="23" spans="1:10" x14ac:dyDescent="0.2">
      <c r="A23" s="112" t="s">
        <v>262</v>
      </c>
      <c r="B23" s="20"/>
      <c r="C23" s="1382">
        <f t="shared" ref="C23:H23" si="2">C9</f>
        <v>0.9</v>
      </c>
      <c r="D23" s="1382">
        <f t="shared" si="2"/>
        <v>0.9</v>
      </c>
      <c r="E23" s="1382">
        <f t="shared" si="2"/>
        <v>0.9</v>
      </c>
      <c r="F23" s="1382">
        <f t="shared" si="2"/>
        <v>0.9</v>
      </c>
      <c r="G23" s="1382">
        <f t="shared" si="2"/>
        <v>0.9</v>
      </c>
      <c r="H23" s="1382">
        <f t="shared" si="2"/>
        <v>0.9</v>
      </c>
    </row>
    <row r="24" spans="1:10" x14ac:dyDescent="0.2">
      <c r="A24" s="112" t="s">
        <v>1235</v>
      </c>
      <c r="B24" s="20"/>
      <c r="C24" s="2167">
        <f>(C30+C31)/(C38*0.9)</f>
        <v>35071.363834879397</v>
      </c>
      <c r="D24" s="2167">
        <f t="shared" ref="D24:H24" si="3">(D30+D31)/(D38*0.9)</f>
        <v>35047.601943487825</v>
      </c>
      <c r="E24" s="2167">
        <f t="shared" si="3"/>
        <v>35047.601943487825</v>
      </c>
      <c r="F24" s="2167">
        <f>(F30+F31)/(F38*0.9)</f>
        <v>36295.101241545395</v>
      </c>
      <c r="G24" s="2167">
        <f t="shared" si="3"/>
        <v>36295.101241545395</v>
      </c>
      <c r="H24" s="2167">
        <f t="shared" si="3"/>
        <v>36295.101241545395</v>
      </c>
    </row>
    <row r="25" spans="1:10" x14ac:dyDescent="0.2">
      <c r="A25" s="112" t="s">
        <v>1330</v>
      </c>
      <c r="B25" s="20"/>
      <c r="C25" s="1378">
        <v>1400</v>
      </c>
      <c r="D25" s="1378">
        <v>1400</v>
      </c>
      <c r="E25" s="1378">
        <v>1400</v>
      </c>
      <c r="F25" s="1378">
        <v>1400</v>
      </c>
      <c r="G25" s="1378">
        <v>1400</v>
      </c>
      <c r="H25" s="1378">
        <v>1400</v>
      </c>
    </row>
    <row r="26" spans="1:10" x14ac:dyDescent="0.2">
      <c r="A26" s="1401" t="s">
        <v>1267</v>
      </c>
      <c r="B26" s="20"/>
      <c r="C26" s="1378">
        <v>3340730000</v>
      </c>
      <c r="D26" s="1378">
        <v>3340730000</v>
      </c>
      <c r="E26" s="1378">
        <v>3340730000</v>
      </c>
      <c r="F26" s="1378">
        <v>3340730000</v>
      </c>
      <c r="G26" s="1378">
        <v>3340730000</v>
      </c>
      <c r="H26" s="1378">
        <v>3340730000</v>
      </c>
      <c r="J26" s="2331" t="s">
        <v>1237</v>
      </c>
    </row>
    <row r="27" spans="1:10" x14ac:dyDescent="0.2">
      <c r="A27" s="1401" t="s">
        <v>1268</v>
      </c>
      <c r="B27" s="20"/>
      <c r="C27" s="1378">
        <v>1.4999999999999999E-2</v>
      </c>
      <c r="D27" s="1378">
        <v>1.4999999999999999E-2</v>
      </c>
      <c r="E27" s="1378">
        <v>1.4999999999999999E-2</v>
      </c>
      <c r="F27" s="1378">
        <v>1.4999999999999999E-2</v>
      </c>
      <c r="G27" s="1378">
        <v>1.4999999999999999E-2</v>
      </c>
      <c r="H27" s="1378">
        <v>1.4999999999999999E-2</v>
      </c>
    </row>
    <row r="28" spans="1:10" x14ac:dyDescent="0.2">
      <c r="A28" s="1401" t="s">
        <v>1331</v>
      </c>
      <c r="B28" s="20"/>
      <c r="C28" s="1378">
        <v>2.5000000000000001E-2</v>
      </c>
      <c r="D28" s="1378">
        <v>2.5000000000000001E-2</v>
      </c>
      <c r="E28" s="1378">
        <v>2.5000000000000001E-2</v>
      </c>
      <c r="F28" s="1378">
        <v>2.5000000000000001E-2</v>
      </c>
      <c r="G28" s="1378">
        <v>2.5000000000000001E-2</v>
      </c>
      <c r="H28" s="1378">
        <v>2.5000000000000001E-2</v>
      </c>
    </row>
    <row r="29" spans="1:10" ht="15.6" x14ac:dyDescent="0.35">
      <c r="A29" s="1401" t="s">
        <v>1332</v>
      </c>
      <c r="B29" s="20"/>
      <c r="C29" s="1378">
        <v>8.1699999999999995E-2</v>
      </c>
      <c r="D29" s="1378">
        <v>8.1699999999999995E-2</v>
      </c>
      <c r="E29" s="1378">
        <v>8.1699999999999995E-2</v>
      </c>
      <c r="F29" s="1378">
        <v>8.1699999999999995E-2</v>
      </c>
      <c r="G29" s="1378">
        <v>8.1699999999999995E-2</v>
      </c>
      <c r="H29" s="1378">
        <v>8.1699999999999995E-2</v>
      </c>
    </row>
    <row r="30" spans="1:10" ht="15.6" x14ac:dyDescent="0.35">
      <c r="A30" s="1401" t="s">
        <v>1333</v>
      </c>
      <c r="B30" s="20"/>
      <c r="C30" s="1378">
        <v>4428400000</v>
      </c>
      <c r="D30" s="1378">
        <v>4428400000</v>
      </c>
      <c r="E30" s="1378">
        <v>4428400000</v>
      </c>
      <c r="F30" s="1378">
        <v>4428400000</v>
      </c>
      <c r="G30" s="1378">
        <v>4428400000</v>
      </c>
      <c r="H30" s="1378">
        <v>4428400000</v>
      </c>
    </row>
    <row r="31" spans="1:10" ht="15.6" x14ac:dyDescent="0.35">
      <c r="A31" s="1401" t="s">
        <v>1334</v>
      </c>
      <c r="B31" s="20"/>
      <c r="C31" s="1378">
        <f>(C29+C27)*C26*(C54/C34)+(C29+C28)*(C32+C33)/2</f>
        <v>5419638964.8341351</v>
      </c>
      <c r="D31" s="1378">
        <f>(D29+D27)*D26*(D54/D34)+(D29+D28)*(D32+D33)/2</f>
        <v>5412966625.7313814</v>
      </c>
      <c r="E31" s="1378">
        <f t="shared" ref="E31:H31" si="4">(E29+E27)*E26*(E54/E34)+(E29+E28)*(E32+E33)/2</f>
        <v>5412966625.7313814</v>
      </c>
      <c r="F31" s="1378">
        <f t="shared" si="4"/>
        <v>5763264428.625948</v>
      </c>
      <c r="G31" s="1378">
        <f t="shared" si="4"/>
        <v>5763264428.625948</v>
      </c>
      <c r="H31" s="1378">
        <f t="shared" si="4"/>
        <v>5763264428.625948</v>
      </c>
    </row>
    <row r="32" spans="1:10" ht="15.6" x14ac:dyDescent="0.35">
      <c r="A32" s="1401" t="s">
        <v>1335</v>
      </c>
      <c r="B32" s="20"/>
      <c r="C32" s="1378">
        <v>44284000000</v>
      </c>
      <c r="D32" s="1378">
        <v>44284000000</v>
      </c>
      <c r="E32" s="1378">
        <v>44284000000</v>
      </c>
      <c r="F32" s="1378">
        <v>44284000000</v>
      </c>
      <c r="G32" s="1378">
        <v>44284000000</v>
      </c>
      <c r="H32" s="1378">
        <v>44284000000</v>
      </c>
    </row>
    <row r="33" spans="1:9" ht="15.6" x14ac:dyDescent="0.35">
      <c r="A33" s="1401" t="s">
        <v>1336</v>
      </c>
      <c r="B33" s="20"/>
      <c r="C33" s="1378">
        <v>39855600000</v>
      </c>
      <c r="D33" s="1378">
        <v>39855600000</v>
      </c>
      <c r="E33" s="1378">
        <v>39855600000</v>
      </c>
      <c r="F33" s="1378">
        <v>39855600000</v>
      </c>
      <c r="G33" s="1378">
        <v>39855600000</v>
      </c>
      <c r="H33" s="1378">
        <v>39855600000</v>
      </c>
    </row>
    <row r="34" spans="1:9" x14ac:dyDescent="0.2">
      <c r="A34" s="1401" t="s">
        <v>1269</v>
      </c>
      <c r="B34" s="20"/>
      <c r="C34" s="1378">
        <v>2.5699999999999998E-3</v>
      </c>
      <c r="D34" s="1378">
        <v>2.5699999999999998E-3</v>
      </c>
      <c r="E34" s="1378">
        <v>2.5699999999999998E-3</v>
      </c>
      <c r="F34" s="1378">
        <v>2.5699999999999998E-3</v>
      </c>
      <c r="G34" s="1378">
        <v>2.5699999999999998E-3</v>
      </c>
      <c r="H34" s="1378">
        <v>2.5699999999999998E-3</v>
      </c>
    </row>
    <row r="35" spans="1:9" x14ac:dyDescent="0.2">
      <c r="A35" s="6" t="s">
        <v>1236</v>
      </c>
      <c r="B35" s="30"/>
      <c r="C35" s="1379">
        <v>87.7</v>
      </c>
      <c r="D35" s="1379">
        <v>87.7</v>
      </c>
      <c r="E35" s="1379">
        <v>87.7</v>
      </c>
      <c r="F35" s="1379">
        <v>87.7</v>
      </c>
      <c r="G35" s="1379">
        <v>87.7</v>
      </c>
      <c r="H35" s="1379">
        <v>87.7</v>
      </c>
    </row>
    <row r="36" spans="1:9" x14ac:dyDescent="0.2">
      <c r="A36" s="6" t="s">
        <v>1238</v>
      </c>
      <c r="B36" s="30"/>
      <c r="C36" s="1352">
        <f>Inputs!C31</f>
        <v>193.8</v>
      </c>
      <c r="D36" s="1352">
        <f>Inputs!D31</f>
        <v>193.4</v>
      </c>
      <c r="E36" s="1352">
        <f>Inputs!E31</f>
        <v>195.8</v>
      </c>
      <c r="F36" s="1352">
        <f>Inputs!F31</f>
        <v>195.8</v>
      </c>
      <c r="G36" s="1352">
        <f>Inputs!G31</f>
        <v>195.8</v>
      </c>
      <c r="H36" s="1352">
        <f>Inputs!H31</f>
        <v>195.8</v>
      </c>
    </row>
    <row r="37" spans="1:9" x14ac:dyDescent="0.2">
      <c r="A37" s="112" t="s">
        <v>274</v>
      </c>
      <c r="B37" s="30"/>
      <c r="C37" s="69">
        <f>C25*C36/C35</f>
        <v>3093.7286202964651</v>
      </c>
      <c r="D37" s="69">
        <f t="shared" ref="D37:H37" si="5">D25*D36/D35</f>
        <v>3087.3432155074115</v>
      </c>
      <c r="E37" s="69">
        <f t="shared" si="5"/>
        <v>3125.6556442417332</v>
      </c>
      <c r="F37" s="69">
        <f t="shared" si="5"/>
        <v>3125.6556442417332</v>
      </c>
      <c r="G37" s="69">
        <f t="shared" si="5"/>
        <v>3125.6556442417332</v>
      </c>
      <c r="H37" s="69">
        <f t="shared" si="5"/>
        <v>3125.6556442417332</v>
      </c>
    </row>
    <row r="38" spans="1:9" x14ac:dyDescent="0.2">
      <c r="A38" s="112" t="s">
        <v>268</v>
      </c>
      <c r="B38" s="30"/>
      <c r="C38" s="1384">
        <f t="shared" ref="C38:H38" si="6">C15</f>
        <v>312000</v>
      </c>
      <c r="D38" s="1384">
        <f t="shared" si="6"/>
        <v>312000</v>
      </c>
      <c r="E38" s="1384">
        <f t="shared" si="6"/>
        <v>312000</v>
      </c>
      <c r="F38" s="1384">
        <f t="shared" si="6"/>
        <v>312000</v>
      </c>
      <c r="G38" s="1384">
        <f t="shared" si="6"/>
        <v>312000</v>
      </c>
      <c r="H38" s="1384">
        <f t="shared" si="6"/>
        <v>312000</v>
      </c>
    </row>
    <row r="39" spans="1:9" x14ac:dyDescent="0.2">
      <c r="A39" s="112" t="s">
        <v>269</v>
      </c>
      <c r="B39" s="30"/>
      <c r="C39" s="1384">
        <f>C17</f>
        <v>744</v>
      </c>
      <c r="D39" s="1384">
        <f t="shared" ref="C39:H40" si="7">D17</f>
        <v>672</v>
      </c>
      <c r="E39" s="1384">
        <f t="shared" si="7"/>
        <v>744</v>
      </c>
      <c r="F39" s="1384">
        <f t="shared" si="7"/>
        <v>720</v>
      </c>
      <c r="G39" s="1384">
        <f t="shared" si="7"/>
        <v>744</v>
      </c>
      <c r="H39" s="1384">
        <f t="shared" si="7"/>
        <v>720</v>
      </c>
      <c r="I39" s="415"/>
    </row>
    <row r="40" spans="1:9" x14ac:dyDescent="0.2">
      <c r="A40" s="112" t="s">
        <v>270</v>
      </c>
      <c r="B40" s="30"/>
      <c r="C40" s="1384">
        <f t="shared" si="7"/>
        <v>8760</v>
      </c>
      <c r="D40" s="1384">
        <f t="shared" si="7"/>
        <v>8760</v>
      </c>
      <c r="E40" s="1384">
        <f t="shared" si="7"/>
        <v>8760</v>
      </c>
      <c r="F40" s="1384">
        <f t="shared" si="7"/>
        <v>8760</v>
      </c>
      <c r="G40" s="1384">
        <f t="shared" si="7"/>
        <v>8760</v>
      </c>
      <c r="H40" s="1384">
        <f t="shared" si="7"/>
        <v>8760</v>
      </c>
    </row>
    <row r="41" spans="1:9" x14ac:dyDescent="0.2">
      <c r="A41" s="6" t="s">
        <v>220</v>
      </c>
      <c r="B41" s="20" t="s">
        <v>275</v>
      </c>
      <c r="C41" s="67">
        <f t="shared" ref="C41:H41" si="8">(C23*C39/C40*(C24+C37)*C38)/(C23*C39*C38)</f>
        <v>4.3567457140611712</v>
      </c>
      <c r="D41" s="67">
        <f t="shared" si="8"/>
        <v>4.353304241894433</v>
      </c>
      <c r="E41" s="67">
        <f t="shared" si="8"/>
        <v>4.357677806818443</v>
      </c>
      <c r="F41" s="67">
        <f>(F23*F39/F40*(F24+F37)*F38)/(F23*F39*F38)</f>
        <v>4.5000864024871152</v>
      </c>
      <c r="G41" s="67">
        <f t="shared" si="8"/>
        <v>4.5000864024871152</v>
      </c>
      <c r="H41" s="67">
        <f t="shared" si="8"/>
        <v>4.5000864024871152</v>
      </c>
    </row>
    <row r="42" spans="1:9" x14ac:dyDescent="0.2">
      <c r="A42" s="6"/>
      <c r="B42" s="30"/>
      <c r="C42" s="476"/>
      <c r="D42" s="476"/>
      <c r="E42" s="476"/>
      <c r="F42" s="476"/>
      <c r="G42" s="476"/>
      <c r="H42" s="476"/>
      <c r="I42" s="415"/>
    </row>
    <row r="43" spans="1:9" ht="13.2" x14ac:dyDescent="0.25">
      <c r="A43" s="55" t="s">
        <v>24</v>
      </c>
      <c r="B43" s="61"/>
      <c r="C43" s="484"/>
      <c r="D43" s="484"/>
      <c r="E43" s="484"/>
      <c r="F43" s="484"/>
      <c r="G43" s="484"/>
      <c r="H43" s="484"/>
    </row>
    <row r="44" spans="1:9" ht="13.2" x14ac:dyDescent="0.25">
      <c r="A44" s="57" t="s">
        <v>99</v>
      </c>
      <c r="B44" s="63"/>
      <c r="C44" s="12" t="s">
        <v>97</v>
      </c>
      <c r="D44" s="12" t="s">
        <v>97</v>
      </c>
      <c r="E44" s="12" t="s">
        <v>97</v>
      </c>
      <c r="F44" s="12" t="s">
        <v>97</v>
      </c>
      <c r="G44" s="12" t="s">
        <v>97</v>
      </c>
      <c r="H44" s="12" t="s">
        <v>97</v>
      </c>
      <c r="I44" s="415"/>
    </row>
    <row r="45" spans="1:9" ht="13.2" x14ac:dyDescent="0.25">
      <c r="A45" s="116" t="s">
        <v>276</v>
      </c>
      <c r="B45" s="63"/>
      <c r="C45" s="418">
        <v>1</v>
      </c>
      <c r="D45" s="418">
        <v>1</v>
      </c>
      <c r="E45" s="418">
        <v>1</v>
      </c>
      <c r="F45" s="418">
        <v>1</v>
      </c>
      <c r="G45" s="418">
        <v>1</v>
      </c>
      <c r="H45" s="418">
        <v>1</v>
      </c>
      <c r="I45" s="415"/>
    </row>
    <row r="46" spans="1:9" x14ac:dyDescent="0.2">
      <c r="A46" s="112" t="s">
        <v>1337</v>
      </c>
      <c r="B46" s="20"/>
      <c r="C46" s="1385">
        <v>5.0000000000000001E-3</v>
      </c>
      <c r="D46" s="1385">
        <v>5.0000000000000001E-3</v>
      </c>
      <c r="E46" s="1385">
        <v>5.0000000000000001E-3</v>
      </c>
      <c r="F46" s="1385">
        <v>5.0000000000000001E-3</v>
      </c>
      <c r="G46" s="1385">
        <v>5.0000000000000001E-3</v>
      </c>
      <c r="H46" s="1385">
        <v>5.0000000000000001E-3</v>
      </c>
      <c r="I46" s="415"/>
    </row>
    <row r="47" spans="1:9" x14ac:dyDescent="0.2">
      <c r="A47" s="6" t="s">
        <v>1230</v>
      </c>
      <c r="B47" s="30"/>
      <c r="C47" s="1352">
        <f t="shared" ref="C47:H48" si="9">C12</f>
        <v>241.35300000000001</v>
      </c>
      <c r="D47" s="1352">
        <f t="shared" si="9"/>
        <v>241.35300000000001</v>
      </c>
      <c r="E47" s="1352">
        <f t="shared" si="9"/>
        <v>241.35300000000001</v>
      </c>
      <c r="F47" s="1352">
        <f t="shared" si="9"/>
        <v>241.35300000000001</v>
      </c>
      <c r="G47" s="1352">
        <f t="shared" si="9"/>
        <v>241.35300000000001</v>
      </c>
      <c r="H47" s="1352">
        <f t="shared" si="9"/>
        <v>241.35300000000001</v>
      </c>
      <c r="I47" s="415"/>
    </row>
    <row r="48" spans="1:9" x14ac:dyDescent="0.2">
      <c r="A48" s="6" t="s">
        <v>1231</v>
      </c>
      <c r="B48" s="30"/>
      <c r="C48" s="1352">
        <f t="shared" si="9"/>
        <v>324.45999999999998</v>
      </c>
      <c r="D48" s="1352">
        <f t="shared" si="9"/>
        <v>324.12</v>
      </c>
      <c r="E48" s="1352">
        <f t="shared" si="9"/>
        <v>324.05</v>
      </c>
      <c r="F48" s="1352">
        <f t="shared" si="9"/>
        <v>324.05</v>
      </c>
      <c r="G48" s="1352">
        <f t="shared" si="9"/>
        <v>324.05</v>
      </c>
      <c r="H48" s="1352">
        <f t="shared" si="9"/>
        <v>324.05</v>
      </c>
      <c r="I48" s="415"/>
    </row>
    <row r="49" spans="1:9" x14ac:dyDescent="0.2">
      <c r="A49" s="112" t="s">
        <v>1239</v>
      </c>
      <c r="B49" s="30"/>
      <c r="C49" s="2708">
        <f t="shared" ref="C49:H49" si="10">C46*C48/C47</f>
        <v>6.7216898070461099E-3</v>
      </c>
      <c r="D49" s="2708">
        <f t="shared" si="10"/>
        <v>6.7146461821481398E-3</v>
      </c>
      <c r="E49" s="2708">
        <f t="shared" si="10"/>
        <v>6.7131960240809111E-3</v>
      </c>
      <c r="F49" s="2708">
        <f t="shared" si="10"/>
        <v>6.7131960240809111E-3</v>
      </c>
      <c r="G49" s="2708">
        <f t="shared" si="10"/>
        <v>6.7131960240809111E-3</v>
      </c>
      <c r="H49" s="2708">
        <f t="shared" si="10"/>
        <v>6.7131960240809111E-3</v>
      </c>
      <c r="I49" s="415"/>
    </row>
    <row r="50" spans="1:9" ht="13.2" x14ac:dyDescent="0.25">
      <c r="A50" s="116" t="s">
        <v>1240</v>
      </c>
      <c r="B50" s="20" t="s">
        <v>1234</v>
      </c>
      <c r="C50" s="2708">
        <f t="shared" ref="C50:H50" si="11">C45*C49</f>
        <v>6.7216898070461099E-3</v>
      </c>
      <c r="D50" s="2708">
        <f t="shared" si="11"/>
        <v>6.7146461821481398E-3</v>
      </c>
      <c r="E50" s="2708">
        <f t="shared" si="11"/>
        <v>6.7131960240809111E-3</v>
      </c>
      <c r="F50" s="2708">
        <f t="shared" si="11"/>
        <v>6.7131960240809111E-3</v>
      </c>
      <c r="G50" s="2708">
        <f t="shared" si="11"/>
        <v>6.7131960240809111E-3</v>
      </c>
      <c r="H50" s="2708">
        <f t="shared" si="11"/>
        <v>6.7131960240809111E-3</v>
      </c>
      <c r="I50" s="415"/>
    </row>
    <row r="51" spans="1:9" ht="13.2" x14ac:dyDescent="0.25">
      <c r="A51" s="57"/>
      <c r="B51" s="63"/>
      <c r="C51" s="476"/>
      <c r="D51" s="476"/>
      <c r="E51" s="476"/>
      <c r="F51" s="476"/>
      <c r="G51" s="476"/>
      <c r="H51" s="476"/>
      <c r="I51" s="415"/>
    </row>
    <row r="52" spans="1:9" ht="13.2" x14ac:dyDescent="0.25">
      <c r="A52" s="57"/>
      <c r="B52" s="63"/>
      <c r="C52" s="415"/>
      <c r="D52" s="415"/>
      <c r="E52" s="415"/>
      <c r="F52" s="415"/>
      <c r="G52" s="415"/>
      <c r="H52" s="415"/>
      <c r="I52" s="415"/>
    </row>
    <row r="53" spans="1:9" ht="13.2" x14ac:dyDescent="0.25">
      <c r="A53" s="57" t="s">
        <v>99</v>
      </c>
      <c r="B53" s="63"/>
      <c r="C53" s="418" t="s">
        <v>94</v>
      </c>
      <c r="D53" s="418" t="s">
        <v>94</v>
      </c>
      <c r="E53" s="418" t="s">
        <v>94</v>
      </c>
      <c r="F53" s="418" t="s">
        <v>94</v>
      </c>
      <c r="G53" s="418" t="s">
        <v>94</v>
      </c>
      <c r="H53" s="418" t="s">
        <v>94</v>
      </c>
      <c r="I53" s="415"/>
    </row>
    <row r="54" spans="1:9" ht="13.2" x14ac:dyDescent="0.25">
      <c r="A54" s="57" t="s">
        <v>859</v>
      </c>
      <c r="B54" s="63"/>
      <c r="C54" s="1387">
        <f>Inputs!C51/(10947*4.1868*0.822070909090909)</f>
        <v>7.4048725797529512E-3</v>
      </c>
      <c r="D54" s="1387">
        <f>Inputs!D51/(10947*4.1868*0.822070909090909)</f>
        <v>7.3517910558837541E-3</v>
      </c>
      <c r="E54" s="1387">
        <f>Inputs!E51/(10947*4.1868*0.822070909090909)</f>
        <v>7.3517910558837541E-3</v>
      </c>
      <c r="F54" s="1387">
        <f>Inputs!F51/(10947*4.1868*0.822070909090909)</f>
        <v>1.0138571059016586E-2</v>
      </c>
      <c r="G54" s="1387">
        <f>Inputs!G51/(10947*4.1868*0.822070909090909)</f>
        <v>1.0138571059016586E-2</v>
      </c>
      <c r="H54" s="1387">
        <f>Inputs!H51/(10947*4.1868*0.822070909090909)</f>
        <v>1.0138571059016586E-2</v>
      </c>
      <c r="I54" s="415"/>
    </row>
    <row r="55" spans="1:9" ht="13.2" x14ac:dyDescent="0.25">
      <c r="A55" s="57" t="s">
        <v>1449</v>
      </c>
      <c r="B55" s="63"/>
      <c r="C55" s="1386">
        <v>5050</v>
      </c>
      <c r="D55" s="1386">
        <v>5050</v>
      </c>
      <c r="E55" s="1386">
        <v>5050</v>
      </c>
      <c r="F55" s="1386">
        <v>5050</v>
      </c>
      <c r="G55" s="1386">
        <v>5050</v>
      </c>
      <c r="H55" s="1386">
        <v>5050</v>
      </c>
      <c r="I55" s="415"/>
    </row>
    <row r="56" spans="1:9" ht="13.2" x14ac:dyDescent="0.25">
      <c r="A56" s="57" t="s">
        <v>1450</v>
      </c>
      <c r="B56" s="63"/>
      <c r="C56" s="1386">
        <v>7000</v>
      </c>
      <c r="D56" s="1386">
        <v>7000</v>
      </c>
      <c r="E56" s="1386">
        <v>7000</v>
      </c>
      <c r="F56" s="1386">
        <v>7000</v>
      </c>
      <c r="G56" s="1386">
        <v>7000</v>
      </c>
      <c r="H56" s="1386">
        <v>7000</v>
      </c>
      <c r="I56" s="415"/>
    </row>
    <row r="57" spans="1:9" ht="13.2" x14ac:dyDescent="0.25">
      <c r="A57" s="57" t="s">
        <v>1451</v>
      </c>
      <c r="B57" s="63"/>
      <c r="C57" s="1387">
        <f>1000000/(C9*C15)*1</f>
        <v>3.5612535612535612</v>
      </c>
      <c r="D57" s="1387">
        <f t="shared" ref="D57:H57" si="12">1000000/(D9*D15)*1</f>
        <v>3.5612535612535612</v>
      </c>
      <c r="E57" s="1387">
        <f t="shared" si="12"/>
        <v>3.5612535612535612</v>
      </c>
      <c r="F57" s="1387">
        <f>1000000/(F9*F15)*1</f>
        <v>3.5612535612535612</v>
      </c>
      <c r="G57" s="1387">
        <f t="shared" si="12"/>
        <v>3.5612535612535612</v>
      </c>
      <c r="H57" s="1387">
        <f t="shared" si="12"/>
        <v>3.5612535612535612</v>
      </c>
      <c r="I57" s="415"/>
    </row>
    <row r="58" spans="1:9" ht="13.2" x14ac:dyDescent="0.25">
      <c r="A58" s="57" t="s">
        <v>1452</v>
      </c>
      <c r="B58" s="63"/>
      <c r="C58" s="1387">
        <f>1000000/(C9*C16)*1</f>
        <v>5.2410901467505244</v>
      </c>
      <c r="D58" s="1387">
        <f t="shared" ref="D58:H58" si="13">1000000/(D9*D16)*1</f>
        <v>5.2410901467505244</v>
      </c>
      <c r="E58" s="1387">
        <f t="shared" si="13"/>
        <v>5.2410901467505244</v>
      </c>
      <c r="F58" s="1387">
        <f t="shared" si="13"/>
        <v>5.2410901467505244</v>
      </c>
      <c r="G58" s="1387">
        <f t="shared" si="13"/>
        <v>5.2410901467505244</v>
      </c>
      <c r="H58" s="1387">
        <f t="shared" si="13"/>
        <v>5.2410901467505244</v>
      </c>
      <c r="I58" s="415"/>
    </row>
    <row r="59" spans="1:9" ht="13.2" x14ac:dyDescent="0.25">
      <c r="A59" s="278" t="s">
        <v>1453</v>
      </c>
      <c r="B59" s="63"/>
      <c r="C59" s="1388">
        <f>C57*C115*0.5</f>
        <v>0</v>
      </c>
      <c r="D59" s="1388">
        <f t="shared" ref="D59:E59" si="14">D57*D115*0.5</f>
        <v>0</v>
      </c>
      <c r="E59" s="1388">
        <f t="shared" si="14"/>
        <v>0</v>
      </c>
      <c r="F59" s="1388">
        <f>F57*F115*0.95</f>
        <v>282.86689814814815</v>
      </c>
      <c r="G59" s="1388">
        <f t="shared" ref="G59:H59" si="15">G57*G115*0.95</f>
        <v>127.69292378917379</v>
      </c>
      <c r="H59" s="1388">
        <f t="shared" si="15"/>
        <v>190.59997507122506</v>
      </c>
      <c r="I59" s="415"/>
    </row>
    <row r="60" spans="1:9" ht="13.2" x14ac:dyDescent="0.25">
      <c r="A60" s="278" t="s">
        <v>1454</v>
      </c>
      <c r="B60" s="63"/>
      <c r="C60" s="1388">
        <f>C58*C115*0.5</f>
        <v>0</v>
      </c>
      <c r="D60" s="1388">
        <f t="shared" ref="D60:E60" si="16">D58*D115*0.5</f>
        <v>0</v>
      </c>
      <c r="E60" s="1388">
        <f t="shared" si="16"/>
        <v>0</v>
      </c>
      <c r="F60" s="1388">
        <f>F58*F115*0.05</f>
        <v>21.910246331236898</v>
      </c>
      <c r="G60" s="1388">
        <f t="shared" ref="G60:H60" si="17">G58*G115*0.05</f>
        <v>9.8908123689727478</v>
      </c>
      <c r="H60" s="1388">
        <f t="shared" si="17"/>
        <v>14.763453878406708</v>
      </c>
      <c r="I60" s="415"/>
    </row>
    <row r="61" spans="1:9" ht="13.2" x14ac:dyDescent="0.25">
      <c r="A61" s="112" t="s">
        <v>1338</v>
      </c>
      <c r="B61" s="63"/>
      <c r="C61" s="1386">
        <v>0.125</v>
      </c>
      <c r="D61" s="1386">
        <v>0.125</v>
      </c>
      <c r="E61" s="1386">
        <v>0.125</v>
      </c>
      <c r="F61" s="1386">
        <v>0.125</v>
      </c>
      <c r="G61" s="1386">
        <v>0.125</v>
      </c>
      <c r="H61" s="1386">
        <v>0.125</v>
      </c>
      <c r="I61" s="415"/>
    </row>
    <row r="62" spans="1:9" x14ac:dyDescent="0.2">
      <c r="A62" s="6" t="s">
        <v>1236</v>
      </c>
      <c r="B62" s="30"/>
      <c r="C62" s="1352">
        <f t="shared" ref="C62:H63" si="18">C35</f>
        <v>87.7</v>
      </c>
      <c r="D62" s="1352">
        <f t="shared" si="18"/>
        <v>87.7</v>
      </c>
      <c r="E62" s="1352">
        <f t="shared" si="18"/>
        <v>87.7</v>
      </c>
      <c r="F62" s="1352">
        <f t="shared" si="18"/>
        <v>87.7</v>
      </c>
      <c r="G62" s="1352">
        <f t="shared" si="18"/>
        <v>87.7</v>
      </c>
      <c r="H62" s="1352">
        <f t="shared" si="18"/>
        <v>87.7</v>
      </c>
    </row>
    <row r="63" spans="1:9" ht="13.2" customHeight="1" x14ac:dyDescent="0.2">
      <c r="A63" s="6" t="s">
        <v>1238</v>
      </c>
      <c r="B63" s="30"/>
      <c r="C63" s="1352">
        <f t="shared" si="18"/>
        <v>193.8</v>
      </c>
      <c r="D63" s="1352">
        <f t="shared" si="18"/>
        <v>193.4</v>
      </c>
      <c r="E63" s="1352">
        <f t="shared" si="18"/>
        <v>195.8</v>
      </c>
      <c r="F63" s="1352">
        <f t="shared" si="18"/>
        <v>195.8</v>
      </c>
      <c r="G63" s="1352">
        <f t="shared" si="18"/>
        <v>195.8</v>
      </c>
      <c r="H63" s="1352">
        <f t="shared" si="18"/>
        <v>195.8</v>
      </c>
    </row>
    <row r="64" spans="1:9" ht="13.2" x14ac:dyDescent="0.25">
      <c r="A64" s="112" t="s">
        <v>282</v>
      </c>
      <c r="B64" s="63"/>
      <c r="C64" s="1941">
        <f t="shared" ref="C64:H64" si="19">C61*C63/C62</f>
        <v>0.27622576966932727</v>
      </c>
      <c r="D64" s="1941">
        <f t="shared" si="19"/>
        <v>0.27565564424173317</v>
      </c>
      <c r="E64" s="1941">
        <f t="shared" si="19"/>
        <v>0.27907639680729762</v>
      </c>
      <c r="F64" s="1941">
        <f t="shared" si="19"/>
        <v>0.27907639680729762</v>
      </c>
      <c r="G64" s="1941">
        <f t="shared" si="19"/>
        <v>0.27907639680729762</v>
      </c>
      <c r="H64" s="1941">
        <f t="shared" si="19"/>
        <v>0.27907639680729762</v>
      </c>
    </row>
    <row r="65" spans="1:8" ht="13.2" x14ac:dyDescent="0.25">
      <c r="A65" s="112" t="s">
        <v>1455</v>
      </c>
      <c r="B65" s="63"/>
      <c r="C65" s="1380">
        <v>720000000</v>
      </c>
      <c r="D65" s="1380">
        <v>720000000</v>
      </c>
      <c r="E65" s="1380">
        <v>720000000</v>
      </c>
      <c r="F65" s="1380">
        <v>720000000</v>
      </c>
      <c r="G65" s="1380">
        <v>720000000</v>
      </c>
      <c r="H65" s="1380">
        <v>720000000</v>
      </c>
    </row>
    <row r="66" spans="1:8" ht="13.2" x14ac:dyDescent="0.25">
      <c r="A66" s="112" t="s">
        <v>1456</v>
      </c>
      <c r="B66" s="63"/>
      <c r="C66" s="1380">
        <v>700000000</v>
      </c>
      <c r="D66" s="1380">
        <v>700000000</v>
      </c>
      <c r="E66" s="1380">
        <v>700000000</v>
      </c>
      <c r="F66" s="1380">
        <v>700000000</v>
      </c>
      <c r="G66" s="1380">
        <v>700000000</v>
      </c>
      <c r="H66" s="1380">
        <v>700000000</v>
      </c>
    </row>
    <row r="67" spans="1:8" ht="13.2" x14ac:dyDescent="0.25">
      <c r="A67" s="116" t="s">
        <v>284</v>
      </c>
      <c r="B67" s="20" t="s">
        <v>275</v>
      </c>
      <c r="C67" s="1941">
        <f>IF(C115=0,0,(((C69*C55+C65*C59)*C54+(C70*(C15*C55+C65)/C15*C54)+(C71*C56+C66*C60)*C54+(C72*(C16+C56+C66)/C16*C54)+C64*(C69+C70+C71+C72)))/(C115*1000000))</f>
        <v>0</v>
      </c>
      <c r="D67" s="1941">
        <f t="shared" ref="D67:H67" si="20">IF(D115=0,0,(((D69*D55+D65*D59)*D54+(D70*(D15*D55+D65)/D15*D54)+(D71*D56+D66*D60)*D54+(D72*(D16+D56+D66)/D16*D54)+D64*(D69+D70+D71+D72)))/(D115*1000000))</f>
        <v>0</v>
      </c>
      <c r="E67" s="1941">
        <f>IF(E115=0,0,(((E69*E55+E65*E59)*E54+(E70*(E15*E55+E65)/E15*E54)+(E71*E56+E66*E60)*E54+(E72*(E16+E56+E66)/E16*E54)+E64*(E69+E70+E71+E72)))/(E115*1000000))</f>
        <v>0</v>
      </c>
      <c r="F67" s="1941">
        <f t="shared" si="20"/>
        <v>82.15836520474619</v>
      </c>
      <c r="G67" s="1941">
        <f t="shared" si="20"/>
        <v>82.15836520474619</v>
      </c>
      <c r="H67" s="1941">
        <f t="shared" si="20"/>
        <v>82.158365204746175</v>
      </c>
    </row>
    <row r="68" spans="1:8" ht="13.2" x14ac:dyDescent="0.25">
      <c r="A68" s="116"/>
      <c r="B68" s="20"/>
      <c r="C68" s="1941"/>
      <c r="D68" s="1941"/>
      <c r="E68" s="1941"/>
      <c r="F68" s="1941"/>
      <c r="G68" s="1941"/>
      <c r="H68" s="1941"/>
    </row>
    <row r="69" spans="1:8" ht="13.2" x14ac:dyDescent="0.25">
      <c r="A69" s="116" t="s">
        <v>1457</v>
      </c>
      <c r="B69" s="20"/>
      <c r="C69" s="2887">
        <f>C115*1000000*0.4</f>
        <v>0</v>
      </c>
      <c r="D69" s="2887">
        <f t="shared" ref="D69:E69" si="21">D115*1000000*0.4</f>
        <v>0</v>
      </c>
      <c r="E69" s="2887">
        <f t="shared" si="21"/>
        <v>0</v>
      </c>
      <c r="F69" s="2887">
        <f>F115*1000000*0.8</f>
        <v>66887600</v>
      </c>
      <c r="G69" s="2887">
        <f t="shared" ref="G69:H69" si="22">G115*1000000*0.8</f>
        <v>30194672</v>
      </c>
      <c r="H69" s="2887">
        <f t="shared" si="22"/>
        <v>45069872</v>
      </c>
    </row>
    <row r="70" spans="1:8" ht="13.2" x14ac:dyDescent="0.25">
      <c r="A70" s="116" t="s">
        <v>1458</v>
      </c>
      <c r="B70" s="20"/>
      <c r="C70" s="2887">
        <f>C115*1000000*0.1</f>
        <v>0</v>
      </c>
      <c r="D70" s="2887">
        <f t="shared" ref="D70:E70" si="23">D115*1000000*0.1</f>
        <v>0</v>
      </c>
      <c r="E70" s="2887">
        <f t="shared" si="23"/>
        <v>0</v>
      </c>
      <c r="F70" s="2887">
        <f>F115*1000000*0.15</f>
        <v>12541425</v>
      </c>
      <c r="G70" s="2887">
        <f t="shared" ref="G70:H70" si="24">G115*1000000*0.15</f>
        <v>5661501</v>
      </c>
      <c r="H70" s="2887">
        <f t="shared" si="24"/>
        <v>8450601</v>
      </c>
    </row>
    <row r="71" spans="1:8" ht="13.2" x14ac:dyDescent="0.25">
      <c r="A71" s="116" t="s">
        <v>1459</v>
      </c>
      <c r="B71" s="20"/>
      <c r="C71" s="2887">
        <f>C115*1000000*0.4</f>
        <v>0</v>
      </c>
      <c r="D71" s="2887">
        <f t="shared" ref="D71:E71" si="25">D115*1000000*0.4</f>
        <v>0</v>
      </c>
      <c r="E71" s="2887">
        <f t="shared" si="25"/>
        <v>0</v>
      </c>
      <c r="F71" s="2887">
        <f>F115*1000000*0.04</f>
        <v>3344380</v>
      </c>
      <c r="G71" s="2887">
        <f t="shared" ref="G71:H71" si="26">G115*1000000*0.04</f>
        <v>1509733.6</v>
      </c>
      <c r="H71" s="2887">
        <f t="shared" si="26"/>
        <v>2253493.6</v>
      </c>
    </row>
    <row r="72" spans="1:8" ht="13.2" x14ac:dyDescent="0.25">
      <c r="A72" s="116" t="s">
        <v>1460</v>
      </c>
      <c r="B72" s="20"/>
      <c r="C72" s="2887">
        <f>C115*1000000*0.1</f>
        <v>0</v>
      </c>
      <c r="D72" s="2887">
        <f t="shared" ref="D72:E72" si="27">D115*1000000*0.1</f>
        <v>0</v>
      </c>
      <c r="E72" s="2887">
        <f t="shared" si="27"/>
        <v>0</v>
      </c>
      <c r="F72" s="2887">
        <f>F115*1000000*0.01</f>
        <v>836095</v>
      </c>
      <c r="G72" s="2887">
        <f t="shared" ref="G72:H72" si="28">G115*1000000*0.01</f>
        <v>377433.4</v>
      </c>
      <c r="H72" s="2887">
        <f t="shared" si="28"/>
        <v>563373.4</v>
      </c>
    </row>
    <row r="73" spans="1:8" ht="13.2" x14ac:dyDescent="0.25">
      <c r="A73" s="116"/>
      <c r="B73" s="20"/>
      <c r="C73" s="1941"/>
      <c r="D73" s="1941"/>
      <c r="E73" s="1941"/>
      <c r="F73" s="1941"/>
      <c r="G73" s="1941"/>
      <c r="H73" s="1941"/>
    </row>
    <row r="74" spans="1:8" ht="13.2" x14ac:dyDescent="0.25">
      <c r="A74" s="55" t="s">
        <v>483</v>
      </c>
      <c r="B74" s="61"/>
      <c r="C74" s="484"/>
      <c r="D74" s="484"/>
      <c r="E74" s="484"/>
      <c r="F74" s="484"/>
      <c r="G74" s="484"/>
      <c r="H74" s="484"/>
    </row>
    <row r="75" spans="1:8" ht="13.2" x14ac:dyDescent="0.2">
      <c r="A75" s="2888" t="s">
        <v>1471</v>
      </c>
      <c r="B75" s="2974" t="s">
        <v>471</v>
      </c>
      <c r="C75" s="1383"/>
      <c r="D75" s="1383"/>
      <c r="E75" s="1383"/>
      <c r="F75" s="1383"/>
      <c r="G75" s="1383"/>
      <c r="H75" s="1383"/>
    </row>
    <row r="76" spans="1:8" ht="13.2" x14ac:dyDescent="0.2">
      <c r="A76" s="411" t="s">
        <v>587</v>
      </c>
      <c r="B76" s="2975"/>
      <c r="C76" s="1383">
        <v>3600000</v>
      </c>
      <c r="D76" s="1383">
        <v>3600000</v>
      </c>
      <c r="E76" s="1383">
        <v>3600000</v>
      </c>
      <c r="F76" s="1383">
        <v>3600000</v>
      </c>
      <c r="G76" s="1383">
        <v>3600000</v>
      </c>
      <c r="H76" s="1383">
        <v>3600000</v>
      </c>
    </row>
    <row r="77" spans="1:8" ht="13.2" x14ac:dyDescent="0.2">
      <c r="A77" s="411" t="s">
        <v>485</v>
      </c>
      <c r="B77" s="2975"/>
      <c r="C77" s="1383">
        <v>4500000</v>
      </c>
      <c r="D77" s="1383">
        <v>4500000</v>
      </c>
      <c r="E77" s="1383">
        <v>4500000</v>
      </c>
      <c r="F77" s="1383">
        <v>4500000</v>
      </c>
      <c r="G77" s="1383">
        <v>4500000</v>
      </c>
      <c r="H77" s="1383">
        <v>4500000</v>
      </c>
    </row>
    <row r="78" spans="1:8" ht="13.2" x14ac:dyDescent="0.2">
      <c r="A78" s="411" t="s">
        <v>486</v>
      </c>
      <c r="B78" s="2975"/>
      <c r="C78" s="1383">
        <v>5850000</v>
      </c>
      <c r="D78" s="1383">
        <v>5850000</v>
      </c>
      <c r="E78" s="1383">
        <v>5850000</v>
      </c>
      <c r="F78" s="1383">
        <v>5850000</v>
      </c>
      <c r="G78" s="1383">
        <v>5850000</v>
      </c>
      <c r="H78" s="1383">
        <v>5850000</v>
      </c>
    </row>
    <row r="79" spans="1:8" ht="13.2" x14ac:dyDescent="0.25">
      <c r="A79" s="411" t="s">
        <v>1241</v>
      </c>
      <c r="B79" s="409" t="s">
        <v>256</v>
      </c>
      <c r="C79" s="1379">
        <v>2.5699999999999998E-3</v>
      </c>
      <c r="D79" s="1379">
        <v>2.5699999999999998E-3</v>
      </c>
      <c r="E79" s="1379">
        <v>2.5699999999999998E-3</v>
      </c>
      <c r="F79" s="1379">
        <v>2.5699999999999998E-3</v>
      </c>
      <c r="G79" s="1379">
        <v>2.5699999999999998E-3</v>
      </c>
      <c r="H79" s="1379">
        <v>2.5699999999999998E-3</v>
      </c>
    </row>
    <row r="80" spans="1:8" ht="13.2" x14ac:dyDescent="0.2">
      <c r="A80" s="1448" t="s">
        <v>1242</v>
      </c>
      <c r="B80" s="1449"/>
      <c r="C80" s="1450"/>
      <c r="D80" s="1450"/>
      <c r="E80" s="1450"/>
      <c r="F80" s="1450"/>
      <c r="G80" s="1450"/>
      <c r="H80" s="1450"/>
    </row>
    <row r="81" spans="1:9" ht="13.2" x14ac:dyDescent="0.2">
      <c r="A81" s="1448" t="s">
        <v>587</v>
      </c>
      <c r="B81" s="1449"/>
      <c r="C81" s="1450">
        <v>1</v>
      </c>
      <c r="D81" s="1450">
        <v>1</v>
      </c>
      <c r="E81" s="1450">
        <v>1</v>
      </c>
      <c r="F81" s="1450">
        <v>0</v>
      </c>
      <c r="G81" s="1450">
        <v>0</v>
      </c>
      <c r="H81" s="1450">
        <v>0</v>
      </c>
    </row>
    <row r="82" spans="1:9" ht="13.2" x14ac:dyDescent="0.25">
      <c r="A82" s="1448" t="s">
        <v>485</v>
      </c>
      <c r="B82" s="1452"/>
      <c r="C82" s="1450">
        <v>3</v>
      </c>
      <c r="D82" s="1450">
        <v>3</v>
      </c>
      <c r="E82" s="1450">
        <v>3</v>
      </c>
      <c r="F82" s="1450">
        <v>29</v>
      </c>
      <c r="G82" s="1450">
        <v>30</v>
      </c>
      <c r="H82" s="1450">
        <v>29</v>
      </c>
    </row>
    <row r="83" spans="1:9" ht="13.2" x14ac:dyDescent="0.25">
      <c r="A83" s="1448" t="s">
        <v>486</v>
      </c>
      <c r="B83" s="1452"/>
      <c r="C83" s="1450">
        <v>1</v>
      </c>
      <c r="D83" s="1450">
        <v>1</v>
      </c>
      <c r="E83" s="1450">
        <v>1</v>
      </c>
      <c r="F83" s="1450">
        <v>0</v>
      </c>
      <c r="G83" s="1450">
        <v>0</v>
      </c>
      <c r="H83" s="1450">
        <v>0</v>
      </c>
    </row>
    <row r="84" spans="1:9" ht="13.2" x14ac:dyDescent="0.25">
      <c r="A84" s="411" t="s">
        <v>1243</v>
      </c>
      <c r="B84" s="409" t="s">
        <v>475</v>
      </c>
      <c r="C84" s="487">
        <f t="shared" ref="C84:H84" si="29">C80*C75*(0.9*($H$54/$H$79)+0.1*($H$36/$H$35))</f>
        <v>0</v>
      </c>
      <c r="D84" s="487">
        <f t="shared" si="29"/>
        <v>0</v>
      </c>
      <c r="E84" s="487">
        <f t="shared" si="29"/>
        <v>0</v>
      </c>
      <c r="F84" s="487">
        <f t="shared" si="29"/>
        <v>0</v>
      </c>
      <c r="G84" s="487">
        <f t="shared" si="29"/>
        <v>0</v>
      </c>
      <c r="H84" s="487">
        <f t="shared" si="29"/>
        <v>0</v>
      </c>
    </row>
    <row r="85" spans="1:9" ht="13.2" x14ac:dyDescent="0.25">
      <c r="A85" s="411" t="s">
        <v>587</v>
      </c>
      <c r="B85" s="409" t="s">
        <v>475</v>
      </c>
      <c r="C85" s="487">
        <f t="shared" ref="C85:H85" si="30">C81*C76*(0.9*(C54/C79)+0.1*(C36/C35))</f>
        <v>10130855.959215585</v>
      </c>
      <c r="D85" s="487">
        <f t="shared" si="30"/>
        <v>10062294.100187929</v>
      </c>
      <c r="E85" s="487">
        <f t="shared" si="30"/>
        <v>10072145.867576756</v>
      </c>
      <c r="F85" s="487">
        <f t="shared" si="30"/>
        <v>0</v>
      </c>
      <c r="G85" s="487">
        <f t="shared" si="30"/>
        <v>0</v>
      </c>
      <c r="H85" s="487">
        <f t="shared" si="30"/>
        <v>0</v>
      </c>
    </row>
    <row r="86" spans="1:9" ht="13.2" x14ac:dyDescent="0.25">
      <c r="A86" s="411" t="s">
        <v>485</v>
      </c>
      <c r="B86" s="409" t="s">
        <v>475</v>
      </c>
      <c r="C86" s="487">
        <f t="shared" ref="C86:H86" si="31">C82*C77*(0.9*(C54/C79)+0.1*(C36/C35))</f>
        <v>37990709.847058445</v>
      </c>
      <c r="D86" s="487">
        <f t="shared" si="31"/>
        <v>37733602.875704736</v>
      </c>
      <c r="E86" s="487">
        <f t="shared" si="31"/>
        <v>37770547.003412828</v>
      </c>
      <c r="F86" s="487">
        <f t="shared" si="31"/>
        <v>492472218.19302356</v>
      </c>
      <c r="G86" s="487">
        <f t="shared" si="31"/>
        <v>509454018.82036918</v>
      </c>
      <c r="H86" s="487">
        <f t="shared" si="31"/>
        <v>492472218.19302356</v>
      </c>
      <c r="I86">
        <f>SUM(C86:H86)</f>
        <v>1607893314.9325924</v>
      </c>
    </row>
    <row r="87" spans="1:9" ht="13.2" x14ac:dyDescent="0.25">
      <c r="A87" s="411" t="s">
        <v>486</v>
      </c>
      <c r="B87" s="409" t="s">
        <v>475</v>
      </c>
      <c r="C87" s="487">
        <f t="shared" ref="C87:H87" si="32">C83*C78*(0.9*(C54/C79)+0.1*(C36/C35))</f>
        <v>16462640.933725327</v>
      </c>
      <c r="D87" s="487">
        <f t="shared" si="32"/>
        <v>16351227.912805386</v>
      </c>
      <c r="E87" s="487">
        <f t="shared" si="32"/>
        <v>16367237.034812227</v>
      </c>
      <c r="F87" s="487">
        <f t="shared" si="32"/>
        <v>0</v>
      </c>
      <c r="G87" s="487">
        <f t="shared" si="32"/>
        <v>0</v>
      </c>
      <c r="H87" s="487">
        <f t="shared" si="32"/>
        <v>0</v>
      </c>
    </row>
    <row r="88" spans="1:9" ht="13.2" x14ac:dyDescent="0.25">
      <c r="A88" s="411" t="s">
        <v>490</v>
      </c>
      <c r="B88" s="409" t="s">
        <v>491</v>
      </c>
      <c r="C88" s="1866">
        <f>IF(C115=0,0,((C87+C86+C84+C85)/1000000))</f>
        <v>0</v>
      </c>
      <c r="D88" s="1866">
        <f t="shared" ref="D88:H88" si="33">IF(D115=0,0,((D87+D86+D84+D85)/1000000))</f>
        <v>0</v>
      </c>
      <c r="E88" s="1866">
        <f t="shared" si="33"/>
        <v>0</v>
      </c>
      <c r="F88" s="1866">
        <f t="shared" si="33"/>
        <v>492.47221819302354</v>
      </c>
      <c r="G88" s="1866">
        <f t="shared" si="33"/>
        <v>509.45401882036919</v>
      </c>
      <c r="H88" s="1866">
        <f t="shared" si="33"/>
        <v>492.47221819302354</v>
      </c>
      <c r="I88" s="241">
        <f>+SUM(C88:H88)</f>
        <v>1494.3984552064162</v>
      </c>
    </row>
    <row r="89" spans="1:9" ht="17.399999999999999" x14ac:dyDescent="0.3">
      <c r="A89" s="410"/>
      <c r="B89" s="410"/>
      <c r="C89" s="8"/>
      <c r="D89" s="8"/>
      <c r="E89" s="8"/>
      <c r="F89" s="8"/>
      <c r="G89" s="8"/>
      <c r="H89" s="8"/>
    </row>
    <row r="90" spans="1:9" ht="13.2" x14ac:dyDescent="0.2">
      <c r="A90" s="2888" t="s">
        <v>1470</v>
      </c>
      <c r="B90" s="2976" t="s">
        <v>471</v>
      </c>
      <c r="C90" s="1383"/>
      <c r="D90" s="1383"/>
      <c r="E90" s="1383"/>
      <c r="F90" s="1383"/>
      <c r="G90" s="1383"/>
      <c r="H90" s="1383"/>
    </row>
    <row r="91" spans="1:9" ht="13.2" x14ac:dyDescent="0.2">
      <c r="A91" s="411" t="s">
        <v>587</v>
      </c>
      <c r="B91" s="2975"/>
      <c r="C91" s="1383">
        <v>2700000</v>
      </c>
      <c r="D91" s="1383">
        <v>2700000</v>
      </c>
      <c r="E91" s="1383">
        <v>2700000</v>
      </c>
      <c r="F91" s="1383">
        <v>2700000</v>
      </c>
      <c r="G91" s="1383">
        <v>2700000</v>
      </c>
      <c r="H91" s="1383">
        <v>2700000</v>
      </c>
    </row>
    <row r="92" spans="1:9" ht="13.2" x14ac:dyDescent="0.2">
      <c r="A92" s="411" t="s">
        <v>485</v>
      </c>
      <c r="B92" s="2975"/>
      <c r="C92" s="1383">
        <v>2880000</v>
      </c>
      <c r="D92" s="1383">
        <v>2880000</v>
      </c>
      <c r="E92" s="1383">
        <v>2880000</v>
      </c>
      <c r="F92" s="1383">
        <v>2880000</v>
      </c>
      <c r="G92" s="1383">
        <v>2880000</v>
      </c>
      <c r="H92" s="1383">
        <v>2880000</v>
      </c>
    </row>
    <row r="93" spans="1:9" ht="13.2" x14ac:dyDescent="0.2">
      <c r="A93" s="411" t="s">
        <v>486</v>
      </c>
      <c r="B93" s="2975"/>
      <c r="C93" s="1383">
        <v>3600000</v>
      </c>
      <c r="D93" s="1383">
        <v>3600000</v>
      </c>
      <c r="E93" s="1383">
        <v>3600000</v>
      </c>
      <c r="F93" s="1383">
        <v>3600000</v>
      </c>
      <c r="G93" s="1383">
        <v>3600000</v>
      </c>
      <c r="H93" s="1383">
        <v>3600000</v>
      </c>
    </row>
    <row r="94" spans="1:9" ht="13.2" x14ac:dyDescent="0.25">
      <c r="A94" s="411" t="s">
        <v>1241</v>
      </c>
      <c r="B94" s="409" t="s">
        <v>256</v>
      </c>
      <c r="C94" s="1379">
        <v>2.5699999999999998E-3</v>
      </c>
      <c r="D94" s="2889">
        <v>2.5699999999999998E-3</v>
      </c>
      <c r="E94" s="2889">
        <v>2.5699999999999998E-3</v>
      </c>
      <c r="F94" s="1379">
        <v>2.5699999999999998E-3</v>
      </c>
      <c r="G94" s="2889">
        <v>2.5699999999999998E-3</v>
      </c>
      <c r="H94" s="2889">
        <v>2.5699999999999998E-3</v>
      </c>
    </row>
    <row r="95" spans="1:9" ht="13.2" x14ac:dyDescent="0.2">
      <c r="A95" s="1448" t="s">
        <v>1242</v>
      </c>
      <c r="B95" s="1449"/>
      <c r="C95" s="1450"/>
      <c r="D95" s="1450"/>
      <c r="E95" s="1450"/>
      <c r="F95" s="1450"/>
      <c r="G95" s="1450"/>
      <c r="H95" s="1450"/>
    </row>
    <row r="96" spans="1:9" ht="13.2" x14ac:dyDescent="0.2">
      <c r="A96" s="1448" t="s">
        <v>587</v>
      </c>
      <c r="B96" s="1449"/>
      <c r="C96" s="1450">
        <v>1</v>
      </c>
      <c r="D96" s="1450">
        <v>1</v>
      </c>
      <c r="E96" s="1450">
        <v>1</v>
      </c>
      <c r="F96" s="1450">
        <v>0</v>
      </c>
      <c r="G96" s="1450">
        <v>0</v>
      </c>
      <c r="H96" s="1450">
        <v>0</v>
      </c>
    </row>
    <row r="97" spans="1:9" ht="13.2" x14ac:dyDescent="0.25">
      <c r="A97" s="1448" t="s">
        <v>485</v>
      </c>
      <c r="B97" s="1452"/>
      <c r="C97" s="1450">
        <v>3</v>
      </c>
      <c r="D97" s="1450">
        <v>3</v>
      </c>
      <c r="E97" s="1450">
        <v>3</v>
      </c>
      <c r="F97" s="1450">
        <v>1</v>
      </c>
      <c r="G97" s="1450">
        <v>1</v>
      </c>
      <c r="H97" s="1450">
        <v>1</v>
      </c>
    </row>
    <row r="98" spans="1:9" ht="13.2" x14ac:dyDescent="0.25">
      <c r="A98" s="1448" t="s">
        <v>486</v>
      </c>
      <c r="B98" s="1452"/>
      <c r="C98" s="1450">
        <v>1</v>
      </c>
      <c r="D98" s="1450">
        <v>1</v>
      </c>
      <c r="E98" s="1450">
        <v>1</v>
      </c>
      <c r="F98" s="1450">
        <v>0</v>
      </c>
      <c r="G98" s="1450">
        <v>0</v>
      </c>
      <c r="H98" s="1450">
        <v>0</v>
      </c>
    </row>
    <row r="99" spans="1:9" ht="13.2" x14ac:dyDescent="0.25">
      <c r="A99" s="411" t="s">
        <v>1243</v>
      </c>
      <c r="B99" s="409"/>
      <c r="C99" s="487"/>
      <c r="D99" s="487"/>
      <c r="E99" s="487"/>
      <c r="F99" s="487"/>
      <c r="G99" s="487"/>
      <c r="H99" s="487"/>
    </row>
    <row r="100" spans="1:9" ht="13.2" x14ac:dyDescent="0.25">
      <c r="A100" s="411" t="s">
        <v>587</v>
      </c>
      <c r="B100" s="409" t="s">
        <v>475</v>
      </c>
      <c r="C100" s="487">
        <f>C96*C91*(0.9*(C54/C94)+0.1*(C36/C35))</f>
        <v>7598141.9694116889</v>
      </c>
      <c r="D100" s="487">
        <f t="shared" ref="D100:H100" si="34">D96*D91*(0.9*(D54/D94)+0.1*(D36/D35))</f>
        <v>7546720.5751409465</v>
      </c>
      <c r="E100" s="487">
        <f t="shared" si="34"/>
        <v>7554109.4006825658</v>
      </c>
      <c r="F100" s="487">
        <f t="shared" si="34"/>
        <v>0</v>
      </c>
      <c r="G100" s="487">
        <f t="shared" si="34"/>
        <v>0</v>
      </c>
      <c r="H100" s="487">
        <f t="shared" si="34"/>
        <v>0</v>
      </c>
    </row>
    <row r="101" spans="1:9" ht="13.2" x14ac:dyDescent="0.25">
      <c r="A101" s="411" t="s">
        <v>485</v>
      </c>
      <c r="B101" s="409" t="s">
        <v>475</v>
      </c>
      <c r="C101" s="487">
        <f>C97*C92*(0.9*(C54/C94)+0.1*(C36/C35))</f>
        <v>24314054.302117407</v>
      </c>
      <c r="D101" s="487">
        <f t="shared" ref="D101:H101" si="35">D97*D92*(0.9*(D54/D94)+0.1*(D36/D35))</f>
        <v>24149505.840451032</v>
      </c>
      <c r="E101" s="487">
        <f t="shared" si="35"/>
        <v>24173150.08218421</v>
      </c>
      <c r="F101" s="487">
        <f t="shared" si="35"/>
        <v>10868352.401501209</v>
      </c>
      <c r="G101" s="487">
        <f t="shared" si="35"/>
        <v>10868352.401501209</v>
      </c>
      <c r="H101" s="487">
        <f t="shared" si="35"/>
        <v>10868352.401501209</v>
      </c>
    </row>
    <row r="102" spans="1:9" ht="13.2" x14ac:dyDescent="0.25">
      <c r="A102" s="411" t="s">
        <v>486</v>
      </c>
      <c r="B102" s="409" t="s">
        <v>475</v>
      </c>
      <c r="C102" s="487">
        <f>C98*C93*(0.9*(C54/C94)+0.1*(C36/C35))</f>
        <v>10130855.959215585</v>
      </c>
      <c r="D102" s="487">
        <f t="shared" ref="D102:H102" si="36">D98*D93*(0.9*(D54/D94)+0.1*(D36/D35))</f>
        <v>10062294.100187929</v>
      </c>
      <c r="E102" s="487">
        <f t="shared" si="36"/>
        <v>10072145.867576756</v>
      </c>
      <c r="F102" s="487">
        <f t="shared" si="36"/>
        <v>0</v>
      </c>
      <c r="G102" s="487">
        <f t="shared" si="36"/>
        <v>0</v>
      </c>
      <c r="H102" s="487">
        <f t="shared" si="36"/>
        <v>0</v>
      </c>
    </row>
    <row r="103" spans="1:9" ht="13.2" x14ac:dyDescent="0.25">
      <c r="A103" s="411" t="s">
        <v>490</v>
      </c>
      <c r="B103" s="409" t="s">
        <v>491</v>
      </c>
      <c r="C103" s="1866">
        <f>IF(C115=0,0,((C102+C101+C100)/1000000))</f>
        <v>0</v>
      </c>
      <c r="D103" s="1866">
        <f t="shared" ref="D103:H103" si="37">IF(D115=0,0,((D102+D101+D100)/1000000))</f>
        <v>0</v>
      </c>
      <c r="E103" s="1866">
        <f t="shared" si="37"/>
        <v>0</v>
      </c>
      <c r="F103" s="1866">
        <f t="shared" si="37"/>
        <v>10.868352401501209</v>
      </c>
      <c r="G103" s="1866">
        <f t="shared" si="37"/>
        <v>10.868352401501209</v>
      </c>
      <c r="H103" s="1866">
        <f t="shared" si="37"/>
        <v>10.868352401501209</v>
      </c>
      <c r="I103" s="241"/>
    </row>
    <row r="104" spans="1:9" ht="17.399999999999999" x14ac:dyDescent="0.3">
      <c r="A104" s="410"/>
      <c r="B104" s="410"/>
      <c r="C104" s="8"/>
      <c r="D104" s="8"/>
      <c r="E104" s="8"/>
      <c r="F104" s="8"/>
      <c r="G104" s="8"/>
      <c r="H104" s="8"/>
    </row>
    <row r="105" spans="1:9" ht="13.2" x14ac:dyDescent="0.25">
      <c r="A105" s="55" t="s">
        <v>189</v>
      </c>
      <c r="B105" s="61"/>
      <c r="C105" s="47"/>
      <c r="D105" s="47"/>
      <c r="E105" s="47"/>
      <c r="F105" s="47"/>
      <c r="G105" s="47"/>
      <c r="H105" s="47"/>
    </row>
    <row r="106" spans="1:9" ht="13.2" x14ac:dyDescent="0.25">
      <c r="A106" s="57" t="s">
        <v>190</v>
      </c>
      <c r="B106" s="20" t="s">
        <v>60</v>
      </c>
      <c r="C106" s="197"/>
      <c r="D106" s="197"/>
      <c r="E106" s="197"/>
      <c r="F106" s="197"/>
      <c r="G106" s="197"/>
      <c r="H106" s="197"/>
      <c r="I106" s="2206"/>
    </row>
    <row r="107" spans="1:9" ht="13.2" x14ac:dyDescent="0.25">
      <c r="A107" s="57" t="s">
        <v>191</v>
      </c>
      <c r="B107" s="20" t="s">
        <v>60</v>
      </c>
      <c r="C107" s="1379">
        <v>0</v>
      </c>
      <c r="D107" s="1379">
        <v>0</v>
      </c>
      <c r="E107" s="1379">
        <v>0</v>
      </c>
      <c r="F107" s="1379">
        <v>0</v>
      </c>
      <c r="G107" s="1379">
        <v>0</v>
      </c>
      <c r="H107" s="1379">
        <v>0</v>
      </c>
      <c r="I107" s="2207"/>
    </row>
    <row r="108" spans="1:9" ht="13.2" x14ac:dyDescent="0.25">
      <c r="A108" s="57" t="s">
        <v>1325</v>
      </c>
      <c r="B108" s="20" t="s">
        <v>60</v>
      </c>
      <c r="C108" s="1379">
        <v>50</v>
      </c>
      <c r="D108" s="1379">
        <v>50</v>
      </c>
      <c r="E108" s="1379">
        <v>50</v>
      </c>
      <c r="F108" s="1379">
        <v>50</v>
      </c>
      <c r="G108" s="1379">
        <v>50</v>
      </c>
      <c r="H108" s="1379">
        <v>50</v>
      </c>
      <c r="I108" s="1831"/>
    </row>
    <row r="109" spans="1:9" ht="13.2" x14ac:dyDescent="0.25">
      <c r="A109" s="57"/>
      <c r="B109" s="20"/>
      <c r="C109" s="83"/>
      <c r="D109" s="83"/>
      <c r="E109" s="83"/>
      <c r="F109" s="83"/>
      <c r="G109" s="83"/>
      <c r="H109" s="83"/>
      <c r="I109" s="1831"/>
    </row>
    <row r="110" spans="1:9" ht="13.2" x14ac:dyDescent="0.25">
      <c r="A110" s="55" t="s">
        <v>145</v>
      </c>
      <c r="B110" s="90" t="s">
        <v>97</v>
      </c>
      <c r="C110" s="1356">
        <f>Inputs!C21</f>
        <v>313.51760000000002</v>
      </c>
      <c r="D110" s="1356">
        <f>Inputs!D21</f>
        <v>313.51760000000002</v>
      </c>
      <c r="E110" s="1356">
        <f>Inputs!E21</f>
        <v>313.51760000000002</v>
      </c>
      <c r="F110" s="1356">
        <f>Inputs!F21</f>
        <v>313.51760000000002</v>
      </c>
      <c r="G110" s="1356">
        <f>Inputs!G21</f>
        <v>313.51760000000002</v>
      </c>
      <c r="H110" s="1356">
        <f>Inputs!H21</f>
        <v>313.51760000000002</v>
      </c>
      <c r="I110" s="402">
        <f>+H106+H107</f>
        <v>0</v>
      </c>
    </row>
    <row r="111" spans="1:9" ht="13.2" thickBot="1" x14ac:dyDescent="0.25">
      <c r="A111" s="6"/>
      <c r="B111" s="30"/>
      <c r="C111" s="8"/>
      <c r="D111" s="8"/>
      <c r="E111" s="8"/>
      <c r="F111" s="8"/>
      <c r="G111" s="8"/>
      <c r="H111" s="8"/>
      <c r="I111" s="2571"/>
    </row>
    <row r="112" spans="1:9" x14ac:dyDescent="0.2">
      <c r="A112" s="544" t="s">
        <v>148</v>
      </c>
      <c r="B112" s="545" t="s">
        <v>60</v>
      </c>
      <c r="C112" s="1246">
        <f>(C19*C110+C41)*(C9*C17*C15)/1000000+C107+C108</f>
        <v>1243.5195134943376</v>
      </c>
      <c r="D112" s="1246">
        <f t="shared" ref="D112:H112" si="38">(D19*D110+D41)*(D9*D17*D15)/1000000+D107+D108</f>
        <v>1127.2730903431645</v>
      </c>
      <c r="E112" s="1246">
        <f t="shared" si="38"/>
        <v>1243.5872256688476</v>
      </c>
      <c r="F112" s="1246">
        <f t="shared" si="38"/>
        <v>1233.8760121755038</v>
      </c>
      <c r="G112" s="1246">
        <f t="shared" si="38"/>
        <v>1273.3385459146871</v>
      </c>
      <c r="H112" s="1246">
        <f t="shared" si="38"/>
        <v>1233.8760121755038</v>
      </c>
    </row>
    <row r="113" spans="1:8" x14ac:dyDescent="0.2">
      <c r="A113" s="6" t="s">
        <v>149</v>
      </c>
      <c r="B113" s="20" t="s">
        <v>60</v>
      </c>
      <c r="C113" s="1942">
        <f>((C50*C110+C67)*C115)+C88+C103</f>
        <v>0</v>
      </c>
      <c r="D113" s="1942">
        <f t="shared" ref="D113:H113" si="39">((D50*D110+D67)*D115)+D88+D103</f>
        <v>0</v>
      </c>
      <c r="E113" s="1942">
        <f>((E50*E110+E67)*E115)+E88+E103</f>
        <v>0</v>
      </c>
      <c r="F113" s="1942">
        <f t="shared" si="39"/>
        <v>7548.5337477240846</v>
      </c>
      <c r="G113" s="1942">
        <f t="shared" si="39"/>
        <v>3700.6920833966979</v>
      </c>
      <c r="H113" s="1942">
        <f t="shared" si="39"/>
        <v>5250.4978121236363</v>
      </c>
    </row>
    <row r="114" spans="1:8" x14ac:dyDescent="0.2">
      <c r="A114" s="78" t="s">
        <v>150</v>
      </c>
      <c r="B114" s="79" t="s">
        <v>39</v>
      </c>
      <c r="C114" s="1247"/>
      <c r="D114" s="1247"/>
      <c r="E114" s="1247"/>
      <c r="F114" s="1247"/>
      <c r="G114" s="1247"/>
      <c r="H114" s="1247"/>
    </row>
    <row r="115" spans="1:8" x14ac:dyDescent="0.2">
      <c r="A115" s="474" t="s">
        <v>134</v>
      </c>
      <c r="B115" s="553" t="s">
        <v>56</v>
      </c>
      <c r="C115" s="1389">
        <f>+DispatchSchedule!F60</f>
        <v>0</v>
      </c>
      <c r="D115" s="1389">
        <f>+DispatchSchedule!G60</f>
        <v>0</v>
      </c>
      <c r="E115" s="1389">
        <f>+DispatchSchedule!H60</f>
        <v>0</v>
      </c>
      <c r="F115" s="1389">
        <f>+DispatchSchedule!I60</f>
        <v>83.609499999999997</v>
      </c>
      <c r="G115" s="1389">
        <f>+DispatchSchedule!J60</f>
        <v>37.743340000000003</v>
      </c>
      <c r="H115" s="1389">
        <f>+DispatchSchedule!K60</f>
        <v>56.337339999999998</v>
      </c>
    </row>
    <row r="116" spans="1:8" ht="13.8" thickBot="1" x14ac:dyDescent="0.3">
      <c r="A116" s="546" t="s">
        <v>135</v>
      </c>
      <c r="B116" s="547" t="s">
        <v>88</v>
      </c>
      <c r="C116" s="1390">
        <f t="shared" ref="C116:F116" si="40">IF(C115=0,0,(C113/C115))</f>
        <v>0</v>
      </c>
      <c r="D116" s="2693">
        <f t="shared" si="40"/>
        <v>0</v>
      </c>
      <c r="E116" s="1390">
        <f>IF(E115=0,0,(E113/E115))</f>
        <v>0</v>
      </c>
      <c r="F116" s="1390">
        <f t="shared" si="40"/>
        <v>90.283206426591292</v>
      </c>
      <c r="G116" s="1390">
        <f>IF(G115=0,0,(G113/G115))</f>
        <v>98.048876527532997</v>
      </c>
      <c r="H116" s="1390">
        <f t="shared" ref="H116" si="41">IF(H115=0,0,(H113/H115))</f>
        <v>93.197474572346451</v>
      </c>
    </row>
    <row r="117" spans="1:8" x14ac:dyDescent="0.2">
      <c r="A117" s="484" t="s">
        <v>806</v>
      </c>
      <c r="B117" s="1749" t="s">
        <v>88</v>
      </c>
      <c r="C117" s="1753">
        <f t="shared" ref="C117:H117" si="42">IF(C115&gt;0,C112/C115, 0)</f>
        <v>0</v>
      </c>
      <c r="D117" s="1753">
        <f t="shared" si="42"/>
        <v>0</v>
      </c>
      <c r="E117" s="1753">
        <f t="shared" si="42"/>
        <v>0</v>
      </c>
      <c r="F117" s="1753">
        <f t="shared" si="42"/>
        <v>14.757605441672343</v>
      </c>
      <c r="G117" s="1753">
        <f t="shared" si="42"/>
        <v>33.736774379657099</v>
      </c>
      <c r="H117" s="1753">
        <f t="shared" si="42"/>
        <v>21.901566743752969</v>
      </c>
    </row>
    <row r="118" spans="1:8" x14ac:dyDescent="0.2">
      <c r="A118" s="484" t="s">
        <v>806</v>
      </c>
      <c r="B118" s="1754" t="s">
        <v>1055</v>
      </c>
      <c r="C118" s="1753">
        <f t="shared" ref="C118:E118" si="43">IF(C114&gt;0,C112*1000/C114,0)</f>
        <v>0</v>
      </c>
      <c r="D118" s="1753">
        <f t="shared" si="43"/>
        <v>0</v>
      </c>
      <c r="E118" s="1753">
        <f t="shared" si="43"/>
        <v>0</v>
      </c>
      <c r="F118" s="1753">
        <f>IF(F114&gt;0,F112*1000/F114,0)</f>
        <v>0</v>
      </c>
      <c r="G118" s="1753">
        <f>IF(G114&gt;0,G112*1000/G114,0)</f>
        <v>0</v>
      </c>
      <c r="H118" s="1753">
        <f t="shared" ref="H118" si="44">IF(H114&gt;0,H112*1000/H114,0)</f>
        <v>0</v>
      </c>
    </row>
    <row r="119" spans="1:8" x14ac:dyDescent="0.2">
      <c r="B119" s="453"/>
      <c r="C119" s="453"/>
      <c r="D119" s="453"/>
      <c r="E119" s="453"/>
      <c r="F119" s="453"/>
      <c r="G119" s="453"/>
      <c r="H119" s="453"/>
    </row>
    <row r="120" spans="1:8" x14ac:dyDescent="0.2">
      <c r="A120" s="415" t="s">
        <v>467</v>
      </c>
      <c r="B120" s="453"/>
      <c r="C120" s="2891"/>
      <c r="D120" s="2891"/>
      <c r="E120" s="2891"/>
      <c r="F120" s="2891"/>
      <c r="G120" s="2891"/>
      <c r="H120" s="2891"/>
    </row>
    <row r="121" spans="1:8" x14ac:dyDescent="0.2">
      <c r="A121" s="1"/>
      <c r="B121" s="453"/>
      <c r="C121" s="2892"/>
      <c r="D121" s="2892"/>
      <c r="E121" s="2892"/>
      <c r="F121" s="2892"/>
      <c r="G121" s="2892"/>
      <c r="H121" s="2892"/>
    </row>
    <row r="122" spans="1:8" x14ac:dyDescent="0.2">
      <c r="A122" s="415" t="s">
        <v>509</v>
      </c>
      <c r="B122" s="453"/>
      <c r="C122" s="2892"/>
      <c r="D122" s="2892"/>
      <c r="E122" s="2892"/>
      <c r="F122" s="2696"/>
      <c r="G122" s="2696"/>
      <c r="H122" s="2696"/>
    </row>
    <row r="123" spans="1:8" x14ac:dyDescent="0.2">
      <c r="A123" s="439" t="s">
        <v>1364</v>
      </c>
      <c r="B123" s="1"/>
      <c r="C123" s="2696"/>
      <c r="D123" s="2696"/>
      <c r="E123" s="2890"/>
      <c r="F123" s="414"/>
      <c r="G123" s="414"/>
      <c r="H123" s="414"/>
    </row>
    <row r="124" spans="1:8" x14ac:dyDescent="0.2">
      <c r="A124" s="439"/>
      <c r="C124" s="150"/>
      <c r="D124" s="150"/>
      <c r="E124" s="414"/>
      <c r="F124" s="1339"/>
      <c r="G124" s="414"/>
      <c r="H124" s="414"/>
    </row>
    <row r="125" spans="1:8" x14ac:dyDescent="0.2">
      <c r="A125" s="439" t="s">
        <v>856</v>
      </c>
      <c r="B125" s="2692"/>
      <c r="C125" s="2692"/>
      <c r="D125" s="2692"/>
      <c r="E125" s="2692"/>
    </row>
    <row r="126" spans="1:8" x14ac:dyDescent="0.2">
      <c r="A126" s="440" t="s">
        <v>567</v>
      </c>
    </row>
    <row r="127" spans="1:8" x14ac:dyDescent="0.2">
      <c r="A127" s="441" t="s">
        <v>560</v>
      </c>
    </row>
    <row r="128" spans="1:8" x14ac:dyDescent="0.2">
      <c r="A128" s="442" t="s">
        <v>561</v>
      </c>
    </row>
    <row r="129" spans="1:1" x14ac:dyDescent="0.2">
      <c r="A129" s="439"/>
    </row>
    <row r="131" spans="1:1" x14ac:dyDescent="0.2">
      <c r="A131" s="2709" t="s">
        <v>1381</v>
      </c>
    </row>
    <row r="134" spans="1:1" x14ac:dyDescent="0.2">
      <c r="A134" s="690"/>
    </row>
  </sheetData>
  <mergeCells count="2">
    <mergeCell ref="B75:B78"/>
    <mergeCell ref="B90:B93"/>
  </mergeCells>
  <dataValidations count="1">
    <dataValidation type="list" allowBlank="1" showInputMessage="1" showErrorMessage="1" sqref="B110 C44:H44 C8:H8 C22:H22 C53:H53" xr:uid="{00000000-0002-0000-3100-000000000000}">
      <formula1>Currency</formula1>
    </dataValidation>
  </dataValidations>
  <pageMargins left="0.7" right="0.7" top="0.75" bottom="0.75" header="0.3" footer="0.3"/>
  <pageSetup scale="47" orientation="portrait" r:id="rId1"/>
  <rowBreaks count="1" manualBreakCount="1">
    <brk id="104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">
    <tabColor rgb="FF002060"/>
  </sheetPr>
  <dimension ref="A1:T113"/>
  <sheetViews>
    <sheetView showGridLines="0" view="pageBreakPreview" topLeftCell="A64" zoomScale="80" zoomScaleNormal="85" zoomScaleSheetLayoutView="80" workbookViewId="0">
      <selection activeCell="D74" sqref="D74:H75"/>
    </sheetView>
  </sheetViews>
  <sheetFormatPr defaultColWidth="11" defaultRowHeight="12.6" x14ac:dyDescent="0.2"/>
  <cols>
    <col min="1" max="1" width="41.6328125" customWidth="1"/>
    <col min="2" max="2" width="10" customWidth="1"/>
    <col min="3" max="3" width="18.453125" customWidth="1"/>
    <col min="4" max="4" width="16.6328125" customWidth="1"/>
    <col min="5" max="5" width="15.90625" bestFit="1" customWidth="1"/>
    <col min="6" max="6" width="16.26953125" customWidth="1"/>
    <col min="7" max="7" width="16.36328125" customWidth="1"/>
    <col min="8" max="8" width="16.36328125" bestFit="1" customWidth="1"/>
    <col min="9" max="9" width="19.7265625" customWidth="1"/>
    <col min="10" max="10" width="20.90625" customWidth="1"/>
    <col min="11" max="11" width="13.453125" bestFit="1" customWidth="1"/>
  </cols>
  <sheetData>
    <row r="1" spans="1:10" ht="17.399999999999999" x14ac:dyDescent="0.3">
      <c r="A1" s="53" t="s">
        <v>801</v>
      </c>
      <c r="B1" s="53"/>
    </row>
    <row r="2" spans="1:10" ht="18" thickBot="1" x14ac:dyDescent="0.35">
      <c r="A2" s="53"/>
      <c r="B2" s="53"/>
      <c r="C2" s="298"/>
      <c r="D2" s="298"/>
      <c r="E2" s="298"/>
      <c r="F2" s="298"/>
      <c r="G2" s="298"/>
      <c r="H2" s="298"/>
      <c r="I2" s="298"/>
      <c r="J2" s="431"/>
    </row>
    <row r="3" spans="1:10" ht="13.2" thickBot="1" x14ac:dyDescent="0.25">
      <c r="A3" s="46" t="s">
        <v>27</v>
      </c>
      <c r="B3" s="66" t="s">
        <v>36</v>
      </c>
      <c r="C3" s="425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1034">
        <f>DispatchSchedule!K3</f>
        <v>46174</v>
      </c>
      <c r="I3" s="1781"/>
      <c r="J3" s="431"/>
    </row>
    <row r="4" spans="1:10" ht="13.2" x14ac:dyDescent="0.25">
      <c r="A4" s="55" t="s">
        <v>136</v>
      </c>
      <c r="B4" s="61"/>
      <c r="C4" s="47"/>
      <c r="D4" s="47"/>
      <c r="E4" s="47"/>
      <c r="F4" s="47"/>
      <c r="G4" s="428"/>
      <c r="H4" s="48"/>
      <c r="J4" s="431"/>
    </row>
    <row r="5" spans="1:10" x14ac:dyDescent="0.2">
      <c r="A5" s="6"/>
      <c r="B5" s="20"/>
      <c r="C5" s="12"/>
      <c r="D5" s="8"/>
      <c r="E5" s="8"/>
      <c r="F5" s="8"/>
      <c r="G5" s="124"/>
      <c r="H5" s="9"/>
      <c r="J5" s="431"/>
    </row>
    <row r="6" spans="1:10" x14ac:dyDescent="0.2">
      <c r="A6" s="6"/>
      <c r="B6" s="30"/>
      <c r="C6" s="8"/>
      <c r="D6" s="8"/>
      <c r="E6" s="8"/>
      <c r="F6" s="8"/>
      <c r="G6" s="124"/>
      <c r="H6" s="9"/>
      <c r="J6" s="431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28"/>
      <c r="H7" s="48"/>
      <c r="J7" s="431"/>
    </row>
    <row r="8" spans="1:10" ht="13.2" x14ac:dyDescent="0.25">
      <c r="A8" s="57" t="s">
        <v>99</v>
      </c>
      <c r="B8" s="63"/>
      <c r="C8" s="418" t="s">
        <v>97</v>
      </c>
      <c r="D8" s="476"/>
      <c r="E8" s="476"/>
      <c r="F8" s="476"/>
      <c r="G8" s="477"/>
      <c r="H8" s="478"/>
      <c r="I8" s="415"/>
      <c r="J8" s="431"/>
    </row>
    <row r="9" spans="1:10" x14ac:dyDescent="0.2">
      <c r="A9" s="238" t="s">
        <v>508</v>
      </c>
      <c r="B9" s="20"/>
      <c r="C9" s="556">
        <v>0.87</v>
      </c>
      <c r="D9" s="556">
        <v>0.87</v>
      </c>
      <c r="E9" s="556">
        <v>0.87</v>
      </c>
      <c r="F9" s="556">
        <v>0.87</v>
      </c>
      <c r="G9" s="556">
        <v>0.87</v>
      </c>
      <c r="H9" s="1791">
        <v>0.87</v>
      </c>
      <c r="I9" s="1782"/>
      <c r="J9" s="431"/>
    </row>
    <row r="10" spans="1:10" x14ac:dyDescent="0.2">
      <c r="A10" s="112" t="s">
        <v>285</v>
      </c>
      <c r="B10" s="20"/>
      <c r="C10" s="519">
        <v>3.56</v>
      </c>
      <c r="D10" s="519">
        <v>3.56</v>
      </c>
      <c r="E10" s="519">
        <v>3.56</v>
      </c>
      <c r="F10" s="519">
        <v>3.56</v>
      </c>
      <c r="G10" s="520">
        <v>3.56</v>
      </c>
      <c r="H10" s="521">
        <v>3.56</v>
      </c>
      <c r="I10" s="456"/>
      <c r="J10" s="431"/>
    </row>
    <row r="11" spans="1:10" x14ac:dyDescent="0.2">
      <c r="A11" s="112" t="s">
        <v>286</v>
      </c>
      <c r="B11" s="20"/>
      <c r="C11" s="519">
        <v>11.695</v>
      </c>
      <c r="D11" s="476"/>
      <c r="E11" s="476"/>
      <c r="F11" s="476"/>
      <c r="G11" s="477"/>
      <c r="H11" s="478"/>
      <c r="I11" s="415"/>
      <c r="J11" s="431"/>
    </row>
    <row r="12" spans="1:10" x14ac:dyDescent="0.2">
      <c r="A12" s="6" t="s">
        <v>287</v>
      </c>
      <c r="B12" s="30"/>
      <c r="C12" s="519">
        <v>163</v>
      </c>
      <c r="D12" s="476"/>
      <c r="E12" s="476"/>
      <c r="F12" s="476"/>
      <c r="G12" s="477"/>
      <c r="H12" s="478"/>
      <c r="I12" s="415"/>
      <c r="J12" s="431"/>
    </row>
    <row r="13" spans="1:10" x14ac:dyDescent="0.2">
      <c r="A13" s="190" t="s">
        <v>510</v>
      </c>
      <c r="B13" s="30"/>
      <c r="C13" s="1943">
        <f>Inputs!C28</f>
        <v>324.45999999999998</v>
      </c>
      <c r="D13" s="1943">
        <f>Inputs!D28</f>
        <v>324.12</v>
      </c>
      <c r="E13" s="1943">
        <f>Inputs!E28</f>
        <v>324.05</v>
      </c>
      <c r="F13" s="1943">
        <f>Inputs!F28</f>
        <v>324.05</v>
      </c>
      <c r="G13" s="1943">
        <f>Inputs!G28</f>
        <v>324.05</v>
      </c>
      <c r="H13" s="1943">
        <f>Inputs!H28</f>
        <v>324.05</v>
      </c>
      <c r="I13" s="1790"/>
      <c r="J13" s="431"/>
    </row>
    <row r="14" spans="1:10" x14ac:dyDescent="0.2">
      <c r="A14" s="112" t="s">
        <v>637</v>
      </c>
      <c r="B14" s="30"/>
      <c r="C14" s="2168">
        <f t="shared" ref="C14:H14" si="0">ROUND($C$11*C13/$C$12,5)</f>
        <v>23.279509999999998</v>
      </c>
      <c r="D14" s="1943">
        <f t="shared" si="0"/>
        <v>23.255109999999998</v>
      </c>
      <c r="E14" s="1943">
        <f t="shared" si="0"/>
        <v>23.25009</v>
      </c>
      <c r="F14" s="1943">
        <f t="shared" si="0"/>
        <v>23.25009</v>
      </c>
      <c r="G14" s="1943">
        <f t="shared" si="0"/>
        <v>23.25009</v>
      </c>
      <c r="H14" s="1946">
        <f t="shared" si="0"/>
        <v>23.25009</v>
      </c>
      <c r="I14" s="456"/>
      <c r="J14" s="216"/>
    </row>
    <row r="15" spans="1:10" x14ac:dyDescent="0.2">
      <c r="A15" s="112" t="s">
        <v>268</v>
      </c>
      <c r="B15" s="30"/>
      <c r="C15" s="1305">
        <v>163150</v>
      </c>
      <c r="D15" s="476"/>
      <c r="E15" s="476"/>
      <c r="F15" s="476"/>
      <c r="G15" s="477"/>
      <c r="H15" s="478"/>
      <c r="I15" s="415"/>
      <c r="J15" s="431"/>
    </row>
    <row r="16" spans="1:10" x14ac:dyDescent="0.2">
      <c r="A16" s="112" t="s">
        <v>269</v>
      </c>
      <c r="B16" s="30"/>
      <c r="C16" s="1859">
        <f>31*24</f>
        <v>744</v>
      </c>
      <c r="D16" s="1859">
        <f>31*24</f>
        <v>744</v>
      </c>
      <c r="E16" s="1859">
        <f>30*24</f>
        <v>720</v>
      </c>
      <c r="F16" s="1859">
        <f>31*24</f>
        <v>744</v>
      </c>
      <c r="G16" s="1859">
        <f>30*24</f>
        <v>720</v>
      </c>
      <c r="H16" s="1859">
        <f>31*24</f>
        <v>744</v>
      </c>
      <c r="I16" s="1395"/>
      <c r="J16" s="431"/>
    </row>
    <row r="17" spans="1:10" x14ac:dyDescent="0.2">
      <c r="A17" s="112" t="s">
        <v>270</v>
      </c>
      <c r="B17" s="30"/>
      <c r="C17" s="1306">
        <v>8760</v>
      </c>
      <c r="D17" s="1306">
        <v>8760</v>
      </c>
      <c r="E17" s="1306">
        <v>8760</v>
      </c>
      <c r="F17" s="1306">
        <v>8760</v>
      </c>
      <c r="G17" s="1306">
        <v>8760</v>
      </c>
      <c r="H17" s="1792">
        <v>8760</v>
      </c>
      <c r="I17" s="1783"/>
      <c r="J17" s="431"/>
    </row>
    <row r="18" spans="1:10" x14ac:dyDescent="0.2">
      <c r="A18" s="6" t="s">
        <v>271</v>
      </c>
      <c r="B18" s="20" t="s">
        <v>225</v>
      </c>
      <c r="C18" s="480">
        <f t="shared" ref="C18:E18" si="1">(C9*C16/$C$17*(C10+$C$14)*$C$15)/(C9*C16*$C$15)</f>
        <v>3.06387100456621E-3</v>
      </c>
      <c r="D18" s="480">
        <f t="shared" si="1"/>
        <v>3.06387100456621E-3</v>
      </c>
      <c r="E18" s="480">
        <f t="shared" si="1"/>
        <v>3.06387100456621E-3</v>
      </c>
      <c r="F18" s="480">
        <f>(F9*F16/$F$17*(F10+$C$14)*$C$15)/(F9*F16*$C$15)</f>
        <v>3.06387100456621E-3</v>
      </c>
      <c r="G18" s="481">
        <f>(G9*G16/$F$17*(G10+$C$14)*$C$15)/(G9*G16*$C$15)</f>
        <v>3.06387100456621E-3</v>
      </c>
      <c r="H18" s="482">
        <f>(H9*H16/$F$17*(H10+$C$14)*$C$15)/(H9*H16*$C$15)</f>
        <v>3.06387100456621E-3</v>
      </c>
      <c r="I18" s="1740"/>
      <c r="J18" s="431"/>
    </row>
    <row r="19" spans="1:10" x14ac:dyDescent="0.2">
      <c r="A19" s="6"/>
      <c r="B19" s="30"/>
      <c r="C19" s="418"/>
      <c r="D19" s="418"/>
      <c r="E19" s="418"/>
      <c r="F19" s="418"/>
      <c r="G19" s="463"/>
      <c r="H19" s="479"/>
      <c r="I19" s="456"/>
      <c r="J19" s="431"/>
    </row>
    <row r="20" spans="1:10" ht="13.2" x14ac:dyDescent="0.25">
      <c r="A20" s="55" t="s">
        <v>122</v>
      </c>
      <c r="B20" s="61"/>
      <c r="C20" s="484"/>
      <c r="D20" s="484"/>
      <c r="E20" s="484"/>
      <c r="F20" s="484"/>
      <c r="G20" s="485"/>
      <c r="H20" s="486"/>
      <c r="I20" s="415"/>
      <c r="J20" s="431"/>
    </row>
    <row r="21" spans="1:10" ht="13.2" x14ac:dyDescent="0.25">
      <c r="A21" s="57" t="s">
        <v>99</v>
      </c>
      <c r="B21" s="63"/>
      <c r="C21" s="418" t="s">
        <v>94</v>
      </c>
      <c r="D21" s="476"/>
      <c r="E21" s="476"/>
      <c r="F21" s="476"/>
      <c r="G21" s="477"/>
      <c r="H21" s="478"/>
      <c r="I21" s="415"/>
      <c r="J21" s="431"/>
    </row>
    <row r="22" spans="1:10" x14ac:dyDescent="0.2">
      <c r="A22" s="112" t="s">
        <v>262</v>
      </c>
      <c r="B22" s="20"/>
      <c r="C22" s="556">
        <v>0.87</v>
      </c>
      <c r="D22" s="556">
        <v>0.87</v>
      </c>
      <c r="E22" s="556">
        <v>0.87</v>
      </c>
      <c r="F22" s="556">
        <v>0.87</v>
      </c>
      <c r="G22" s="556">
        <v>0.87</v>
      </c>
      <c r="H22" s="1791">
        <v>0.87</v>
      </c>
      <c r="I22" s="1782"/>
      <c r="J22" s="431"/>
    </row>
    <row r="23" spans="1:10" x14ac:dyDescent="0.2">
      <c r="A23" s="112" t="s">
        <v>638</v>
      </c>
      <c r="B23" s="20"/>
      <c r="C23" s="519">
        <v>198</v>
      </c>
      <c r="D23" s="522"/>
      <c r="E23" s="522"/>
      <c r="F23" s="522"/>
      <c r="G23" s="523"/>
      <c r="H23" s="524"/>
      <c r="I23" s="415"/>
      <c r="J23" s="431"/>
    </row>
    <row r="24" spans="1:10" x14ac:dyDescent="0.2">
      <c r="A24" s="6" t="s">
        <v>272</v>
      </c>
      <c r="B24" s="30"/>
      <c r="C24" s="519">
        <v>29.388493690000001</v>
      </c>
      <c r="D24" s="522"/>
      <c r="E24" s="525"/>
      <c r="F24" s="526">
        <v>29.388493690000001</v>
      </c>
      <c r="G24" s="523"/>
      <c r="H24" s="524"/>
      <c r="I24" s="415"/>
      <c r="J24" s="431"/>
    </row>
    <row r="25" spans="1:10" x14ac:dyDescent="0.2">
      <c r="A25" s="190" t="s">
        <v>511</v>
      </c>
      <c r="B25" s="30"/>
      <c r="C25" s="1944">
        <f>Inputs!C31</f>
        <v>193.8</v>
      </c>
      <c r="D25" s="1944">
        <f>Inputs!D31</f>
        <v>193.4</v>
      </c>
      <c r="E25" s="1944">
        <f>Inputs!E31</f>
        <v>195.8</v>
      </c>
      <c r="F25" s="1944">
        <f>Inputs!F31</f>
        <v>195.8</v>
      </c>
      <c r="G25" s="1944">
        <f>Inputs!G31</f>
        <v>195.8</v>
      </c>
      <c r="H25" s="1944">
        <f>Inputs!H31</f>
        <v>195.8</v>
      </c>
      <c r="I25" s="1784"/>
      <c r="J25" s="431"/>
    </row>
    <row r="26" spans="1:10" x14ac:dyDescent="0.2">
      <c r="A26" s="112" t="s">
        <v>274</v>
      </c>
      <c r="B26" s="30"/>
      <c r="C26" s="1944">
        <f>$C$23*C25/$C$24</f>
        <v>1305.6946846192716</v>
      </c>
      <c r="D26" s="1944">
        <f t="shared" ref="D26:E26" si="2">$C$23*D25/$C$24</f>
        <v>1302.9997523496756</v>
      </c>
      <c r="E26" s="1944">
        <f t="shared" si="2"/>
        <v>1319.1693459672515</v>
      </c>
      <c r="F26" s="1944">
        <f>$C$23*F25/$F$24</f>
        <v>1319.1693459672515</v>
      </c>
      <c r="G26" s="1944">
        <f>$C$23*G25/$F$24</f>
        <v>1319.1693459672515</v>
      </c>
      <c r="H26" s="1945">
        <f>$C$23*H25/$F$24</f>
        <v>1319.1693459672515</v>
      </c>
      <c r="I26" s="456"/>
      <c r="J26" s="431"/>
    </row>
    <row r="27" spans="1:10" x14ac:dyDescent="0.2">
      <c r="A27" s="112" t="s">
        <v>268</v>
      </c>
      <c r="B27" s="30"/>
      <c r="C27" s="527">
        <v>163150</v>
      </c>
      <c r="D27" s="476"/>
      <c r="E27" s="476"/>
      <c r="F27" s="543">
        <v>163150</v>
      </c>
      <c r="G27" s="477"/>
      <c r="H27" s="478"/>
      <c r="I27" s="415"/>
      <c r="J27" s="431"/>
    </row>
    <row r="28" spans="1:10" x14ac:dyDescent="0.2">
      <c r="A28" s="112" t="s">
        <v>269</v>
      </c>
      <c r="B28" s="30"/>
      <c r="C28" s="1947">
        <f>C16</f>
        <v>744</v>
      </c>
      <c r="D28" s="1947">
        <f t="shared" ref="D28:H28" si="3">D16</f>
        <v>744</v>
      </c>
      <c r="E28" s="1947">
        <f t="shared" si="3"/>
        <v>720</v>
      </c>
      <c r="F28" s="1947">
        <f t="shared" si="3"/>
        <v>744</v>
      </c>
      <c r="G28" s="1947">
        <f t="shared" si="3"/>
        <v>720</v>
      </c>
      <c r="H28" s="1948">
        <f t="shared" si="3"/>
        <v>744</v>
      </c>
      <c r="I28" s="1395"/>
      <c r="J28" s="431"/>
    </row>
    <row r="29" spans="1:10" x14ac:dyDescent="0.2">
      <c r="A29" s="112" t="s">
        <v>270</v>
      </c>
      <c r="B29" s="30"/>
      <c r="C29" s="1947">
        <f>C17</f>
        <v>8760</v>
      </c>
      <c r="D29" s="1947"/>
      <c r="E29" s="1947"/>
      <c r="F29" s="1947">
        <f>F17</f>
        <v>8760</v>
      </c>
      <c r="G29" s="1947"/>
      <c r="H29" s="1948"/>
      <c r="I29" s="1556"/>
      <c r="J29" s="431"/>
    </row>
    <row r="30" spans="1:10" x14ac:dyDescent="0.2">
      <c r="A30" s="6" t="s">
        <v>220</v>
      </c>
      <c r="B30" s="20" t="s">
        <v>275</v>
      </c>
      <c r="C30" s="1947">
        <f>(C22*C28/$C$29*($C$26)*$C$27)/(C22*C28*$C$27)</f>
        <v>0.14905190463690315</v>
      </c>
      <c r="D30" s="1947">
        <f t="shared" ref="D30:E30" si="4">(D22*D28/$C$29*($C$26)*$C$27)/(D22*D28*$C$27)</f>
        <v>0.14905190463690315</v>
      </c>
      <c r="E30" s="1947">
        <f t="shared" si="4"/>
        <v>0.14905190463690315</v>
      </c>
      <c r="F30" s="1947">
        <f>(F22*F28/$F$29*($F$26)*$F$27)/(F22*F28*$C$27)</f>
        <v>0.15059010798712918</v>
      </c>
      <c r="G30" s="1947">
        <f>(G22*G28/$F$29*($F$26)*$F$27)/(G22*G28*$C$27)</f>
        <v>0.15059010798712918</v>
      </c>
      <c r="H30" s="1948">
        <f>(H22*H28/$F$29*($F$26)*$F$27)/(H22*H28*$C$27)</f>
        <v>0.15059010798712918</v>
      </c>
      <c r="I30" s="1741"/>
      <c r="J30" s="216"/>
    </row>
    <row r="31" spans="1:10" x14ac:dyDescent="0.2">
      <c r="A31" s="6"/>
      <c r="B31" s="30"/>
      <c r="C31" s="476"/>
      <c r="D31" s="476"/>
      <c r="E31" s="476"/>
      <c r="F31" s="476"/>
      <c r="G31" s="477"/>
      <c r="H31" s="478"/>
      <c r="I31" s="415"/>
      <c r="J31" s="431"/>
    </row>
    <row r="32" spans="1:10" ht="13.2" x14ac:dyDescent="0.25">
      <c r="A32" s="55" t="s">
        <v>24</v>
      </c>
      <c r="B32" s="61"/>
      <c r="C32" s="484"/>
      <c r="D32" s="484"/>
      <c r="E32" s="484"/>
      <c r="F32" s="484"/>
      <c r="G32" s="485"/>
      <c r="H32" s="486"/>
      <c r="I32" s="415"/>
      <c r="J32" s="431"/>
    </row>
    <row r="33" spans="1:20" ht="13.2" x14ac:dyDescent="0.25">
      <c r="A33" s="57" t="s">
        <v>99</v>
      </c>
      <c r="B33" s="63"/>
      <c r="C33" s="418" t="s">
        <v>97</v>
      </c>
      <c r="D33" s="476"/>
      <c r="E33" s="476"/>
      <c r="F33" s="476"/>
      <c r="G33" s="477"/>
      <c r="H33" s="478"/>
      <c r="I33" s="415"/>
      <c r="J33" s="431"/>
    </row>
    <row r="34" spans="1:20" s="36" customFormat="1" ht="13.2" x14ac:dyDescent="0.25">
      <c r="A34" s="116" t="s">
        <v>276</v>
      </c>
      <c r="B34" s="63"/>
      <c r="C34" s="476">
        <v>1</v>
      </c>
      <c r="D34" s="476"/>
      <c r="E34" s="476"/>
      <c r="F34" s="476"/>
      <c r="G34" s="477"/>
      <c r="H34" s="478"/>
      <c r="I34" s="415"/>
      <c r="J34" s="432"/>
      <c r="K34"/>
      <c r="O34"/>
      <c r="P34"/>
      <c r="Q34"/>
      <c r="R34"/>
      <c r="S34"/>
      <c r="T34"/>
    </row>
    <row r="35" spans="1:20" x14ac:dyDescent="0.2">
      <c r="A35" s="1401" t="s">
        <v>289</v>
      </c>
      <c r="B35" s="20"/>
      <c r="C35" s="519">
        <v>5.5999999999999995E-4</v>
      </c>
      <c r="D35" s="476"/>
      <c r="E35" s="476"/>
      <c r="F35" s="476"/>
      <c r="G35" s="477"/>
      <c r="H35" s="478"/>
      <c r="I35" s="415"/>
      <c r="J35" s="431"/>
    </row>
    <row r="36" spans="1:20" x14ac:dyDescent="0.2">
      <c r="A36" s="6" t="s">
        <v>287</v>
      </c>
      <c r="B36" s="30"/>
      <c r="C36" s="519">
        <v>163</v>
      </c>
      <c r="D36" s="476"/>
      <c r="E36" s="476"/>
      <c r="F36" s="476"/>
      <c r="G36" s="477"/>
      <c r="H36" s="478"/>
      <c r="I36" s="415"/>
      <c r="J36" s="431"/>
    </row>
    <row r="37" spans="1:20" x14ac:dyDescent="0.2">
      <c r="A37" s="6" t="s">
        <v>288</v>
      </c>
      <c r="B37" s="30"/>
      <c r="C37" s="1947">
        <f>C13</f>
        <v>324.45999999999998</v>
      </c>
      <c r="D37" s="1947">
        <f t="shared" ref="D37:H37" si="5">D13</f>
        <v>324.12</v>
      </c>
      <c r="E37" s="1947">
        <f t="shared" si="5"/>
        <v>324.05</v>
      </c>
      <c r="F37" s="1947">
        <f t="shared" si="5"/>
        <v>324.05</v>
      </c>
      <c r="G37" s="1947">
        <f t="shared" si="5"/>
        <v>324.05</v>
      </c>
      <c r="H37" s="1948">
        <f t="shared" si="5"/>
        <v>324.05</v>
      </c>
      <c r="I37" s="456"/>
      <c r="J37" s="431"/>
    </row>
    <row r="38" spans="1:20" x14ac:dyDescent="0.2">
      <c r="A38" s="1401" t="s">
        <v>290</v>
      </c>
      <c r="B38" s="30"/>
      <c r="C38" s="1947">
        <f t="shared" ref="C38:H38" si="6">ROUND($C$35*C37/$C$36,5)</f>
        <v>1.1100000000000001E-3</v>
      </c>
      <c r="D38" s="1947">
        <f t="shared" si="6"/>
        <v>1.1100000000000001E-3</v>
      </c>
      <c r="E38" s="1947">
        <f t="shared" si="6"/>
        <v>1.1100000000000001E-3</v>
      </c>
      <c r="F38" s="1947">
        <f t="shared" si="6"/>
        <v>1.1100000000000001E-3</v>
      </c>
      <c r="G38" s="1947">
        <f t="shared" si="6"/>
        <v>1.1100000000000001E-3</v>
      </c>
      <c r="H38" s="1948">
        <f t="shared" si="6"/>
        <v>1.1100000000000001E-3</v>
      </c>
      <c r="I38" s="1790"/>
      <c r="J38" s="216"/>
    </row>
    <row r="39" spans="1:20" s="36" customFormat="1" ht="13.2" x14ac:dyDescent="0.25">
      <c r="A39" s="116" t="s">
        <v>291</v>
      </c>
      <c r="B39" s="20" t="s">
        <v>225</v>
      </c>
      <c r="C39" s="1947">
        <f>C34*C38</f>
        <v>1.1100000000000001E-3</v>
      </c>
      <c r="D39" s="1947"/>
      <c r="E39" s="1947"/>
      <c r="F39" s="1947"/>
      <c r="G39" s="1947"/>
      <c r="H39" s="1948"/>
      <c r="I39" s="1374"/>
      <c r="J39" s="432"/>
      <c r="K39"/>
      <c r="O39"/>
      <c r="P39"/>
      <c r="Q39"/>
      <c r="R39"/>
      <c r="S39"/>
      <c r="T39"/>
    </row>
    <row r="40" spans="1:20" s="36" customFormat="1" ht="13.2" x14ac:dyDescent="0.25">
      <c r="A40" s="57"/>
      <c r="B40" s="63"/>
      <c r="C40" s="476"/>
      <c r="D40" s="476"/>
      <c r="E40" s="476"/>
      <c r="F40" s="476"/>
      <c r="G40" s="477"/>
      <c r="H40" s="478"/>
      <c r="I40" s="415"/>
      <c r="J40" s="432"/>
      <c r="K40"/>
      <c r="O40"/>
      <c r="P40"/>
      <c r="Q40"/>
      <c r="R40"/>
      <c r="S40"/>
      <c r="T40"/>
    </row>
    <row r="41" spans="1:20" s="36" customFormat="1" ht="13.2" x14ac:dyDescent="0.25">
      <c r="A41" s="57"/>
      <c r="B41" s="63"/>
      <c r="C41" s="476"/>
      <c r="D41" s="476"/>
      <c r="E41" s="476"/>
      <c r="F41" s="476"/>
      <c r="G41" s="477"/>
      <c r="H41" s="478"/>
      <c r="I41" s="415"/>
      <c r="J41" s="432"/>
      <c r="K41"/>
      <c r="O41"/>
      <c r="P41"/>
      <c r="Q41"/>
      <c r="R41"/>
      <c r="S41"/>
      <c r="T41"/>
    </row>
    <row r="42" spans="1:20" s="36" customFormat="1" ht="13.2" x14ac:dyDescent="0.25">
      <c r="A42" s="57" t="s">
        <v>99</v>
      </c>
      <c r="B42" s="63"/>
      <c r="C42" s="418" t="s">
        <v>94</v>
      </c>
      <c r="D42" s="476"/>
      <c r="E42" s="476"/>
      <c r="F42" s="476"/>
      <c r="G42" s="477"/>
      <c r="H42" s="478"/>
      <c r="I42" s="415"/>
      <c r="J42" s="432"/>
      <c r="K42"/>
      <c r="O42"/>
      <c r="P42"/>
      <c r="Q42"/>
      <c r="R42"/>
      <c r="S42"/>
      <c r="T42"/>
    </row>
    <row r="43" spans="1:20" s="36" customFormat="1" ht="13.2" x14ac:dyDescent="0.25">
      <c r="A43" s="278" t="s">
        <v>555</v>
      </c>
      <c r="B43" s="63"/>
      <c r="C43" s="519">
        <v>1.072E-2</v>
      </c>
      <c r="D43" s="519">
        <v>1.072E-2</v>
      </c>
      <c r="E43" s="519">
        <v>1.072E-2</v>
      </c>
      <c r="F43" s="519">
        <v>1.072E-2</v>
      </c>
      <c r="G43" s="519">
        <v>1.072E-2</v>
      </c>
      <c r="H43" s="519">
        <v>1.072E-2</v>
      </c>
      <c r="I43" s="456"/>
      <c r="J43" s="432"/>
      <c r="K43"/>
      <c r="O43"/>
      <c r="P43"/>
      <c r="Q43"/>
      <c r="R43"/>
      <c r="S43"/>
      <c r="T43"/>
    </row>
    <row r="44" spans="1:20" s="36" customFormat="1" ht="13.2" x14ac:dyDescent="0.25">
      <c r="A44" s="57" t="s">
        <v>280</v>
      </c>
      <c r="B44" s="63"/>
      <c r="C44" s="522">
        <v>5477</v>
      </c>
      <c r="D44" s="476"/>
      <c r="E44" s="476"/>
      <c r="F44" s="476"/>
      <c r="G44" s="477"/>
      <c r="H44" s="478"/>
      <c r="I44" s="415"/>
      <c r="J44" s="432"/>
      <c r="K44"/>
      <c r="O44"/>
      <c r="P44"/>
      <c r="Q44"/>
      <c r="R44"/>
      <c r="S44"/>
      <c r="T44"/>
    </row>
    <row r="45" spans="1:20" s="36" customFormat="1" ht="13.2" x14ac:dyDescent="0.25">
      <c r="A45" s="57" t="s">
        <v>660</v>
      </c>
      <c r="B45" s="63"/>
      <c r="C45" s="1867">
        <v>7.04520556148527</v>
      </c>
      <c r="D45" s="476"/>
      <c r="E45" s="476"/>
      <c r="F45" s="476"/>
      <c r="G45" s="477"/>
      <c r="H45" s="478"/>
      <c r="I45" s="415"/>
      <c r="J45" s="432"/>
      <c r="K45"/>
      <c r="O45"/>
      <c r="P45"/>
      <c r="Q45"/>
      <c r="R45"/>
      <c r="S45"/>
      <c r="T45"/>
    </row>
    <row r="46" spans="1:20" s="36" customFormat="1" ht="13.2" x14ac:dyDescent="0.25">
      <c r="A46" s="278" t="s">
        <v>512</v>
      </c>
      <c r="B46" s="63"/>
      <c r="C46" s="1947">
        <f>ROUND($C$45*C77,5)</f>
        <v>0</v>
      </c>
      <c r="D46" s="1947">
        <f t="shared" ref="D46:H46" si="7">ROUND($C$45*D77,5)</f>
        <v>0</v>
      </c>
      <c r="E46" s="1947">
        <f t="shared" si="7"/>
        <v>0</v>
      </c>
      <c r="F46" s="1947">
        <f t="shared" si="7"/>
        <v>0</v>
      </c>
      <c r="G46" s="1947">
        <f t="shared" si="7"/>
        <v>0</v>
      </c>
      <c r="H46" s="1948">
        <f t="shared" si="7"/>
        <v>0</v>
      </c>
      <c r="I46" s="1742"/>
      <c r="J46" s="432"/>
      <c r="K46"/>
      <c r="O46"/>
      <c r="P46"/>
      <c r="Q46"/>
      <c r="R46"/>
      <c r="S46"/>
      <c r="T46"/>
    </row>
    <row r="47" spans="1:20" s="36" customFormat="1" ht="13.2" x14ac:dyDescent="0.25">
      <c r="A47" s="112" t="s">
        <v>281</v>
      </c>
      <c r="B47" s="63"/>
      <c r="C47" s="1949">
        <v>1.256E-2</v>
      </c>
      <c r="D47" s="779"/>
      <c r="E47" s="779"/>
      <c r="F47" s="1949">
        <v>1.256E-2</v>
      </c>
      <c r="G47" s="477"/>
      <c r="H47" s="478"/>
      <c r="I47" s="415"/>
      <c r="J47" s="432"/>
      <c r="K47"/>
      <c r="O47"/>
      <c r="P47"/>
      <c r="Q47"/>
      <c r="R47"/>
      <c r="S47"/>
      <c r="T47"/>
    </row>
    <row r="48" spans="1:20" s="36" customFormat="1" x14ac:dyDescent="0.2">
      <c r="A48" s="6" t="s">
        <v>272</v>
      </c>
      <c r="B48" s="30"/>
      <c r="C48" s="1950">
        <v>29.388493690000001</v>
      </c>
      <c r="D48" s="1951"/>
      <c r="E48" s="1951"/>
      <c r="F48" s="1950">
        <v>29.388493690000001</v>
      </c>
      <c r="G48" s="648"/>
      <c r="H48" s="550"/>
      <c r="I48" s="1556"/>
      <c r="J48" s="432"/>
      <c r="K48"/>
      <c r="O48"/>
      <c r="P48"/>
      <c r="Q48"/>
      <c r="R48"/>
      <c r="S48"/>
      <c r="T48"/>
    </row>
    <row r="49" spans="1:20" s="36" customFormat="1" x14ac:dyDescent="0.2">
      <c r="A49" s="6" t="s">
        <v>273</v>
      </c>
      <c r="B49" s="30"/>
      <c r="C49" s="1947">
        <f t="shared" ref="C49:H49" si="8">C25</f>
        <v>193.8</v>
      </c>
      <c r="D49" s="1947">
        <f t="shared" si="8"/>
        <v>193.4</v>
      </c>
      <c r="E49" s="1947">
        <f t="shared" si="8"/>
        <v>195.8</v>
      </c>
      <c r="F49" s="1947">
        <f t="shared" si="8"/>
        <v>195.8</v>
      </c>
      <c r="G49" s="1947">
        <f t="shared" si="8"/>
        <v>195.8</v>
      </c>
      <c r="H49" s="1948">
        <f t="shared" si="8"/>
        <v>195.8</v>
      </c>
      <c r="I49" s="1743"/>
      <c r="J49" s="432"/>
      <c r="K49"/>
      <c r="O49"/>
      <c r="P49"/>
      <c r="Q49"/>
      <c r="R49"/>
      <c r="S49"/>
      <c r="T49"/>
    </row>
    <row r="50" spans="1:20" s="36" customFormat="1" ht="13.2" x14ac:dyDescent="0.25">
      <c r="A50" s="112" t="s">
        <v>282</v>
      </c>
      <c r="B50" s="63"/>
      <c r="C50" s="1947">
        <f>ROUND($C$47*C49/$C$48,5)</f>
        <v>8.2830000000000001E-2</v>
      </c>
      <c r="D50" s="1947">
        <f t="shared" ref="D50:H50" si="9">ROUND($C$47*D49/$C$48,5)</f>
        <v>8.2650000000000001E-2</v>
      </c>
      <c r="E50" s="1947">
        <f t="shared" si="9"/>
        <v>8.3680000000000004E-2</v>
      </c>
      <c r="F50" s="1947">
        <f t="shared" si="9"/>
        <v>8.3680000000000004E-2</v>
      </c>
      <c r="G50" s="1947">
        <f t="shared" si="9"/>
        <v>8.3680000000000004E-2</v>
      </c>
      <c r="H50" s="1948">
        <f t="shared" si="9"/>
        <v>8.3680000000000004E-2</v>
      </c>
      <c r="I50" s="456"/>
      <c r="J50" s="434"/>
      <c r="K50"/>
      <c r="O50"/>
      <c r="P50"/>
      <c r="Q50"/>
      <c r="R50"/>
      <c r="S50"/>
      <c r="T50"/>
    </row>
    <row r="51" spans="1:20" s="36" customFormat="1" ht="13.2" x14ac:dyDescent="0.25">
      <c r="A51" s="112" t="s">
        <v>283</v>
      </c>
      <c r="B51" s="63"/>
      <c r="C51" s="519">
        <v>405000000</v>
      </c>
      <c r="D51" s="476"/>
      <c r="E51" s="476"/>
      <c r="F51" s="476"/>
      <c r="G51" s="477"/>
      <c r="H51" s="478"/>
      <c r="I51" s="415"/>
      <c r="J51" s="432"/>
      <c r="K51"/>
      <c r="O51"/>
      <c r="P51"/>
      <c r="Q51"/>
      <c r="R51"/>
      <c r="S51"/>
      <c r="T51"/>
    </row>
    <row r="52" spans="1:20" s="36" customFormat="1" ht="13.2" x14ac:dyDescent="0.25">
      <c r="A52" s="116" t="s">
        <v>284</v>
      </c>
      <c r="B52" s="20" t="s">
        <v>275</v>
      </c>
      <c r="C52" s="1947">
        <f t="shared" ref="C52:D52" si="10">IF(C77=0,0,((C77*1000000*$C$44+C46*$C$51)*$C$43+C77*1000000*C50)/(C77*1000000))</f>
        <v>0</v>
      </c>
      <c r="D52" s="1947">
        <f t="shared" si="10"/>
        <v>0</v>
      </c>
      <c r="E52" s="1947">
        <f>IF(E77=0,0,((E77*1000000*$C$44+E46*$C$51)*E43+E77*1000000*E50)/(E77*1000000))</f>
        <v>0</v>
      </c>
      <c r="F52" s="1947">
        <f t="shared" ref="F52:H52" si="11">IF(F77=0,0,((F77*1000000*$C$44+F46*$C$51)*F43+F77*1000000*F50)/(F77*1000000))</f>
        <v>0</v>
      </c>
      <c r="G52" s="1947">
        <f t="shared" si="11"/>
        <v>0</v>
      </c>
      <c r="H52" s="1948">
        <f t="shared" si="11"/>
        <v>0</v>
      </c>
      <c r="I52" s="415"/>
      <c r="J52" s="432"/>
      <c r="K52"/>
      <c r="O52"/>
      <c r="P52"/>
      <c r="Q52"/>
      <c r="R52"/>
      <c r="S52"/>
      <c r="T52"/>
    </row>
    <row r="53" spans="1:20" s="36" customFormat="1" ht="13.2" x14ac:dyDescent="0.25">
      <c r="A53" s="57"/>
      <c r="B53" s="63"/>
      <c r="C53" s="476"/>
      <c r="D53" s="476"/>
      <c r="E53" s="476"/>
      <c r="F53" s="476"/>
      <c r="G53" s="477"/>
      <c r="H53" s="478"/>
      <c r="I53" s="415"/>
      <c r="J53" s="432"/>
      <c r="K53"/>
      <c r="O53"/>
      <c r="P53"/>
      <c r="Q53"/>
      <c r="R53"/>
      <c r="S53"/>
      <c r="T53"/>
    </row>
    <row r="54" spans="1:20" s="36" customFormat="1" ht="13.2" x14ac:dyDescent="0.25">
      <c r="A54" s="55" t="s">
        <v>483</v>
      </c>
      <c r="B54" s="61"/>
      <c r="C54" s="484"/>
      <c r="D54" s="484"/>
      <c r="E54" s="484"/>
      <c r="F54" s="484"/>
      <c r="G54" s="485"/>
      <c r="H54" s="486"/>
      <c r="I54" s="415"/>
      <c r="J54" s="432"/>
      <c r="K54"/>
      <c r="O54"/>
      <c r="P54"/>
      <c r="Q54"/>
      <c r="R54"/>
      <c r="S54"/>
      <c r="T54"/>
    </row>
    <row r="55" spans="1:20" s="36" customFormat="1" ht="12.75" customHeight="1" x14ac:dyDescent="0.2">
      <c r="A55" s="260" t="s">
        <v>484</v>
      </c>
      <c r="B55" s="264" t="s">
        <v>471</v>
      </c>
      <c r="C55" s="528">
        <v>406313</v>
      </c>
      <c r="D55" s="476"/>
      <c r="E55" s="476"/>
      <c r="F55" s="476"/>
      <c r="G55" s="477"/>
      <c r="H55" s="478"/>
      <c r="I55" s="415"/>
      <c r="J55" s="433"/>
      <c r="K55"/>
      <c r="O55"/>
      <c r="P55"/>
      <c r="Q55"/>
      <c r="R55"/>
      <c r="S55"/>
      <c r="T55"/>
    </row>
    <row r="56" spans="1:20" s="36" customFormat="1" ht="13.2" x14ac:dyDescent="0.2">
      <c r="A56" s="260" t="s">
        <v>485</v>
      </c>
      <c r="B56" s="265"/>
      <c r="C56" s="528">
        <v>1036938</v>
      </c>
      <c r="D56" s="476"/>
      <c r="E56" s="476"/>
      <c r="F56" s="476"/>
      <c r="G56" s="477"/>
      <c r="H56" s="478"/>
      <c r="I56" s="415"/>
      <c r="J56" s="433"/>
      <c r="K56"/>
      <c r="O56"/>
      <c r="P56"/>
      <c r="Q56"/>
      <c r="R56"/>
      <c r="S56"/>
      <c r="T56"/>
    </row>
    <row r="57" spans="1:20" s="36" customFormat="1" ht="13.2" x14ac:dyDescent="0.2">
      <c r="A57" s="260" t="s">
        <v>486</v>
      </c>
      <c r="B57" s="265"/>
      <c r="C57" s="528">
        <v>1273625</v>
      </c>
      <c r="D57" s="476"/>
      <c r="E57" s="476"/>
      <c r="F57" s="476"/>
      <c r="G57" s="477"/>
      <c r="H57" s="478"/>
      <c r="I57" s="415"/>
      <c r="J57" s="433"/>
      <c r="K57"/>
      <c r="O57"/>
      <c r="P57"/>
      <c r="Q57"/>
      <c r="R57"/>
      <c r="S57"/>
      <c r="T57"/>
    </row>
    <row r="58" spans="1:20" s="36" customFormat="1" ht="13.2" x14ac:dyDescent="0.25">
      <c r="A58" s="260" t="s">
        <v>487</v>
      </c>
      <c r="B58" s="261" t="s">
        <v>488</v>
      </c>
      <c r="C58" s="529">
        <v>3.6099999999999999E-4</v>
      </c>
      <c r="D58" s="476"/>
      <c r="E58" s="476"/>
      <c r="F58" s="476"/>
      <c r="G58" s="477"/>
      <c r="H58" s="478"/>
      <c r="I58" s="415"/>
      <c r="J58" s="433"/>
      <c r="K58"/>
      <c r="O58"/>
      <c r="P58"/>
      <c r="Q58"/>
      <c r="R58"/>
      <c r="S58"/>
      <c r="T58"/>
    </row>
    <row r="59" spans="1:20" s="36" customFormat="1" ht="13.2" x14ac:dyDescent="0.2">
      <c r="A59" s="263" t="s">
        <v>513</v>
      </c>
      <c r="B59" s="262"/>
      <c r="C59" s="1453">
        <v>3</v>
      </c>
      <c r="D59" s="1453">
        <v>4</v>
      </c>
      <c r="E59" s="1453">
        <v>6</v>
      </c>
      <c r="F59" s="1453">
        <v>6</v>
      </c>
      <c r="G59" s="1453">
        <v>4</v>
      </c>
      <c r="H59" s="1793">
        <v>3</v>
      </c>
      <c r="I59" s="1395"/>
      <c r="J59" s="432"/>
      <c r="K59"/>
      <c r="O59"/>
      <c r="P59"/>
      <c r="Q59"/>
      <c r="R59"/>
      <c r="S59"/>
      <c r="T59"/>
    </row>
    <row r="60" spans="1:20" s="36" customFormat="1" ht="13.2" x14ac:dyDescent="0.25">
      <c r="A60" s="263" t="s">
        <v>485</v>
      </c>
      <c r="B60" s="63"/>
      <c r="C60" s="1453">
        <v>1</v>
      </c>
      <c r="D60" s="1453">
        <v>1</v>
      </c>
      <c r="E60" s="1453">
        <v>1</v>
      </c>
      <c r="F60" s="1453">
        <v>1</v>
      </c>
      <c r="G60" s="1453">
        <v>1</v>
      </c>
      <c r="H60" s="1793">
        <v>1</v>
      </c>
      <c r="I60" s="1395"/>
      <c r="J60" s="432"/>
      <c r="K60"/>
      <c r="O60"/>
      <c r="P60"/>
      <c r="Q60"/>
      <c r="R60"/>
      <c r="S60"/>
      <c r="T60"/>
    </row>
    <row r="61" spans="1:20" s="36" customFormat="1" ht="13.2" x14ac:dyDescent="0.25">
      <c r="A61" s="263" t="s">
        <v>486</v>
      </c>
      <c r="B61" s="63"/>
      <c r="C61" s="1453">
        <v>3</v>
      </c>
      <c r="D61" s="1453">
        <v>2</v>
      </c>
      <c r="E61" s="1453">
        <v>3</v>
      </c>
      <c r="F61" s="1453">
        <v>1</v>
      </c>
      <c r="G61" s="1453">
        <v>1</v>
      </c>
      <c r="H61" s="1793">
        <v>1</v>
      </c>
      <c r="I61" s="1395"/>
      <c r="J61" s="432"/>
      <c r="K61"/>
      <c r="O61"/>
      <c r="P61"/>
      <c r="Q61"/>
      <c r="R61"/>
      <c r="S61"/>
      <c r="T61"/>
    </row>
    <row r="62" spans="1:20" s="36" customFormat="1" ht="13.2" x14ac:dyDescent="0.25">
      <c r="A62" s="260" t="s">
        <v>489</v>
      </c>
      <c r="B62" s="261" t="s">
        <v>475</v>
      </c>
      <c r="C62" s="1952">
        <f>(0.9*C43/$C$58+0.1*(1/$C$24)*C25)*$C$55*C59</f>
        <v>33380892.609021269</v>
      </c>
      <c r="D62" s="1952">
        <f>(0.9*D43/$C$58+0.1*(1/$C$24)*D25)*$C$55*D59</f>
        <v>44505644.719068244</v>
      </c>
      <c r="E62" s="1952">
        <f>(0.9*E43/$C$58+0.1*(1/$C$24)*E25)*$C$55*E59</f>
        <v>66778375.915243395</v>
      </c>
      <c r="F62" s="1952">
        <f>(0.9*F43/$C$58+0.1*(1/$C$24)*F25)*$C$55*F59</f>
        <v>66778375.915243395</v>
      </c>
      <c r="G62" s="1952">
        <f>(0.9*G43/$C$58+0.1*(1/$F$24)*G25)*$C$55*G59</f>
        <v>44518917.27682893</v>
      </c>
      <c r="H62" s="1953">
        <f>(0.9*H43/$C$58+0.1*(1/$F$24)*H25)*$C$55*H59</f>
        <v>33389187.957621697</v>
      </c>
      <c r="I62" s="1744"/>
      <c r="J62" s="432"/>
      <c r="K62"/>
      <c r="O62"/>
      <c r="P62"/>
      <c r="Q62"/>
      <c r="R62"/>
      <c r="S62"/>
      <c r="T62"/>
    </row>
    <row r="63" spans="1:20" s="36" customFormat="1" ht="13.2" x14ac:dyDescent="0.25">
      <c r="A63" s="260" t="s">
        <v>485</v>
      </c>
      <c r="B63" s="261" t="s">
        <v>475</v>
      </c>
      <c r="C63" s="1952">
        <f>(0.9*C43/$C$58+0.1*(1/$C$24)*C25)*$C$56*C60</f>
        <v>28396758.180855069</v>
      </c>
      <c r="D63" s="1952">
        <f>(0.9*D43/$C$58+0.1*(1/$C$24)*D25)*$C$56*D60</f>
        <v>28395346.828492559</v>
      </c>
      <c r="E63" s="1952">
        <f>(0.9*E43/$C$58+0.1*(1/$C$24)*E25)*$C$56*E60</f>
        <v>28403814.942667622</v>
      </c>
      <c r="F63" s="1952">
        <f>(0.9*F43/$C$58+0.1*(1/$C$24)*F25)*$C$56*F60</f>
        <v>28403814.942667622</v>
      </c>
      <c r="G63" s="1952">
        <f>(0.9*G43/$C$58+0.1*(1/$F$24)*G25)*$C$56*G60</f>
        <v>28403814.942667622</v>
      </c>
      <c r="H63" s="1953">
        <f>(0.9*H43/$C$58+0.1*(1/$F$24)*H25)*$C$56*H60</f>
        <v>28403814.942667622</v>
      </c>
      <c r="I63" s="1744"/>
      <c r="J63" s="432"/>
      <c r="K63"/>
      <c r="O63"/>
      <c r="P63"/>
      <c r="Q63"/>
      <c r="R63"/>
      <c r="S63"/>
      <c r="T63"/>
    </row>
    <row r="64" spans="1:20" s="36" customFormat="1" ht="13.2" x14ac:dyDescent="0.25">
      <c r="A64" s="260" t="s">
        <v>486</v>
      </c>
      <c r="B64" s="261" t="s">
        <v>475</v>
      </c>
      <c r="C64" s="1952">
        <f t="shared" ref="C64:H64" si="12">(0.9*C43/$C$58+0.1*(1/$C$24)*C25)*$C$57*C61</f>
        <v>104635439.54824166</v>
      </c>
      <c r="D64" s="1952">
        <f t="shared" si="12"/>
        <v>69753492.695684478</v>
      </c>
      <c r="E64" s="1952">
        <f t="shared" si="12"/>
        <v>104661442.0718164</v>
      </c>
      <c r="F64" s="1952">
        <f t="shared" si="12"/>
        <v>34887147.357272133</v>
      </c>
      <c r="G64" s="1952">
        <f t="shared" si="12"/>
        <v>34887147.357272133</v>
      </c>
      <c r="H64" s="1953">
        <f t="shared" si="12"/>
        <v>34887147.357272133</v>
      </c>
      <c r="I64" s="1744"/>
      <c r="J64" s="432"/>
      <c r="K64"/>
      <c r="O64"/>
      <c r="P64"/>
      <c r="Q64"/>
      <c r="R64"/>
      <c r="S64"/>
      <c r="T64"/>
    </row>
    <row r="65" spans="1:20" s="36" customFormat="1" ht="13.2" x14ac:dyDescent="0.25">
      <c r="A65" s="260" t="s">
        <v>490</v>
      </c>
      <c r="B65" s="261" t="s">
        <v>491</v>
      </c>
      <c r="C65" s="654">
        <f t="shared" ref="C65:H65" si="13">(C62+C63+C64)/1000000</f>
        <v>166.41309033811802</v>
      </c>
      <c r="D65" s="654">
        <f t="shared" si="13"/>
        <v>142.65448424324529</v>
      </c>
      <c r="E65" s="654">
        <f t="shared" si="13"/>
        <v>199.84363292972745</v>
      </c>
      <c r="F65" s="654">
        <f t="shared" si="13"/>
        <v>130.06933821518317</v>
      </c>
      <c r="G65" s="654">
        <f t="shared" si="13"/>
        <v>107.80987957676868</v>
      </c>
      <c r="H65" s="654">
        <f t="shared" si="13"/>
        <v>96.680150257561451</v>
      </c>
      <c r="I65" s="1785"/>
      <c r="J65" s="450"/>
      <c r="K65"/>
      <c r="O65"/>
      <c r="P65"/>
      <c r="Q65"/>
      <c r="R65"/>
      <c r="S65"/>
      <c r="T65"/>
    </row>
    <row r="66" spans="1:20" s="36" customFormat="1" ht="13.2" x14ac:dyDescent="0.25">
      <c r="A66" s="260"/>
      <c r="B66" s="63"/>
      <c r="C66" s="655"/>
      <c r="D66" s="655"/>
      <c r="E66" s="655"/>
      <c r="F66" s="655"/>
      <c r="G66" s="656"/>
      <c r="H66" s="657"/>
      <c r="I66" s="823"/>
      <c r="J66" s="432"/>
      <c r="K66"/>
      <c r="O66"/>
      <c r="P66"/>
      <c r="Q66"/>
      <c r="R66"/>
      <c r="S66"/>
      <c r="T66"/>
    </row>
    <row r="67" spans="1:20" ht="12.75" customHeight="1" x14ac:dyDescent="0.3">
      <c r="A67" s="59"/>
      <c r="B67" s="65"/>
      <c r="C67" s="476"/>
      <c r="D67" s="476"/>
      <c r="E67" s="476"/>
      <c r="F67" s="476"/>
      <c r="G67" s="477"/>
      <c r="H67" s="478"/>
      <c r="I67" s="415"/>
      <c r="J67" s="431"/>
    </row>
    <row r="68" spans="1:20" ht="12.75" customHeight="1" x14ac:dyDescent="0.25">
      <c r="A68" s="55" t="s">
        <v>189</v>
      </c>
      <c r="B68" s="61"/>
      <c r="C68" s="484"/>
      <c r="D68" s="484"/>
      <c r="E68" s="484"/>
      <c r="F68" s="484"/>
      <c r="G68" s="485"/>
      <c r="H68" s="486"/>
      <c r="I68" s="415"/>
      <c r="J68" s="431"/>
    </row>
    <row r="69" spans="1:20" ht="12.75" customHeight="1" x14ac:dyDescent="0.25">
      <c r="A69" s="57" t="s">
        <v>190</v>
      </c>
      <c r="B69" s="20" t="s">
        <v>60</v>
      </c>
      <c r="C69" s="418"/>
      <c r="D69" s="418"/>
      <c r="E69" s="488"/>
      <c r="F69" s="470"/>
      <c r="G69" s="463"/>
      <c r="H69" s="479"/>
      <c r="I69" s="456"/>
      <c r="J69" s="431"/>
    </row>
    <row r="70" spans="1:20" ht="12.75" customHeight="1" x14ac:dyDescent="0.25">
      <c r="A70" s="57" t="s">
        <v>191</v>
      </c>
      <c r="B70" s="20" t="s">
        <v>60</v>
      </c>
      <c r="C70" s="1305">
        <v>3</v>
      </c>
      <c r="D70" s="1305">
        <v>3</v>
      </c>
      <c r="E70" s="1305">
        <v>3</v>
      </c>
      <c r="F70" s="1305">
        <v>3</v>
      </c>
      <c r="G70" s="1305">
        <v>3</v>
      </c>
      <c r="H70" s="1794">
        <v>3</v>
      </c>
      <c r="I70" s="1786"/>
      <c r="J70" s="431"/>
    </row>
    <row r="71" spans="1:20" ht="12.75" customHeight="1" x14ac:dyDescent="0.25">
      <c r="A71" s="57"/>
      <c r="B71" s="20"/>
      <c r="C71" s="418"/>
      <c r="D71" s="418"/>
      <c r="E71" s="489"/>
      <c r="F71" s="470"/>
      <c r="G71" s="463"/>
      <c r="H71" s="479"/>
      <c r="I71" s="456"/>
      <c r="J71" s="431"/>
    </row>
    <row r="72" spans="1:20" ht="12.75" customHeight="1" thickBot="1" x14ac:dyDescent="0.3">
      <c r="A72" s="1795" t="s">
        <v>145</v>
      </c>
      <c r="B72" s="1796" t="s">
        <v>97</v>
      </c>
      <c r="C72" s="2186">
        <f>Inputs!C21</f>
        <v>313.51760000000002</v>
      </c>
      <c r="D72" s="2186">
        <f>Inputs!D21</f>
        <v>313.51760000000002</v>
      </c>
      <c r="E72" s="2186">
        <f>Inputs!E21</f>
        <v>313.51760000000002</v>
      </c>
      <c r="F72" s="2186">
        <f>Inputs!F21</f>
        <v>313.51760000000002</v>
      </c>
      <c r="G72" s="2186">
        <f>Inputs!G21</f>
        <v>313.51760000000002</v>
      </c>
      <c r="H72" s="2186">
        <f>Inputs!H21</f>
        <v>313.51760000000002</v>
      </c>
      <c r="I72" s="1745"/>
      <c r="J72" s="450"/>
    </row>
    <row r="73" spans="1:20" ht="13.2" thickBot="1" x14ac:dyDescent="0.25">
      <c r="A73" s="6"/>
      <c r="B73" s="30"/>
      <c r="C73" s="476"/>
      <c r="D73" s="476"/>
      <c r="E73" s="476"/>
      <c r="F73" s="476"/>
      <c r="G73" s="477"/>
      <c r="H73" s="478"/>
      <c r="I73" s="415"/>
      <c r="J73" s="431"/>
    </row>
    <row r="74" spans="1:20" x14ac:dyDescent="0.2">
      <c r="A74" s="544" t="s">
        <v>148</v>
      </c>
      <c r="B74" s="545" t="s">
        <v>60</v>
      </c>
      <c r="C74" s="1236">
        <f>((C18*C72+C30)*($C$15*C16*C9)/1000000)*0</f>
        <v>0</v>
      </c>
      <c r="D74" s="1236">
        <f t="shared" ref="D74:H74" si="14">((D18*D72+D30)*($C$15*D16*D9)/1000000)*0</f>
        <v>0</v>
      </c>
      <c r="E74" s="1236">
        <f t="shared" si="14"/>
        <v>0</v>
      </c>
      <c r="F74" s="1236">
        <f t="shared" si="14"/>
        <v>0</v>
      </c>
      <c r="G74" s="1237">
        <f t="shared" si="14"/>
        <v>0</v>
      </c>
      <c r="H74" s="1238">
        <f t="shared" si="14"/>
        <v>0</v>
      </c>
      <c r="I74" s="1787"/>
      <c r="J74" s="652"/>
    </row>
    <row r="75" spans="1:20" x14ac:dyDescent="0.2">
      <c r="A75" s="6" t="s">
        <v>149</v>
      </c>
      <c r="B75" s="20" t="s">
        <v>60</v>
      </c>
      <c r="C75" s="1239">
        <f>((($C$38*$C$72+$C$52)*C77)+C65+C70)*0</f>
        <v>0</v>
      </c>
      <c r="D75" s="1239">
        <f t="shared" ref="D75:H75" si="15">((($C$38*$C$72+$C$52)*D77)+D65+D70)*0</f>
        <v>0</v>
      </c>
      <c r="E75" s="1239">
        <f t="shared" si="15"/>
        <v>0</v>
      </c>
      <c r="F75" s="1239">
        <f t="shared" si="15"/>
        <v>0</v>
      </c>
      <c r="G75" s="1240">
        <f t="shared" si="15"/>
        <v>0</v>
      </c>
      <c r="H75" s="1241">
        <f t="shared" si="15"/>
        <v>0</v>
      </c>
      <c r="I75" s="1746"/>
      <c r="J75" s="652"/>
    </row>
    <row r="76" spans="1:20" x14ac:dyDescent="0.2">
      <c r="A76" s="6" t="s">
        <v>150</v>
      </c>
      <c r="B76" s="20" t="s">
        <v>39</v>
      </c>
      <c r="C76" s="1402">
        <v>163.15</v>
      </c>
      <c r="D76" s="1402">
        <v>163.15</v>
      </c>
      <c r="E76" s="1402">
        <v>163.15</v>
      </c>
      <c r="F76" s="1402">
        <v>163.15</v>
      </c>
      <c r="G76" s="1403">
        <v>163.15</v>
      </c>
      <c r="H76" s="1404">
        <v>163.15</v>
      </c>
      <c r="I76" s="1788"/>
      <c r="J76" s="431"/>
    </row>
    <row r="77" spans="1:20" x14ac:dyDescent="0.2">
      <c r="A77" s="190" t="s">
        <v>514</v>
      </c>
      <c r="B77" s="20" t="s">
        <v>56</v>
      </c>
      <c r="C77" s="1242">
        <f>DispatchSchedule!F50</f>
        <v>0</v>
      </c>
      <c r="D77" s="1242">
        <f>DispatchSchedule!G50</f>
        <v>0</v>
      </c>
      <c r="E77" s="1242">
        <f>DispatchSchedule!H50</f>
        <v>0</v>
      </c>
      <c r="F77" s="1242">
        <f>DispatchSchedule!I50</f>
        <v>0</v>
      </c>
      <c r="G77" s="1242">
        <f>DispatchSchedule!J50</f>
        <v>0</v>
      </c>
      <c r="H77" s="1242">
        <f>DispatchSchedule!K50</f>
        <v>0</v>
      </c>
      <c r="I77" s="1747"/>
      <c r="J77" s="431"/>
    </row>
    <row r="78" spans="1:20" ht="13.8" thickBot="1" x14ac:dyDescent="0.3">
      <c r="A78" s="546" t="s">
        <v>135</v>
      </c>
      <c r="B78" s="547" t="s">
        <v>88</v>
      </c>
      <c r="C78" s="1243">
        <f t="shared" ref="C78:H78" si="16">IF(C77=0,0,(C75/C77))</f>
        <v>0</v>
      </c>
      <c r="D78" s="1243">
        <f t="shared" si="16"/>
        <v>0</v>
      </c>
      <c r="E78" s="1243">
        <f>IF(E77=0,0,(E75/E77))</f>
        <v>0</v>
      </c>
      <c r="F78" s="1243">
        <f t="shared" si="16"/>
        <v>0</v>
      </c>
      <c r="G78" s="1244">
        <f t="shared" si="16"/>
        <v>0</v>
      </c>
      <c r="H78" s="1245">
        <f t="shared" si="16"/>
        <v>0</v>
      </c>
      <c r="I78" s="1789"/>
      <c r="J78" s="431"/>
    </row>
    <row r="79" spans="1:20" ht="13.2" x14ac:dyDescent="0.25">
      <c r="A79" s="484" t="s">
        <v>806</v>
      </c>
      <c r="B79" s="1749" t="s">
        <v>88</v>
      </c>
      <c r="C79" s="1753" t="e">
        <f>C74/C77</f>
        <v>#DIV/0!</v>
      </c>
      <c r="D79" s="1753" t="e">
        <f t="shared" ref="D79:H79" si="17">D74/D77</f>
        <v>#DIV/0!</v>
      </c>
      <c r="E79" s="1753" t="e">
        <f t="shared" si="17"/>
        <v>#DIV/0!</v>
      </c>
      <c r="F79" s="1753" t="e">
        <f t="shared" si="17"/>
        <v>#DIV/0!</v>
      </c>
      <c r="G79" s="1753" t="e">
        <f t="shared" si="17"/>
        <v>#DIV/0!</v>
      </c>
      <c r="H79" s="1753" t="e">
        <f t="shared" si="17"/>
        <v>#DIV/0!</v>
      </c>
      <c r="I79" s="277"/>
    </row>
    <row r="80" spans="1:20" x14ac:dyDescent="0.2">
      <c r="A80" s="484" t="s">
        <v>806</v>
      </c>
      <c r="B80" s="1754" t="s">
        <v>1055</v>
      </c>
      <c r="C80" s="1753">
        <f>C74*1000/C76</f>
        <v>0</v>
      </c>
      <c r="D80" s="1753">
        <f t="shared" ref="D80:H80" si="18">D74*1000/D76</f>
        <v>0</v>
      </c>
      <c r="E80" s="1753">
        <f t="shared" si="18"/>
        <v>0</v>
      </c>
      <c r="F80" s="1753">
        <f t="shared" si="18"/>
        <v>0</v>
      </c>
      <c r="G80" s="1753">
        <f t="shared" si="18"/>
        <v>0</v>
      </c>
      <c r="H80" s="1753">
        <f t="shared" si="18"/>
        <v>0</v>
      </c>
      <c r="I80" s="322"/>
      <c r="J80" s="449"/>
    </row>
    <row r="81" spans="1:10" x14ac:dyDescent="0.2">
      <c r="J81" s="449"/>
    </row>
    <row r="82" spans="1:10" x14ac:dyDescent="0.2">
      <c r="A82" s="453" t="s">
        <v>467</v>
      </c>
      <c r="B82" s="453"/>
      <c r="C82" s="942"/>
      <c r="D82" s="942"/>
      <c r="E82" s="942"/>
      <c r="F82" s="942"/>
      <c r="G82" s="942"/>
      <c r="H82" s="942"/>
      <c r="I82" s="942"/>
      <c r="J82" s="449"/>
    </row>
    <row r="83" spans="1:10" x14ac:dyDescent="0.2">
      <c r="A83" s="415" t="s">
        <v>509</v>
      </c>
      <c r="B83" s="453"/>
      <c r="C83" s="453"/>
      <c r="D83" s="453"/>
      <c r="E83" s="453"/>
      <c r="F83" s="453"/>
      <c r="G83" s="453"/>
      <c r="J83" s="449"/>
    </row>
    <row r="84" spans="1:10" x14ac:dyDescent="0.2">
      <c r="A84" s="439" t="s">
        <v>857</v>
      </c>
      <c r="B84" s="453"/>
      <c r="C84" s="453"/>
      <c r="D84" s="453"/>
      <c r="E84" s="453"/>
      <c r="F84" s="453"/>
      <c r="G84" s="453"/>
      <c r="J84" s="449"/>
    </row>
    <row r="85" spans="1:10" x14ac:dyDescent="0.2">
      <c r="A85" s="439" t="s">
        <v>858</v>
      </c>
      <c r="B85" s="453"/>
      <c r="C85" s="453"/>
      <c r="D85" s="453"/>
      <c r="E85" s="453"/>
      <c r="F85" s="453"/>
      <c r="G85" s="453"/>
      <c r="J85" s="542"/>
    </row>
    <row r="86" spans="1:10" x14ac:dyDescent="0.2">
      <c r="A86" s="439" t="s">
        <v>1074</v>
      </c>
      <c r="B86" s="453"/>
      <c r="C86" s="453"/>
      <c r="D86" s="453"/>
      <c r="E86" s="453"/>
      <c r="F86" s="453"/>
      <c r="G86" s="453"/>
    </row>
    <row r="87" spans="1:10" x14ac:dyDescent="0.2">
      <c r="A87" s="439" t="s">
        <v>1073</v>
      </c>
      <c r="B87" s="453"/>
      <c r="C87" s="453"/>
      <c r="D87" s="453"/>
      <c r="E87" s="453"/>
      <c r="F87" s="453"/>
      <c r="G87" s="453"/>
    </row>
    <row r="88" spans="1:10" x14ac:dyDescent="0.2">
      <c r="A88" s="440" t="s">
        <v>567</v>
      </c>
      <c r="B88" s="453"/>
      <c r="C88" s="453"/>
      <c r="D88" s="453"/>
      <c r="E88" s="453"/>
      <c r="F88" s="453"/>
      <c r="G88" s="453"/>
    </row>
    <row r="89" spans="1:10" x14ac:dyDescent="0.2">
      <c r="A89" s="441" t="s">
        <v>560</v>
      </c>
      <c r="B89" s="453"/>
      <c r="C89" s="453"/>
      <c r="D89" s="453"/>
      <c r="E89" s="453"/>
      <c r="F89" s="453"/>
      <c r="G89" s="453"/>
    </row>
    <row r="90" spans="1:10" x14ac:dyDescent="0.2">
      <c r="A90" s="442" t="s">
        <v>561</v>
      </c>
      <c r="B90" s="453"/>
      <c r="C90" s="453"/>
      <c r="D90" s="453"/>
      <c r="E90" s="453"/>
      <c r="F90" s="453"/>
      <c r="G90" s="453"/>
    </row>
    <row r="91" spans="1:10" x14ac:dyDescent="0.2">
      <c r="A91" s="439" t="s">
        <v>1076</v>
      </c>
      <c r="B91" s="453"/>
      <c r="C91" s="453"/>
      <c r="D91" s="453"/>
      <c r="E91" s="453"/>
      <c r="F91" s="453"/>
      <c r="G91" s="453"/>
    </row>
    <row r="92" spans="1:10" x14ac:dyDescent="0.2">
      <c r="A92" s="453"/>
      <c r="B92" s="453"/>
      <c r="C92" s="1405"/>
      <c r="D92" s="1405"/>
      <c r="E92" s="1405"/>
      <c r="F92" s="1405"/>
      <c r="G92" s="1405"/>
      <c r="H92" s="1106"/>
      <c r="I92" s="1106"/>
    </row>
    <row r="93" spans="1:10" x14ac:dyDescent="0.2">
      <c r="C93" s="1106"/>
      <c r="D93" s="1106"/>
      <c r="E93" s="1106"/>
      <c r="F93" s="1106"/>
      <c r="G93" s="1106"/>
      <c r="H93" s="1106"/>
      <c r="I93" s="1106"/>
    </row>
    <row r="94" spans="1:10" x14ac:dyDescent="0.2">
      <c r="C94" s="1106"/>
      <c r="D94" s="1106"/>
      <c r="E94" s="1106"/>
      <c r="F94" s="1106"/>
      <c r="G94" s="1106"/>
      <c r="H94" s="1106"/>
      <c r="I94" s="1106"/>
    </row>
    <row r="95" spans="1:10" x14ac:dyDescent="0.2">
      <c r="C95" s="1106"/>
      <c r="D95" s="1106"/>
      <c r="E95" s="1106"/>
      <c r="F95" s="1106"/>
      <c r="G95" s="1106"/>
      <c r="H95" s="1106"/>
      <c r="I95" s="1106"/>
    </row>
    <row r="96" spans="1:10" x14ac:dyDescent="0.2">
      <c r="C96" s="1106"/>
      <c r="D96" s="1106"/>
      <c r="E96" s="1106"/>
      <c r="F96" s="1106"/>
      <c r="G96" s="1106"/>
      <c r="H96" s="1106"/>
      <c r="I96" s="1106"/>
    </row>
    <row r="97" spans="1:10" x14ac:dyDescent="0.2">
      <c r="A97" s="659"/>
      <c r="B97" s="659"/>
      <c r="C97" s="660"/>
      <c r="D97" s="660"/>
      <c r="E97" s="165"/>
      <c r="F97" s="165"/>
      <c r="G97" s="165"/>
      <c r="H97" s="165"/>
      <c r="I97" s="165"/>
    </row>
    <row r="98" spans="1:10" x14ac:dyDescent="0.2">
      <c r="C98" s="446"/>
      <c r="D98" s="446"/>
      <c r="E98" s="446"/>
      <c r="F98" s="446"/>
      <c r="G98" s="446"/>
      <c r="H98" s="446"/>
      <c r="I98" s="446"/>
    </row>
    <row r="99" spans="1:10" x14ac:dyDescent="0.2">
      <c r="C99" s="446"/>
      <c r="D99" s="446"/>
      <c r="E99" s="446"/>
      <c r="F99" s="446"/>
      <c r="G99" s="446"/>
      <c r="H99" s="446"/>
      <c r="I99" s="446"/>
    </row>
    <row r="100" spans="1:10" x14ac:dyDescent="0.2">
      <c r="C100" s="446"/>
      <c r="D100" s="446"/>
      <c r="E100" s="446"/>
      <c r="F100" s="446"/>
      <c r="G100" s="446"/>
      <c r="H100" s="446"/>
      <c r="I100" s="446"/>
    </row>
    <row r="101" spans="1:10" x14ac:dyDescent="0.2">
      <c r="C101" s="446"/>
      <c r="D101" s="446"/>
      <c r="E101" s="446"/>
      <c r="F101" s="446"/>
      <c r="G101" s="446"/>
      <c r="H101" s="446"/>
      <c r="I101" s="446"/>
    </row>
    <row r="102" spans="1:10" x14ac:dyDescent="0.2">
      <c r="C102" s="446"/>
      <c r="D102" s="446"/>
      <c r="E102" s="446"/>
      <c r="F102" s="446"/>
      <c r="G102" s="446"/>
      <c r="H102" s="446"/>
      <c r="I102" s="446"/>
      <c r="J102" s="184"/>
    </row>
    <row r="103" spans="1:10" x14ac:dyDescent="0.2">
      <c r="C103" s="446"/>
      <c r="D103" s="446"/>
      <c r="E103" s="446"/>
      <c r="F103" s="446"/>
      <c r="G103" s="446"/>
      <c r="H103" s="446"/>
      <c r="I103" s="446"/>
      <c r="J103" s="184"/>
    </row>
    <row r="104" spans="1:10" x14ac:dyDescent="0.2">
      <c r="C104" s="446"/>
      <c r="D104" s="446"/>
      <c r="E104" s="446"/>
      <c r="F104" s="446"/>
      <c r="G104" s="446"/>
      <c r="H104" s="446"/>
      <c r="I104" s="446"/>
      <c r="J104" s="184"/>
    </row>
    <row r="105" spans="1:10" x14ac:dyDescent="0.2">
      <c r="C105" s="446"/>
      <c r="D105" s="446"/>
      <c r="E105" s="446"/>
      <c r="F105" s="446"/>
      <c r="G105" s="446"/>
      <c r="H105" s="446"/>
      <c r="I105" s="446"/>
    </row>
    <row r="106" spans="1:10" x14ac:dyDescent="0.2">
      <c r="C106" s="446"/>
      <c r="D106" s="446"/>
      <c r="E106" s="446"/>
      <c r="F106" s="446"/>
      <c r="G106" s="446"/>
      <c r="H106" s="446"/>
      <c r="I106" s="446"/>
    </row>
    <row r="107" spans="1:10" x14ac:dyDescent="0.2">
      <c r="C107" s="446"/>
      <c r="D107" s="446"/>
      <c r="E107" s="446"/>
      <c r="F107" s="446"/>
      <c r="G107" s="446"/>
      <c r="H107" s="446"/>
      <c r="I107" s="184"/>
    </row>
    <row r="108" spans="1:10" x14ac:dyDescent="0.2">
      <c r="C108" s="446"/>
      <c r="D108" s="446"/>
      <c r="E108" s="446"/>
      <c r="F108" s="446"/>
      <c r="G108" s="446"/>
      <c r="H108" s="446"/>
      <c r="I108" s="184"/>
    </row>
    <row r="109" spans="1:10" x14ac:dyDescent="0.2">
      <c r="C109" s="446"/>
      <c r="D109" s="446"/>
      <c r="E109" s="446"/>
      <c r="F109" s="446"/>
      <c r="G109" s="446"/>
      <c r="H109" s="446"/>
    </row>
    <row r="110" spans="1:10" x14ac:dyDescent="0.2">
      <c r="C110" s="446"/>
      <c r="D110" s="446"/>
      <c r="E110" s="446"/>
      <c r="F110" s="446"/>
      <c r="G110" s="446"/>
      <c r="H110" s="446"/>
    </row>
    <row r="111" spans="1:10" x14ac:dyDescent="0.2">
      <c r="C111" s="446"/>
      <c r="D111" s="446"/>
      <c r="E111" s="446"/>
      <c r="F111" s="446"/>
      <c r="G111" s="446"/>
      <c r="H111" s="446"/>
    </row>
    <row r="112" spans="1:10" x14ac:dyDescent="0.2">
      <c r="C112" s="446"/>
      <c r="D112" s="446"/>
      <c r="E112" s="446"/>
      <c r="F112" s="446"/>
      <c r="G112" s="446"/>
      <c r="H112" s="446"/>
    </row>
    <row r="113" spans="3:8" x14ac:dyDescent="0.2">
      <c r="C113" s="446"/>
      <c r="D113" s="446"/>
      <c r="E113" s="446"/>
      <c r="F113" s="446"/>
      <c r="G113" s="446"/>
      <c r="H113" s="446"/>
    </row>
  </sheetData>
  <phoneticPr fontId="54" type="noConversion"/>
  <dataValidations count="1">
    <dataValidation type="list" allowBlank="1" showInputMessage="1" showErrorMessage="1" sqref="B72 C8 C21 C33 C42" xr:uid="{00000000-0002-0000-3200-000000000000}">
      <formula1>Currency</formula1>
    </dataValidation>
  </dataValidations>
  <pageMargins left="0.7" right="0.7" top="0.75" bottom="0.75" header="0.3" footer="0.3"/>
  <pageSetup scale="5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">
    <tabColor rgb="FF002060"/>
  </sheetPr>
  <dimension ref="A1:T114"/>
  <sheetViews>
    <sheetView showGridLines="0" view="pageBreakPreview" topLeftCell="A55" zoomScale="90" zoomScaleNormal="86" zoomScaleSheetLayoutView="90" workbookViewId="0">
      <selection activeCell="C55" sqref="C1:E1048576"/>
    </sheetView>
  </sheetViews>
  <sheetFormatPr defaultColWidth="11" defaultRowHeight="12.6" x14ac:dyDescent="0.2"/>
  <cols>
    <col min="1" max="1" width="55" style="1463" customWidth="1"/>
    <col min="2" max="2" width="10" style="1463" customWidth="1"/>
    <col min="3" max="3" width="18.453125" style="1463" hidden="1" customWidth="1"/>
    <col min="4" max="4" width="17.08984375" style="1463" hidden="1" customWidth="1"/>
    <col min="5" max="5" width="17" style="1463" hidden="1" customWidth="1"/>
    <col min="6" max="6" width="17" style="1463" customWidth="1"/>
    <col min="7" max="7" width="18" style="1463" customWidth="1"/>
    <col min="8" max="8" width="18.36328125" style="1463" customWidth="1"/>
    <col min="9" max="9" width="16.08984375" style="1463" bestFit="1" customWidth="1"/>
    <col min="10" max="16384" width="11" style="1463"/>
  </cols>
  <sheetData>
    <row r="1" spans="1:11" ht="17.399999999999999" x14ac:dyDescent="0.3">
      <c r="A1" s="1920" t="s">
        <v>261</v>
      </c>
      <c r="B1" s="1920" t="s">
        <v>13</v>
      </c>
    </row>
    <row r="2" spans="1:11" ht="18" thickBot="1" x14ac:dyDescent="0.35">
      <c r="A2" s="1920"/>
      <c r="B2" s="1920"/>
      <c r="C2" s="1918"/>
      <c r="D2" s="1918"/>
      <c r="E2" s="1918"/>
      <c r="F2" s="1918"/>
      <c r="G2" s="1918"/>
      <c r="H2" s="1918"/>
    </row>
    <row r="3" spans="1:11" ht="13.2" thickBot="1" x14ac:dyDescent="0.25">
      <c r="A3" s="2338" t="s">
        <v>27</v>
      </c>
      <c r="B3" s="2339" t="s">
        <v>36</v>
      </c>
      <c r="C3" s="2465">
        <f>+Sobadhanavi!C3</f>
        <v>46023</v>
      </c>
      <c r="D3" s="2465">
        <f>+Sobadhanavi!D3</f>
        <v>46054</v>
      </c>
      <c r="E3" s="2465">
        <f>+Sobadhanavi!E3</f>
        <v>46082</v>
      </c>
      <c r="F3" s="2465">
        <f>+Sobadhanavi!F3</f>
        <v>46113</v>
      </c>
      <c r="G3" s="2465">
        <f>+Sobadhanavi!G3</f>
        <v>46143</v>
      </c>
      <c r="H3" s="2465">
        <f>+Sobadhanavi!H3</f>
        <v>46174</v>
      </c>
      <c r="J3" s="2341"/>
      <c r="K3" s="1463" t="s">
        <v>853</v>
      </c>
    </row>
    <row r="4" spans="1:11" ht="13.2" x14ac:dyDescent="0.25">
      <c r="A4" s="2110" t="s">
        <v>136</v>
      </c>
      <c r="B4" s="2342"/>
      <c r="C4" s="1839"/>
      <c r="D4" s="1839"/>
      <c r="E4" s="1839"/>
      <c r="F4" s="1839"/>
      <c r="G4" s="1839"/>
      <c r="H4" s="1839"/>
      <c r="J4" s="2344"/>
      <c r="K4" s="1463" t="s">
        <v>854</v>
      </c>
    </row>
    <row r="5" spans="1:11" x14ac:dyDescent="0.2">
      <c r="A5" s="2345"/>
      <c r="B5" s="2346"/>
      <c r="C5" s="1485"/>
      <c r="D5" s="2349"/>
      <c r="E5" s="2349"/>
      <c r="F5" s="2349"/>
      <c r="G5" s="2349"/>
      <c r="H5" s="2349"/>
      <c r="J5" s="1345"/>
      <c r="K5" s="1463" t="s">
        <v>855</v>
      </c>
    </row>
    <row r="6" spans="1:11" x14ac:dyDescent="0.2">
      <c r="A6" s="2345"/>
      <c r="B6" s="2348"/>
      <c r="C6" s="2349"/>
      <c r="D6" s="2349"/>
      <c r="E6" s="2349"/>
      <c r="F6" s="2349"/>
      <c r="G6" s="2349"/>
      <c r="H6" s="2349"/>
    </row>
    <row r="7" spans="1:11" ht="13.2" x14ac:dyDescent="0.25">
      <c r="A7" s="2110" t="s">
        <v>122</v>
      </c>
      <c r="B7" s="2342"/>
      <c r="C7" s="1839"/>
      <c r="D7" s="1839"/>
      <c r="E7" s="1839"/>
      <c r="F7" s="1839"/>
      <c r="G7" s="1839"/>
      <c r="H7" s="1839"/>
    </row>
    <row r="8" spans="1:11" ht="13.2" x14ac:dyDescent="0.25">
      <c r="A8" s="2353" t="s">
        <v>99</v>
      </c>
      <c r="B8" s="2354"/>
      <c r="C8" s="1485" t="s">
        <v>96</v>
      </c>
      <c r="D8" s="2349"/>
      <c r="E8" s="2349"/>
      <c r="F8" s="2349"/>
      <c r="G8" s="2349"/>
      <c r="H8" s="2349"/>
    </row>
    <row r="9" spans="1:11" x14ac:dyDescent="0.2">
      <c r="A9" s="2466" t="s">
        <v>533</v>
      </c>
      <c r="B9" s="2346"/>
      <c r="C9" s="1377">
        <v>0.72</v>
      </c>
      <c r="D9" s="1377">
        <v>0.72</v>
      </c>
      <c r="E9" s="1377">
        <v>0.72</v>
      </c>
      <c r="F9" s="1377">
        <v>0.72</v>
      </c>
      <c r="G9" s="1377">
        <v>0.7</v>
      </c>
      <c r="H9" s="1377">
        <v>0.7</v>
      </c>
      <c r="J9" s="1887"/>
    </row>
    <row r="10" spans="1:11" x14ac:dyDescent="0.2">
      <c r="A10" s="2467" t="s">
        <v>263</v>
      </c>
      <c r="B10" s="2346"/>
      <c r="C10" s="1378">
        <v>0</v>
      </c>
      <c r="D10" s="1378">
        <v>0</v>
      </c>
      <c r="E10" s="1378">
        <v>0</v>
      </c>
      <c r="F10" s="1378">
        <v>0</v>
      </c>
      <c r="G10" s="1378">
        <v>0</v>
      </c>
      <c r="H10" s="1378">
        <v>0</v>
      </c>
      <c r="J10" s="1887"/>
    </row>
    <row r="11" spans="1:11" x14ac:dyDescent="0.2">
      <c r="A11" s="2467" t="s">
        <v>264</v>
      </c>
      <c r="B11" s="2346"/>
      <c r="C11" s="1378">
        <v>15.903</v>
      </c>
      <c r="D11" s="1378">
        <v>15.903</v>
      </c>
      <c r="E11" s="1378">
        <v>15.903</v>
      </c>
      <c r="F11" s="1378">
        <v>15.903</v>
      </c>
      <c r="G11" s="1378">
        <v>15.903</v>
      </c>
      <c r="H11" s="1378">
        <v>15.903</v>
      </c>
      <c r="J11" s="1887"/>
    </row>
    <row r="12" spans="1:11" x14ac:dyDescent="0.2">
      <c r="A12" s="2345" t="s">
        <v>265</v>
      </c>
      <c r="B12" s="2348"/>
      <c r="C12" s="1379">
        <v>87.17</v>
      </c>
      <c r="D12" s="1379">
        <v>87.17</v>
      </c>
      <c r="E12" s="1379">
        <v>87.17</v>
      </c>
      <c r="F12" s="1379">
        <v>87.17</v>
      </c>
      <c r="G12" s="1379">
        <v>87.17</v>
      </c>
      <c r="H12" s="1379">
        <v>87.17</v>
      </c>
      <c r="J12" s="1887"/>
    </row>
    <row r="13" spans="1:11" x14ac:dyDescent="0.2">
      <c r="A13" s="2345" t="s">
        <v>266</v>
      </c>
      <c r="B13" s="2348"/>
      <c r="C13" s="2360">
        <f>Inputs!C30</f>
        <v>129.69999999999999</v>
      </c>
      <c r="D13" s="2360">
        <f>Inputs!D30</f>
        <v>129.33000000000001</v>
      </c>
      <c r="E13" s="2360">
        <f>Inputs!E30</f>
        <v>129.54</v>
      </c>
      <c r="F13" s="2360">
        <f>Inputs!F30</f>
        <v>129.54</v>
      </c>
      <c r="G13" s="2360">
        <f>Inputs!G30</f>
        <v>129.54</v>
      </c>
      <c r="H13" s="2360">
        <f>Inputs!H30</f>
        <v>129.54</v>
      </c>
      <c r="J13" s="1887"/>
    </row>
    <row r="14" spans="1:11" x14ac:dyDescent="0.2">
      <c r="A14" s="2467" t="s">
        <v>267</v>
      </c>
      <c r="B14" s="2348"/>
      <c r="C14" s="2468">
        <f t="shared" ref="C14:H14" si="0">C11*C13/C12</f>
        <v>23.662029367901798</v>
      </c>
      <c r="D14" s="2468">
        <f t="shared" si="0"/>
        <v>23.594527819203858</v>
      </c>
      <c r="E14" s="2468">
        <f t="shared" si="0"/>
        <v>23.63283950900539</v>
      </c>
      <c r="F14" s="2468">
        <f t="shared" si="0"/>
        <v>23.63283950900539</v>
      </c>
      <c r="G14" s="2468">
        <f t="shared" si="0"/>
        <v>23.63283950900539</v>
      </c>
      <c r="H14" s="2468">
        <f t="shared" si="0"/>
        <v>23.63283950900539</v>
      </c>
      <c r="J14" s="1887"/>
    </row>
    <row r="15" spans="1:11" x14ac:dyDescent="0.2">
      <c r="A15" s="2467" t="s">
        <v>268</v>
      </c>
      <c r="B15" s="2348"/>
      <c r="C15" s="1380">
        <v>270000</v>
      </c>
      <c r="D15" s="1380">
        <v>270000</v>
      </c>
      <c r="E15" s="1380">
        <v>270000</v>
      </c>
      <c r="F15" s="1380">
        <v>270000</v>
      </c>
      <c r="G15" s="1380">
        <v>270000</v>
      </c>
      <c r="H15" s="1380">
        <v>270000</v>
      </c>
      <c r="J15" s="1887"/>
    </row>
    <row r="16" spans="1:11" x14ac:dyDescent="0.2">
      <c r="A16" s="2467" t="s">
        <v>269</v>
      </c>
      <c r="B16" s="2348"/>
      <c r="C16" s="1381">
        <v>744</v>
      </c>
      <c r="D16" s="1381">
        <v>672</v>
      </c>
      <c r="E16" s="1381">
        <v>744</v>
      </c>
      <c r="F16" s="1381">
        <v>720</v>
      </c>
      <c r="G16" s="1381">
        <v>744</v>
      </c>
      <c r="H16" s="1381">
        <v>720</v>
      </c>
      <c r="J16" s="1887"/>
    </row>
    <row r="17" spans="1:10" x14ac:dyDescent="0.2">
      <c r="A17" s="2467" t="s">
        <v>270</v>
      </c>
      <c r="B17" s="2348"/>
      <c r="C17" s="1380">
        <v>8760</v>
      </c>
      <c r="D17" s="1380">
        <v>8760</v>
      </c>
      <c r="E17" s="1380">
        <v>8760</v>
      </c>
      <c r="F17" s="1380">
        <v>8760</v>
      </c>
      <c r="G17" s="1380">
        <v>8760</v>
      </c>
      <c r="H17" s="1380">
        <v>8760</v>
      </c>
      <c r="J17" s="1887"/>
    </row>
    <row r="18" spans="1:10" x14ac:dyDescent="0.2">
      <c r="A18" s="2345" t="s">
        <v>271</v>
      </c>
      <c r="B18" s="2346" t="str">
        <f>$C$8&amp;"/kWh"</f>
        <v>Euro/kWh</v>
      </c>
      <c r="C18" s="2469">
        <f t="shared" ref="C18:H18" si="1">(C9*C16/C17*(C10+C14)*C15)/(C9*C16*C15)</f>
        <v>2.7011449050116207E-3</v>
      </c>
      <c r="D18" s="2469">
        <f t="shared" si="1"/>
        <v>2.6934392487675636E-3</v>
      </c>
      <c r="E18" s="2469">
        <f t="shared" si="1"/>
        <v>2.6978127293385144E-3</v>
      </c>
      <c r="F18" s="2469">
        <f t="shared" si="1"/>
        <v>2.6978127293385144E-3</v>
      </c>
      <c r="G18" s="2469">
        <f t="shared" si="1"/>
        <v>2.6978127293385144E-3</v>
      </c>
      <c r="H18" s="2469">
        <f t="shared" si="1"/>
        <v>2.6978127293385149E-3</v>
      </c>
      <c r="J18" s="1887"/>
    </row>
    <row r="19" spans="1:10" x14ac:dyDescent="0.2">
      <c r="A19" s="2345"/>
      <c r="B19" s="2348"/>
      <c r="C19" s="1485"/>
      <c r="D19" s="1485"/>
      <c r="E19" s="1485"/>
      <c r="F19" s="1485"/>
      <c r="G19" s="1485"/>
      <c r="H19" s="1485"/>
      <c r="J19" s="1887"/>
    </row>
    <row r="20" spans="1:10" ht="13.2" x14ac:dyDescent="0.25">
      <c r="A20" s="2110" t="s">
        <v>122</v>
      </c>
      <c r="B20" s="2342"/>
      <c r="C20" s="1839"/>
      <c r="D20" s="1839"/>
      <c r="E20" s="1839"/>
      <c r="F20" s="1839"/>
      <c r="G20" s="1839"/>
      <c r="H20" s="1839"/>
      <c r="J20" s="1887"/>
    </row>
    <row r="21" spans="1:10" ht="13.2" x14ac:dyDescent="0.25">
      <c r="A21" s="2353" t="s">
        <v>99</v>
      </c>
      <c r="B21" s="2354"/>
      <c r="C21" s="1485" t="s">
        <v>94</v>
      </c>
      <c r="D21" s="2349"/>
      <c r="E21" s="2349"/>
      <c r="F21" s="2349"/>
      <c r="G21" s="2349"/>
      <c r="H21" s="2349"/>
      <c r="J21" s="1887"/>
    </row>
    <row r="22" spans="1:10" x14ac:dyDescent="0.2">
      <c r="A22" s="2467" t="s">
        <v>262</v>
      </c>
      <c r="B22" s="2346"/>
      <c r="C22" s="1382">
        <f t="shared" ref="C22:H22" si="2">C9</f>
        <v>0.72</v>
      </c>
      <c r="D22" s="1382">
        <f t="shared" si="2"/>
        <v>0.72</v>
      </c>
      <c r="E22" s="1382">
        <f t="shared" si="2"/>
        <v>0.72</v>
      </c>
      <c r="F22" s="1382">
        <f t="shared" si="2"/>
        <v>0.72</v>
      </c>
      <c r="G22" s="1382">
        <f t="shared" si="2"/>
        <v>0.7</v>
      </c>
      <c r="H22" s="1382">
        <f t="shared" si="2"/>
        <v>0.7</v>
      </c>
      <c r="J22" s="1887"/>
    </row>
    <row r="23" spans="1:10" x14ac:dyDescent="0.2">
      <c r="A23" s="2467" t="s">
        <v>1250</v>
      </c>
      <c r="B23" s="2346"/>
      <c r="C23" s="2167">
        <v>69098</v>
      </c>
      <c r="D23" s="2167">
        <v>69098</v>
      </c>
      <c r="E23" s="2167">
        <v>69098</v>
      </c>
      <c r="F23" s="2167">
        <v>69098</v>
      </c>
      <c r="G23" s="2167">
        <v>72553</v>
      </c>
      <c r="H23" s="2167">
        <v>72553</v>
      </c>
      <c r="J23" s="1887"/>
    </row>
    <row r="24" spans="1:10" x14ac:dyDescent="0.2">
      <c r="A24" s="2467" t="s">
        <v>638</v>
      </c>
      <c r="B24" s="2346"/>
      <c r="C24" s="1378">
        <v>491.02</v>
      </c>
      <c r="D24" s="1378">
        <v>491.02</v>
      </c>
      <c r="E24" s="1378">
        <v>491.02</v>
      </c>
      <c r="F24" s="1378">
        <v>491.02</v>
      </c>
      <c r="G24" s="1378">
        <v>491.02</v>
      </c>
      <c r="H24" s="1378">
        <v>491.02</v>
      </c>
      <c r="J24" s="1887"/>
    </row>
    <row r="25" spans="1:10" x14ac:dyDescent="0.2">
      <c r="A25" s="2345" t="s">
        <v>272</v>
      </c>
      <c r="B25" s="2348"/>
      <c r="C25" s="1379">
        <v>44.47</v>
      </c>
      <c r="D25" s="1379">
        <v>44.47</v>
      </c>
      <c r="E25" s="1379">
        <v>44.47</v>
      </c>
      <c r="F25" s="1379">
        <v>44.47</v>
      </c>
      <c r="G25" s="1379">
        <v>44.47</v>
      </c>
      <c r="H25" s="1379">
        <v>44.47</v>
      </c>
      <c r="J25" s="1887"/>
    </row>
    <row r="26" spans="1:10" x14ac:dyDescent="0.2">
      <c r="A26" s="2345" t="s">
        <v>273</v>
      </c>
      <c r="B26" s="2348"/>
      <c r="C26" s="2381">
        <f>Inputs!C31</f>
        <v>193.8</v>
      </c>
      <c r="D26" s="2381">
        <f>Inputs!D31</f>
        <v>193.4</v>
      </c>
      <c r="E26" s="2381">
        <f>Inputs!E31</f>
        <v>195.8</v>
      </c>
      <c r="F26" s="2381">
        <f>Inputs!F31</f>
        <v>195.8</v>
      </c>
      <c r="G26" s="2381">
        <f>Inputs!G31</f>
        <v>195.8</v>
      </c>
      <c r="H26" s="2381">
        <f>Inputs!H31</f>
        <v>195.8</v>
      </c>
      <c r="J26" s="1887"/>
    </row>
    <row r="27" spans="1:10" x14ac:dyDescent="0.2">
      <c r="A27" s="2467" t="s">
        <v>274</v>
      </c>
      <c r="B27" s="2348"/>
      <c r="C27" s="2468">
        <f t="shared" ref="C27:H27" si="3">C24*C26/C25</f>
        <v>2139.8622891837194</v>
      </c>
      <c r="D27" s="2468">
        <f t="shared" si="3"/>
        <v>2135.4456487519674</v>
      </c>
      <c r="E27" s="2468">
        <f t="shared" si="3"/>
        <v>2161.9454913424784</v>
      </c>
      <c r="F27" s="2468">
        <f t="shared" si="3"/>
        <v>2161.9454913424784</v>
      </c>
      <c r="G27" s="2468">
        <f t="shared" si="3"/>
        <v>2161.9454913424784</v>
      </c>
      <c r="H27" s="2468">
        <f t="shared" si="3"/>
        <v>2161.9454913424784</v>
      </c>
      <c r="J27" s="1887"/>
    </row>
    <row r="28" spans="1:10" x14ac:dyDescent="0.2">
      <c r="A28" s="2467" t="s">
        <v>268</v>
      </c>
      <c r="B28" s="2348"/>
      <c r="C28" s="2470">
        <f t="shared" ref="C28:H30" si="4">C15</f>
        <v>270000</v>
      </c>
      <c r="D28" s="2470">
        <f t="shared" si="4"/>
        <v>270000</v>
      </c>
      <c r="E28" s="2470">
        <f t="shared" si="4"/>
        <v>270000</v>
      </c>
      <c r="F28" s="2470">
        <f t="shared" si="4"/>
        <v>270000</v>
      </c>
      <c r="G28" s="2470">
        <f t="shared" si="4"/>
        <v>270000</v>
      </c>
      <c r="H28" s="2470">
        <f t="shared" si="4"/>
        <v>270000</v>
      </c>
      <c r="J28" s="1887"/>
    </row>
    <row r="29" spans="1:10" x14ac:dyDescent="0.2">
      <c r="A29" s="2467" t="s">
        <v>269</v>
      </c>
      <c r="B29" s="2348"/>
      <c r="C29" s="2470">
        <f>C16</f>
        <v>744</v>
      </c>
      <c r="D29" s="2470">
        <f t="shared" si="4"/>
        <v>672</v>
      </c>
      <c r="E29" s="2470">
        <f t="shared" si="4"/>
        <v>744</v>
      </c>
      <c r="F29" s="2470">
        <f t="shared" si="4"/>
        <v>720</v>
      </c>
      <c r="G29" s="2470">
        <f t="shared" si="4"/>
        <v>744</v>
      </c>
      <c r="H29" s="2470">
        <f t="shared" si="4"/>
        <v>720</v>
      </c>
      <c r="J29" s="1887"/>
    </row>
    <row r="30" spans="1:10" x14ac:dyDescent="0.2">
      <c r="A30" s="2467" t="s">
        <v>270</v>
      </c>
      <c r="B30" s="2348"/>
      <c r="C30" s="2470">
        <f t="shared" si="4"/>
        <v>8760</v>
      </c>
      <c r="D30" s="2470">
        <f t="shared" si="4"/>
        <v>8760</v>
      </c>
      <c r="E30" s="2470">
        <f t="shared" si="4"/>
        <v>8760</v>
      </c>
      <c r="F30" s="2470">
        <f t="shared" si="4"/>
        <v>8760</v>
      </c>
      <c r="G30" s="2470">
        <f t="shared" si="4"/>
        <v>8760</v>
      </c>
      <c r="H30" s="2470">
        <f t="shared" si="4"/>
        <v>8760</v>
      </c>
      <c r="J30" s="1887"/>
    </row>
    <row r="31" spans="1:10" x14ac:dyDescent="0.2">
      <c r="A31" s="2345" t="s">
        <v>220</v>
      </c>
      <c r="B31" s="2346" t="s">
        <v>275</v>
      </c>
      <c r="C31" s="2469">
        <f t="shared" ref="C31:H31" si="5">(C22*C29/C30*(C23+C27)*C28)/(C22*C29*C28)</f>
        <v>8.1321760604090993</v>
      </c>
      <c r="D31" s="2469">
        <f t="shared" si="5"/>
        <v>8.1316718777114119</v>
      </c>
      <c r="E31" s="2469">
        <f t="shared" si="5"/>
        <v>8.1346969738975421</v>
      </c>
      <c r="F31" s="2469">
        <f t="shared" si="5"/>
        <v>8.1346969738975439</v>
      </c>
      <c r="G31" s="2469">
        <f t="shared" si="5"/>
        <v>8.5291033665916078</v>
      </c>
      <c r="H31" s="2469">
        <f t="shared" si="5"/>
        <v>8.5291033665916078</v>
      </c>
      <c r="J31" s="1887"/>
    </row>
    <row r="32" spans="1:10" x14ac:dyDescent="0.2">
      <c r="A32" s="2345"/>
      <c r="B32" s="2348"/>
      <c r="C32" s="2349"/>
      <c r="D32" s="2349"/>
      <c r="E32" s="2349"/>
      <c r="F32" s="2349"/>
      <c r="G32" s="2349"/>
      <c r="H32" s="2349"/>
      <c r="J32" s="1887"/>
    </row>
    <row r="33" spans="1:10" ht="13.2" x14ac:dyDescent="0.25">
      <c r="A33" s="2110" t="s">
        <v>24</v>
      </c>
      <c r="B33" s="2342"/>
      <c r="C33" s="1839"/>
      <c r="D33" s="1839"/>
      <c r="E33" s="1839"/>
      <c r="F33" s="1839"/>
      <c r="G33" s="1839"/>
      <c r="H33" s="1839"/>
      <c r="J33" s="1887"/>
    </row>
    <row r="34" spans="1:10" ht="13.2" x14ac:dyDescent="0.25">
      <c r="A34" s="2353" t="s">
        <v>99</v>
      </c>
      <c r="B34" s="2354"/>
      <c r="C34" s="1485" t="s">
        <v>96</v>
      </c>
      <c r="D34" s="2349"/>
      <c r="E34" s="2349"/>
      <c r="F34" s="2349"/>
      <c r="G34" s="2349"/>
      <c r="H34" s="2349"/>
      <c r="J34" s="1887"/>
    </row>
    <row r="35" spans="1:10" ht="13.2" x14ac:dyDescent="0.25">
      <c r="A35" s="2471" t="s">
        <v>276</v>
      </c>
      <c r="B35" s="2354"/>
      <c r="C35" s="1485">
        <v>1</v>
      </c>
      <c r="D35" s="1485">
        <v>1</v>
      </c>
      <c r="E35" s="1485">
        <v>1</v>
      </c>
      <c r="F35" s="1485">
        <v>1</v>
      </c>
      <c r="G35" s="1485">
        <v>1</v>
      </c>
      <c r="H35" s="1485">
        <v>1</v>
      </c>
      <c r="J35" s="1887"/>
    </row>
    <row r="36" spans="1:10" x14ac:dyDescent="0.2">
      <c r="A36" s="2467" t="s">
        <v>277</v>
      </c>
      <c r="B36" s="2346"/>
      <c r="C36" s="1385">
        <v>8.0999999999999996E-3</v>
      </c>
      <c r="D36" s="1385">
        <v>8.0999999999999996E-3</v>
      </c>
      <c r="E36" s="1385">
        <v>8.0999999999999996E-3</v>
      </c>
      <c r="F36" s="1385">
        <v>8.0999999999999996E-3</v>
      </c>
      <c r="G36" s="1385">
        <v>8.0999999999999996E-3</v>
      </c>
      <c r="H36" s="1385">
        <v>8.0999999999999996E-3</v>
      </c>
      <c r="J36" s="1887"/>
    </row>
    <row r="37" spans="1:10" x14ac:dyDescent="0.2">
      <c r="A37" s="2345" t="s">
        <v>265</v>
      </c>
      <c r="B37" s="2348"/>
      <c r="C37" s="2381">
        <f t="shared" ref="C37:H38" si="6">C12</f>
        <v>87.17</v>
      </c>
      <c r="D37" s="2381">
        <f t="shared" si="6"/>
        <v>87.17</v>
      </c>
      <c r="E37" s="2381">
        <f t="shared" si="6"/>
        <v>87.17</v>
      </c>
      <c r="F37" s="2381">
        <f t="shared" si="6"/>
        <v>87.17</v>
      </c>
      <c r="G37" s="2381">
        <f t="shared" si="6"/>
        <v>87.17</v>
      </c>
      <c r="H37" s="2381">
        <f t="shared" si="6"/>
        <v>87.17</v>
      </c>
      <c r="J37" s="1887"/>
    </row>
    <row r="38" spans="1:10" x14ac:dyDescent="0.2">
      <c r="A38" s="2345" t="s">
        <v>266</v>
      </c>
      <c r="B38" s="2348"/>
      <c r="C38" s="2381">
        <f t="shared" si="6"/>
        <v>129.69999999999999</v>
      </c>
      <c r="D38" s="2381">
        <f t="shared" si="6"/>
        <v>129.33000000000001</v>
      </c>
      <c r="E38" s="2381">
        <f t="shared" si="6"/>
        <v>129.54</v>
      </c>
      <c r="F38" s="2381">
        <f t="shared" si="6"/>
        <v>129.54</v>
      </c>
      <c r="G38" s="2381">
        <f t="shared" si="6"/>
        <v>129.54</v>
      </c>
      <c r="H38" s="2381">
        <f t="shared" si="6"/>
        <v>129.54</v>
      </c>
      <c r="J38" s="1887"/>
    </row>
    <row r="39" spans="1:10" x14ac:dyDescent="0.2">
      <c r="A39" s="2467" t="s">
        <v>278</v>
      </c>
      <c r="B39" s="2348"/>
      <c r="C39" s="2472">
        <f t="shared" ref="C39:H39" si="7">C36*C38/C37</f>
        <v>1.2051967419983937E-2</v>
      </c>
      <c r="D39" s="2472">
        <f t="shared" si="7"/>
        <v>1.2017586325570725E-2</v>
      </c>
      <c r="E39" s="2472">
        <f t="shared" si="7"/>
        <v>1.203709991969714E-2</v>
      </c>
      <c r="F39" s="2472">
        <f t="shared" si="7"/>
        <v>1.203709991969714E-2</v>
      </c>
      <c r="G39" s="2472">
        <f t="shared" si="7"/>
        <v>1.203709991969714E-2</v>
      </c>
      <c r="H39" s="2472">
        <f t="shared" si="7"/>
        <v>1.203709991969714E-2</v>
      </c>
      <c r="J39" s="1887"/>
    </row>
    <row r="40" spans="1:10" ht="13.2" x14ac:dyDescent="0.25">
      <c r="A40" s="2471" t="s">
        <v>279</v>
      </c>
      <c r="B40" s="2346" t="str">
        <f>$C$8&amp;"/kWh"</f>
        <v>Euro/kWh</v>
      </c>
      <c r="C40" s="2472">
        <f t="shared" ref="C40:H40" si="8">C35*C39</f>
        <v>1.2051967419983937E-2</v>
      </c>
      <c r="D40" s="2472">
        <f t="shared" si="8"/>
        <v>1.2017586325570725E-2</v>
      </c>
      <c r="E40" s="2472">
        <f t="shared" si="8"/>
        <v>1.203709991969714E-2</v>
      </c>
      <c r="F40" s="2472">
        <f t="shared" si="8"/>
        <v>1.203709991969714E-2</v>
      </c>
      <c r="G40" s="2472">
        <f t="shared" si="8"/>
        <v>1.203709991969714E-2</v>
      </c>
      <c r="H40" s="2472">
        <f t="shared" si="8"/>
        <v>1.203709991969714E-2</v>
      </c>
      <c r="J40" s="1887"/>
    </row>
    <row r="41" spans="1:10" ht="13.2" x14ac:dyDescent="0.25">
      <c r="A41" s="2353"/>
      <c r="B41" s="2354"/>
      <c r="C41" s="2349"/>
      <c r="D41" s="2349"/>
      <c r="E41" s="2349"/>
      <c r="F41" s="2349"/>
      <c r="G41" s="2349"/>
      <c r="H41" s="2349"/>
      <c r="J41" s="1887"/>
    </row>
    <row r="42" spans="1:10" ht="13.2" x14ac:dyDescent="0.25">
      <c r="A42" s="2353"/>
      <c r="B42" s="2354"/>
      <c r="D42" s="2349"/>
      <c r="E42" s="2349"/>
      <c r="F42" s="2349"/>
      <c r="G42" s="2349"/>
      <c r="H42" s="2349"/>
      <c r="J42" s="1887"/>
    </row>
    <row r="43" spans="1:10" ht="13.2" x14ac:dyDescent="0.25">
      <c r="A43" s="2353" t="s">
        <v>99</v>
      </c>
      <c r="B43" s="2354"/>
      <c r="C43" s="1485" t="s">
        <v>94</v>
      </c>
      <c r="D43" s="2349"/>
      <c r="E43" s="2349"/>
      <c r="F43" s="2349"/>
      <c r="G43" s="2349"/>
      <c r="H43" s="2349"/>
      <c r="J43" s="1887"/>
    </row>
    <row r="44" spans="1:10" ht="13.2" x14ac:dyDescent="0.25">
      <c r="A44" s="2353" t="s">
        <v>859</v>
      </c>
      <c r="B44" s="2354"/>
      <c r="C44" s="2473">
        <f>Inputs!C50/((0.92013428/1000)*42656000)</f>
        <v>4.5096405588944911E-3</v>
      </c>
      <c r="D44" s="2473">
        <f>Inputs!D50/((0.92013428/1000)*42656000)</f>
        <v>4.2803368016625671E-3</v>
      </c>
      <c r="E44" s="2473">
        <f>Inputs!E50/((0.92013428/1000)*42656000)</f>
        <v>4.2803368016625671E-3</v>
      </c>
      <c r="F44" s="2473">
        <f>Inputs!F50/((0.92013428/1000)*42656000)</f>
        <v>4.2803368016625671E-3</v>
      </c>
      <c r="G44" s="2473">
        <f>Inputs!G50/((0.92013428/1000)*42656000)</f>
        <v>4.2803368016625671E-3</v>
      </c>
      <c r="H44" s="2473">
        <f>Inputs!H50/((0.92013428/1000)*42656000)</f>
        <v>4.2803368016625671E-3</v>
      </c>
      <c r="J44" s="1887"/>
    </row>
    <row r="45" spans="1:10" ht="13.2" x14ac:dyDescent="0.25">
      <c r="A45" s="2353" t="s">
        <v>280</v>
      </c>
      <c r="B45" s="2354"/>
      <c r="C45" s="2347">
        <v>6720</v>
      </c>
      <c r="D45" s="2347">
        <v>6720</v>
      </c>
      <c r="E45" s="2347">
        <v>6720</v>
      </c>
      <c r="F45" s="2347">
        <v>6720</v>
      </c>
      <c r="G45" s="2347">
        <v>6720</v>
      </c>
      <c r="H45" s="2347">
        <v>6720</v>
      </c>
      <c r="J45" s="1887"/>
    </row>
    <row r="46" spans="1:10" ht="13.2" x14ac:dyDescent="0.25">
      <c r="A46" s="2353" t="s">
        <v>1180</v>
      </c>
      <c r="B46" s="2354"/>
      <c r="C46" s="2473">
        <f t="shared" ref="C46:H46" si="9">1000000/(C9*C28)*1.76</f>
        <v>9.0534979423868318</v>
      </c>
      <c r="D46" s="2473">
        <f t="shared" si="9"/>
        <v>9.0534979423868318</v>
      </c>
      <c r="E46" s="2473">
        <f t="shared" si="9"/>
        <v>9.0534979423868318</v>
      </c>
      <c r="F46" s="2473">
        <f t="shared" si="9"/>
        <v>9.0534979423868318</v>
      </c>
      <c r="G46" s="2473">
        <f t="shared" si="9"/>
        <v>9.3121693121693117</v>
      </c>
      <c r="H46" s="2473">
        <f t="shared" si="9"/>
        <v>9.3121693121693117</v>
      </c>
      <c r="J46" s="1887"/>
    </row>
    <row r="47" spans="1:10" ht="13.2" x14ac:dyDescent="0.25">
      <c r="A47" s="2474" t="s">
        <v>512</v>
      </c>
      <c r="B47" s="2354"/>
      <c r="C47" s="2691">
        <f t="shared" ref="C47:H47" si="10">C46*C81</f>
        <v>0</v>
      </c>
      <c r="D47" s="2691">
        <f t="shared" si="10"/>
        <v>0</v>
      </c>
      <c r="E47" s="2691">
        <f t="shared" si="10"/>
        <v>0</v>
      </c>
      <c r="F47" s="2691">
        <f t="shared" si="10"/>
        <v>1359.7693004115226</v>
      </c>
      <c r="G47" s="2691">
        <f t="shared" si="10"/>
        <v>1216.3462433862433</v>
      </c>
      <c r="H47" s="2691">
        <f t="shared" si="10"/>
        <v>1254.7654603174601</v>
      </c>
      <c r="J47" s="1887"/>
    </row>
    <row r="48" spans="1:10" ht="13.2" x14ac:dyDescent="0.25">
      <c r="A48" s="2467" t="s">
        <v>281</v>
      </c>
      <c r="B48" s="2354"/>
      <c r="C48" s="2347">
        <v>0.2104</v>
      </c>
      <c r="D48" s="2347">
        <v>0.2104</v>
      </c>
      <c r="E48" s="2347">
        <v>0.2104</v>
      </c>
      <c r="F48" s="2347">
        <v>0.2104</v>
      </c>
      <c r="G48" s="2347">
        <v>0.2104</v>
      </c>
      <c r="H48" s="2347">
        <v>0.2104</v>
      </c>
      <c r="J48" s="1887"/>
    </row>
    <row r="49" spans="1:20" x14ac:dyDescent="0.2">
      <c r="A49" s="2345" t="s">
        <v>272</v>
      </c>
      <c r="B49" s="2348"/>
      <c r="C49" s="2381">
        <f t="shared" ref="C49:H50" si="11">C25</f>
        <v>44.47</v>
      </c>
      <c r="D49" s="2381">
        <f t="shared" si="11"/>
        <v>44.47</v>
      </c>
      <c r="E49" s="2381">
        <f t="shared" si="11"/>
        <v>44.47</v>
      </c>
      <c r="F49" s="2381">
        <f t="shared" si="11"/>
        <v>44.47</v>
      </c>
      <c r="G49" s="2381">
        <f t="shared" si="11"/>
        <v>44.47</v>
      </c>
      <c r="H49" s="2381">
        <f t="shared" si="11"/>
        <v>44.47</v>
      </c>
      <c r="J49" s="1887"/>
    </row>
    <row r="50" spans="1:20" x14ac:dyDescent="0.2">
      <c r="A50" s="2345" t="s">
        <v>273</v>
      </c>
      <c r="B50" s="2348"/>
      <c r="C50" s="2381">
        <f t="shared" si="11"/>
        <v>193.8</v>
      </c>
      <c r="D50" s="2381">
        <f t="shared" si="11"/>
        <v>193.4</v>
      </c>
      <c r="E50" s="2381">
        <f t="shared" si="11"/>
        <v>195.8</v>
      </c>
      <c r="F50" s="2381">
        <f t="shared" si="11"/>
        <v>195.8</v>
      </c>
      <c r="G50" s="2381">
        <f t="shared" si="11"/>
        <v>195.8</v>
      </c>
      <c r="H50" s="2381">
        <f t="shared" si="11"/>
        <v>195.8</v>
      </c>
      <c r="J50" s="1887"/>
    </row>
    <row r="51" spans="1:20" ht="13.2" x14ac:dyDescent="0.25">
      <c r="A51" s="2467" t="s">
        <v>282</v>
      </c>
      <c r="B51" s="2354"/>
      <c r="C51" s="2475">
        <f t="shared" ref="C51:H51" si="12">C48*C50/C49</f>
        <v>0.91692196986732633</v>
      </c>
      <c r="D51" s="2475">
        <f t="shared" si="12"/>
        <v>0.91502945806161462</v>
      </c>
      <c r="E51" s="2475">
        <f t="shared" si="12"/>
        <v>0.92638452889588485</v>
      </c>
      <c r="F51" s="2475">
        <f t="shared" si="12"/>
        <v>0.92638452889588485</v>
      </c>
      <c r="G51" s="2475">
        <f t="shared" si="12"/>
        <v>0.92638452889588485</v>
      </c>
      <c r="H51" s="2475">
        <f t="shared" si="12"/>
        <v>0.92638452889588485</v>
      </c>
      <c r="J51" s="1887"/>
    </row>
    <row r="52" spans="1:20" ht="13.2" x14ac:dyDescent="0.25">
      <c r="A52" s="2467" t="s">
        <v>283</v>
      </c>
      <c r="B52" s="2354"/>
      <c r="C52" s="1380">
        <v>312000000</v>
      </c>
      <c r="D52" s="1380">
        <v>312000000</v>
      </c>
      <c r="E52" s="1380">
        <v>312000000</v>
      </c>
      <c r="F52" s="1380">
        <v>312000000</v>
      </c>
      <c r="G52" s="1380">
        <v>312000000</v>
      </c>
      <c r="H52" s="1380">
        <v>312000000</v>
      </c>
      <c r="J52" s="1887"/>
    </row>
    <row r="53" spans="1:20" ht="13.2" x14ac:dyDescent="0.25">
      <c r="A53" s="2471" t="s">
        <v>284</v>
      </c>
      <c r="B53" s="2346" t="s">
        <v>275</v>
      </c>
      <c r="C53" s="2475">
        <f t="shared" ref="C53:H53" si="13">IF(C81=0,0,((C81*1000000*C45+C47*C52)*C44+C81*1000000*C51)/(C81*1000000))</f>
        <v>0</v>
      </c>
      <c r="D53" s="2475">
        <f t="shared" si="13"/>
        <v>0</v>
      </c>
      <c r="E53" s="2475">
        <f t="shared" si="13"/>
        <v>0</v>
      </c>
      <c r="F53" s="2475">
        <f t="shared" si="13"/>
        <v>41.780878209159631</v>
      </c>
      <c r="G53" s="2475">
        <f t="shared" si="13"/>
        <v>42.12632479124796</v>
      </c>
      <c r="H53" s="2475">
        <f t="shared" si="13"/>
        <v>42.12632479124796</v>
      </c>
      <c r="J53" s="1887"/>
    </row>
    <row r="54" spans="1:20" ht="13.2" x14ac:dyDescent="0.25">
      <c r="A54" s="2353"/>
      <c r="B54" s="2354"/>
      <c r="C54" s="2349"/>
      <c r="D54" s="2349"/>
      <c r="E54" s="2349"/>
      <c r="F54" s="2349"/>
      <c r="G54" s="2349"/>
      <c r="H54" s="2349"/>
      <c r="J54" s="1887"/>
    </row>
    <row r="55" spans="1:20" ht="12.75" customHeight="1" x14ac:dyDescent="0.25">
      <c r="A55" s="2110" t="s">
        <v>483</v>
      </c>
      <c r="B55" s="2342"/>
      <c r="C55" s="1839"/>
      <c r="D55" s="1839"/>
      <c r="E55" s="1839"/>
      <c r="F55" s="1839"/>
      <c r="G55" s="2378"/>
      <c r="H55" s="2378"/>
      <c r="J55" s="1887"/>
    </row>
    <row r="56" spans="1:20" ht="12.75" customHeight="1" x14ac:dyDescent="0.2">
      <c r="A56" s="2476" t="s">
        <v>586</v>
      </c>
      <c r="B56" s="2977" t="s">
        <v>471</v>
      </c>
      <c r="C56" s="1383">
        <v>1670759</v>
      </c>
      <c r="D56" s="1383">
        <v>1670759</v>
      </c>
      <c r="E56" s="1383">
        <v>1670759</v>
      </c>
      <c r="F56" s="1383">
        <v>1670759</v>
      </c>
      <c r="G56" s="1383">
        <v>1670759</v>
      </c>
      <c r="H56" s="1383">
        <v>1670759</v>
      </c>
      <c r="J56" s="1887"/>
    </row>
    <row r="57" spans="1:20" ht="12.75" customHeight="1" x14ac:dyDescent="0.2">
      <c r="A57" s="2477" t="s">
        <v>587</v>
      </c>
      <c r="B57" s="2978"/>
      <c r="C57" s="1383">
        <v>1670759</v>
      </c>
      <c r="D57" s="1383">
        <v>1670759</v>
      </c>
      <c r="E57" s="1383">
        <v>1670759</v>
      </c>
      <c r="F57" s="1383">
        <v>1670759</v>
      </c>
      <c r="G57" s="1383">
        <v>1670759</v>
      </c>
      <c r="H57" s="1383">
        <v>1670759</v>
      </c>
      <c r="J57" s="1887"/>
    </row>
    <row r="58" spans="1:20" ht="12.75" customHeight="1" x14ac:dyDescent="0.2">
      <c r="A58" s="2477" t="s">
        <v>485</v>
      </c>
      <c r="B58" s="2978"/>
      <c r="C58" s="1383">
        <v>1670759</v>
      </c>
      <c r="D58" s="1383">
        <v>1670759</v>
      </c>
      <c r="E58" s="1383">
        <v>1670759</v>
      </c>
      <c r="F58" s="1383">
        <v>1670759</v>
      </c>
      <c r="G58" s="1383">
        <v>1670759</v>
      </c>
      <c r="H58" s="1383">
        <v>1670759</v>
      </c>
      <c r="J58" s="1887"/>
    </row>
    <row r="59" spans="1:20" ht="12.75" customHeight="1" x14ac:dyDescent="0.2">
      <c r="A59" s="2477" t="s">
        <v>486</v>
      </c>
      <c r="B59" s="2978"/>
      <c r="C59" s="1383">
        <v>1670759</v>
      </c>
      <c r="D59" s="1383">
        <v>1670759</v>
      </c>
      <c r="E59" s="1383">
        <v>1670759</v>
      </c>
      <c r="F59" s="1383">
        <v>1670759</v>
      </c>
      <c r="G59" s="1383">
        <v>1670759</v>
      </c>
      <c r="H59" s="1383">
        <v>1670759</v>
      </c>
      <c r="J59" s="1887"/>
    </row>
    <row r="60" spans="1:20" ht="12.75" customHeight="1" x14ac:dyDescent="0.25">
      <c r="A60" s="2477" t="s">
        <v>860</v>
      </c>
      <c r="B60" s="2478" t="s">
        <v>488</v>
      </c>
      <c r="C60" s="1379">
        <v>1.05627E-3</v>
      </c>
      <c r="D60" s="1379">
        <v>1.05627E-3</v>
      </c>
      <c r="E60" s="1379">
        <v>1.05627E-3</v>
      </c>
      <c r="F60" s="1379">
        <v>1.05627E-3</v>
      </c>
      <c r="G60" s="1379">
        <v>1.05627E-3</v>
      </c>
      <c r="H60" s="1379">
        <v>1.05627E-3</v>
      </c>
      <c r="J60" s="1887"/>
    </row>
    <row r="61" spans="1:20" s="2481" customFormat="1" ht="12.75" customHeight="1" x14ac:dyDescent="0.2">
      <c r="A61" s="2479" t="s">
        <v>835</v>
      </c>
      <c r="B61" s="2480"/>
      <c r="C61" s="1450">
        <v>0</v>
      </c>
      <c r="D61" s="1450">
        <v>0</v>
      </c>
      <c r="E61" s="1450">
        <v>0</v>
      </c>
      <c r="F61" s="1450">
        <v>0</v>
      </c>
      <c r="G61" s="1450">
        <v>0</v>
      </c>
      <c r="H61" s="1450">
        <v>0</v>
      </c>
      <c r="I61" s="1463"/>
      <c r="J61" s="1887"/>
      <c r="K61" s="1463"/>
      <c r="L61" s="1463"/>
      <c r="M61" s="1463"/>
      <c r="N61" s="1463"/>
      <c r="O61" s="1463"/>
      <c r="P61" s="1463"/>
      <c r="Q61" s="1463"/>
      <c r="R61" s="1463"/>
      <c r="S61" s="1463"/>
      <c r="T61" s="1463"/>
    </row>
    <row r="62" spans="1:20" s="2481" customFormat="1" ht="12.75" customHeight="1" x14ac:dyDescent="0.2">
      <c r="A62" s="2479" t="s">
        <v>587</v>
      </c>
      <c r="B62" s="2480"/>
      <c r="C62" s="1450">
        <v>2</v>
      </c>
      <c r="D62" s="1450">
        <v>2</v>
      </c>
      <c r="E62" s="1450">
        <v>2</v>
      </c>
      <c r="F62" s="1450">
        <v>30</v>
      </c>
      <c r="G62" s="1450">
        <v>28</v>
      </c>
      <c r="H62" s="1450">
        <v>30</v>
      </c>
      <c r="I62" s="1463"/>
      <c r="J62" s="1887"/>
      <c r="K62" s="2482"/>
      <c r="L62" s="2482"/>
      <c r="M62" s="2482"/>
      <c r="N62" s="2482"/>
      <c r="O62" s="1463"/>
      <c r="P62" s="1463"/>
      <c r="Q62" s="1463"/>
      <c r="R62" s="1463"/>
      <c r="S62" s="1463"/>
      <c r="T62" s="1463"/>
    </row>
    <row r="63" spans="1:20" s="2481" customFormat="1" ht="12.75" customHeight="1" x14ac:dyDescent="0.25">
      <c r="A63" s="2479" t="s">
        <v>485</v>
      </c>
      <c r="B63" s="2483"/>
      <c r="C63" s="1450">
        <v>15</v>
      </c>
      <c r="D63" s="1450">
        <v>15</v>
      </c>
      <c r="E63" s="1450">
        <v>15</v>
      </c>
      <c r="F63" s="1450">
        <v>0</v>
      </c>
      <c r="G63" s="1450">
        <v>3</v>
      </c>
      <c r="H63" s="1450">
        <v>0</v>
      </c>
      <c r="I63" s="1463"/>
      <c r="J63" s="1887"/>
      <c r="K63" s="2482"/>
      <c r="L63" s="2482"/>
      <c r="M63" s="2482"/>
      <c r="N63" s="2482"/>
      <c r="O63" s="1463"/>
      <c r="P63" s="1463"/>
      <c r="Q63" s="1463"/>
      <c r="R63" s="1463"/>
      <c r="S63" s="1463"/>
      <c r="T63" s="1463"/>
    </row>
    <row r="64" spans="1:20" s="2481" customFormat="1" ht="12.75" customHeight="1" x14ac:dyDescent="0.25">
      <c r="A64" s="2479" t="s">
        <v>486</v>
      </c>
      <c r="B64" s="2483"/>
      <c r="C64" s="1450">
        <v>1</v>
      </c>
      <c r="D64" s="1450">
        <v>1</v>
      </c>
      <c r="E64" s="1450">
        <v>1</v>
      </c>
      <c r="F64" s="1450">
        <v>0</v>
      </c>
      <c r="G64" s="1450">
        <v>0</v>
      </c>
      <c r="H64" s="1450">
        <v>0</v>
      </c>
      <c r="I64" s="1463"/>
      <c r="J64" s="1887"/>
      <c r="K64" s="2482"/>
      <c r="L64" s="2482"/>
      <c r="M64" s="2482"/>
      <c r="N64" s="2482"/>
      <c r="O64" s="1463"/>
      <c r="P64" s="1463"/>
      <c r="Q64" s="1463"/>
      <c r="R64" s="1463"/>
      <c r="S64" s="1463"/>
      <c r="T64" s="1463"/>
    </row>
    <row r="65" spans="1:14" ht="12.75" customHeight="1" x14ac:dyDescent="0.25">
      <c r="A65" s="2477" t="s">
        <v>588</v>
      </c>
      <c r="B65" s="2478" t="s">
        <v>475</v>
      </c>
      <c r="C65" s="2484">
        <f t="shared" ref="C65:H65" si="14">C61*C56*(0.9*(C44/$C$60)+0.1*(C26/$C$25))</f>
        <v>0</v>
      </c>
      <c r="D65" s="2484">
        <f t="shared" si="14"/>
        <v>0</v>
      </c>
      <c r="E65" s="2484">
        <f t="shared" si="14"/>
        <v>0</v>
      </c>
      <c r="F65" s="2484">
        <f t="shared" si="14"/>
        <v>0</v>
      </c>
      <c r="G65" s="2484">
        <f t="shared" si="14"/>
        <v>0</v>
      </c>
      <c r="H65" s="2484">
        <f t="shared" si="14"/>
        <v>0</v>
      </c>
      <c r="J65" s="1887"/>
      <c r="K65" s="2485"/>
      <c r="L65" s="2485"/>
      <c r="M65" s="2485"/>
      <c r="N65" s="2485"/>
    </row>
    <row r="66" spans="1:14" ht="12.75" customHeight="1" x14ac:dyDescent="0.25">
      <c r="A66" s="2477" t="s">
        <v>587</v>
      </c>
      <c r="B66" s="2478" t="s">
        <v>475</v>
      </c>
      <c r="C66" s="2484">
        <f t="shared" ref="C66:H66" si="15">C62*C57*(0.9*(C44/C60)+0.1*(C26/C25))</f>
        <v>14295884.890524585</v>
      </c>
      <c r="D66" s="2484">
        <f t="shared" si="15"/>
        <v>13640015.525458483</v>
      </c>
      <c r="E66" s="2484">
        <f t="shared" si="15"/>
        <v>13658049.353207529</v>
      </c>
      <c r="F66" s="2484">
        <f t="shared" si="15"/>
        <v>204870740.29811293</v>
      </c>
      <c r="G66" s="2484">
        <f t="shared" si="15"/>
        <v>191212690.9449054</v>
      </c>
      <c r="H66" s="2484">
        <f t="shared" si="15"/>
        <v>204870740.29811293</v>
      </c>
      <c r="J66" s="1887"/>
    </row>
    <row r="67" spans="1:14" ht="12.75" customHeight="1" x14ac:dyDescent="0.25">
      <c r="A67" s="2477" t="s">
        <v>485</v>
      </c>
      <c r="B67" s="2478" t="s">
        <v>475</v>
      </c>
      <c r="C67" s="2484">
        <f t="shared" ref="C67:H67" si="16">C63*C58*(0.9*(C44/C60)+0.1*(C26/C25))</f>
        <v>107219136.6789344</v>
      </c>
      <c r="D67" s="2484">
        <f t="shared" si="16"/>
        <v>102300116.44093862</v>
      </c>
      <c r="E67" s="2484">
        <f t="shared" si="16"/>
        <v>102435370.14905646</v>
      </c>
      <c r="F67" s="2484">
        <f t="shared" si="16"/>
        <v>0</v>
      </c>
      <c r="G67" s="2484">
        <f t="shared" si="16"/>
        <v>20487074.029811293</v>
      </c>
      <c r="H67" s="2484">
        <f t="shared" si="16"/>
        <v>0</v>
      </c>
      <c r="J67" s="1887"/>
      <c r="K67" s="1837"/>
      <c r="L67" s="1837"/>
      <c r="M67" s="1837"/>
      <c r="N67" s="1837"/>
    </row>
    <row r="68" spans="1:14" ht="12.75" customHeight="1" x14ac:dyDescent="0.25">
      <c r="A68" s="2477" t="s">
        <v>486</v>
      </c>
      <c r="B68" s="2478" t="s">
        <v>475</v>
      </c>
      <c r="C68" s="2484">
        <f t="shared" ref="C68:H68" si="17">C64*C59*(0.9*(C44/C60)+0.1*(C26/C25))</f>
        <v>7147942.4452622924</v>
      </c>
      <c r="D68" s="2484">
        <f t="shared" si="17"/>
        <v>6820007.7627292415</v>
      </c>
      <c r="E68" s="2484">
        <f t="shared" si="17"/>
        <v>6829024.6766037643</v>
      </c>
      <c r="F68" s="2484">
        <f t="shared" si="17"/>
        <v>0</v>
      </c>
      <c r="G68" s="2484">
        <f t="shared" si="17"/>
        <v>0</v>
      </c>
      <c r="H68" s="2484">
        <f t="shared" si="17"/>
        <v>0</v>
      </c>
      <c r="J68" s="1887"/>
    </row>
    <row r="69" spans="1:14" ht="12.75" customHeight="1" x14ac:dyDescent="0.25">
      <c r="A69" s="2477" t="s">
        <v>490</v>
      </c>
      <c r="B69" s="2478" t="s">
        <v>491</v>
      </c>
      <c r="C69" s="2486">
        <f t="shared" ref="C69:H69" si="18">IF(C81=0,0,(C68+C67+C65+C66)/1000000)</f>
        <v>0</v>
      </c>
      <c r="D69" s="2486">
        <f t="shared" si="18"/>
        <v>0</v>
      </c>
      <c r="E69" s="2486">
        <f t="shared" si="18"/>
        <v>0</v>
      </c>
      <c r="F69" s="2486">
        <f t="shared" si="18"/>
        <v>204.87074029811293</v>
      </c>
      <c r="G69" s="2486">
        <f t="shared" si="18"/>
        <v>211.69976497471669</v>
      </c>
      <c r="H69" s="2486">
        <f t="shared" si="18"/>
        <v>204.87074029811293</v>
      </c>
      <c r="J69" s="1887"/>
    </row>
    <row r="70" spans="1:14" ht="12.75" customHeight="1" x14ac:dyDescent="0.3">
      <c r="A70" s="2487"/>
      <c r="B70" s="2487"/>
      <c r="C70" s="2349"/>
      <c r="D70" s="2349"/>
      <c r="E70" s="2349"/>
      <c r="F70" s="2349"/>
      <c r="G70" s="2349"/>
      <c r="H70" s="2349"/>
      <c r="J70" s="1887"/>
      <c r="K70" s="402"/>
      <c r="L70" s="402"/>
      <c r="M70" s="402"/>
      <c r="N70" s="402"/>
    </row>
    <row r="71" spans="1:14" ht="12.75" customHeight="1" x14ac:dyDescent="0.25">
      <c r="A71" s="2110" t="s">
        <v>189</v>
      </c>
      <c r="B71" s="2342"/>
      <c r="C71" s="1839"/>
      <c r="D71" s="1839"/>
      <c r="E71" s="1839"/>
      <c r="F71" s="1839"/>
      <c r="G71" s="1839"/>
      <c r="H71" s="1839"/>
      <c r="J71" s="1887"/>
    </row>
    <row r="72" spans="1:14" ht="12.75" customHeight="1" x14ac:dyDescent="0.25">
      <c r="A72" s="2353" t="s">
        <v>190</v>
      </c>
      <c r="B72" s="2346" t="s">
        <v>60</v>
      </c>
      <c r="C72" s="1379"/>
      <c r="D72" s="1379"/>
      <c r="E72" s="1379"/>
      <c r="F72" s="1379"/>
      <c r="G72" s="1379"/>
      <c r="H72" s="1379"/>
      <c r="J72" s="1887"/>
    </row>
    <row r="73" spans="1:14" ht="12.75" customHeight="1" x14ac:dyDescent="0.25">
      <c r="A73" s="2353" t="s">
        <v>191</v>
      </c>
      <c r="B73" s="2346" t="s">
        <v>60</v>
      </c>
      <c r="C73" s="1379"/>
      <c r="D73" s="1379"/>
      <c r="E73" s="1379"/>
      <c r="F73" s="1379"/>
      <c r="G73" s="1379"/>
      <c r="H73" s="1379"/>
      <c r="J73" s="1887"/>
    </row>
    <row r="74" spans="1:14" ht="12.75" customHeight="1" x14ac:dyDescent="0.25">
      <c r="A74" s="2353" t="s">
        <v>1380</v>
      </c>
      <c r="B74" s="2346" t="s">
        <v>60</v>
      </c>
      <c r="C74" s="1379">
        <v>135</v>
      </c>
      <c r="D74" s="1379">
        <v>135</v>
      </c>
      <c r="E74" s="1379">
        <v>135</v>
      </c>
      <c r="F74" s="1379">
        <v>135</v>
      </c>
      <c r="G74" s="1379">
        <v>135</v>
      </c>
      <c r="H74" s="1379">
        <v>135</v>
      </c>
      <c r="J74" s="1887"/>
    </row>
    <row r="75" spans="1:14" ht="12.75" customHeight="1" x14ac:dyDescent="0.25">
      <c r="A75" s="2353"/>
      <c r="B75" s="2346"/>
      <c r="C75" s="2488"/>
      <c r="D75" s="2488"/>
      <c r="E75" s="2488"/>
      <c r="F75" s="2488"/>
      <c r="G75" s="2488"/>
      <c r="H75" s="2488"/>
      <c r="J75" s="1887"/>
    </row>
    <row r="76" spans="1:14" ht="12.75" customHeight="1" x14ac:dyDescent="0.25">
      <c r="A76" s="2110" t="s">
        <v>145</v>
      </c>
      <c r="B76" s="1465" t="s">
        <v>96</v>
      </c>
      <c r="C76" s="2391">
        <f>Inputs!C23</f>
        <v>377.505</v>
      </c>
      <c r="D76" s="2391">
        <f>Inputs!D23</f>
        <v>377.505</v>
      </c>
      <c r="E76" s="2391">
        <f>Inputs!E23</f>
        <v>377.505</v>
      </c>
      <c r="F76" s="2391">
        <f>Inputs!F23</f>
        <v>377.505</v>
      </c>
      <c r="G76" s="2391">
        <f>Inputs!G23</f>
        <v>377.505</v>
      </c>
      <c r="H76" s="2391">
        <f>Inputs!H23</f>
        <v>377.505</v>
      </c>
      <c r="J76" s="1887"/>
    </row>
    <row r="77" spans="1:14" ht="13.2" thickBot="1" x14ac:dyDescent="0.25">
      <c r="A77" s="2345"/>
      <c r="B77" s="2348"/>
      <c r="C77" s="2349"/>
      <c r="D77" s="2349"/>
      <c r="E77" s="2349"/>
      <c r="F77" s="2349"/>
      <c r="G77" s="2349"/>
      <c r="H77" s="2349"/>
    </row>
    <row r="78" spans="1:14" x14ac:dyDescent="0.2">
      <c r="A78" s="2453" t="s">
        <v>148</v>
      </c>
      <c r="B78" s="2454" t="s">
        <v>60</v>
      </c>
      <c r="C78" s="2489">
        <f>(C18*C76+C31)*(C9*C16*C15)/1000000+C73+C74</f>
        <v>1458.6681605117362</v>
      </c>
      <c r="D78" s="2489">
        <f t="shared" ref="D78:H78" si="19">(D18*D76+D31)*(D9*D16*D15)/1000000+D73+D74</f>
        <v>1330.1253644467904</v>
      </c>
      <c r="E78" s="2489">
        <f t="shared" si="19"/>
        <v>1458.8508328224391</v>
      </c>
      <c r="F78" s="2489">
        <f t="shared" si="19"/>
        <v>1416.1459672475219</v>
      </c>
      <c r="G78" s="2489">
        <f>(G18*G76+G31)*(G9*G16*G15)/1000000+G73+G74</f>
        <v>1477.5370478924401</v>
      </c>
      <c r="H78" s="2489">
        <f t="shared" si="19"/>
        <v>1434.2294011862321</v>
      </c>
      <c r="I78" s="2490"/>
    </row>
    <row r="79" spans="1:14" x14ac:dyDescent="0.2">
      <c r="A79" s="2345" t="s">
        <v>149</v>
      </c>
      <c r="B79" s="2346" t="s">
        <v>60</v>
      </c>
      <c r="C79" s="2491">
        <f>((C40*C76+C53)*C81)+C69</f>
        <v>0</v>
      </c>
      <c r="D79" s="2491">
        <f t="shared" ref="D79:H79" si="20">((D40*D76+D53)*D81)+D69</f>
        <v>0</v>
      </c>
      <c r="E79" s="2491">
        <f t="shared" si="20"/>
        <v>0</v>
      </c>
      <c r="F79" s="2491">
        <f t="shared" si="20"/>
        <v>7162.5390990843325</v>
      </c>
      <c r="G79" s="2491">
        <f>((G40*G76+G53)*G81)+G69</f>
        <v>6307.7394620426285</v>
      </c>
      <c r="H79" s="2491">
        <f t="shared" si="20"/>
        <v>6493.4584661994495</v>
      </c>
      <c r="I79" s="2492"/>
    </row>
    <row r="80" spans="1:14" x14ac:dyDescent="0.2">
      <c r="A80" s="2493" t="s">
        <v>150</v>
      </c>
      <c r="B80" s="2494" t="s">
        <v>39</v>
      </c>
      <c r="C80" s="2495">
        <v>270</v>
      </c>
      <c r="D80" s="2495">
        <v>270</v>
      </c>
      <c r="E80" s="2495">
        <v>270</v>
      </c>
      <c r="F80" s="2495">
        <v>270</v>
      </c>
      <c r="G80" s="2495">
        <v>270</v>
      </c>
      <c r="H80" s="2496">
        <v>270</v>
      </c>
      <c r="I80" s="1831"/>
    </row>
    <row r="81" spans="1:9" x14ac:dyDescent="0.2">
      <c r="A81" s="2497" t="s">
        <v>134</v>
      </c>
      <c r="B81" s="2433" t="s">
        <v>56</v>
      </c>
      <c r="C81" s="1389">
        <f>DispatchSchedule!F49</f>
        <v>0</v>
      </c>
      <c r="D81" s="1389">
        <f>DispatchSchedule!G49</f>
        <v>0</v>
      </c>
      <c r="E81" s="1389">
        <f>DispatchSchedule!H49</f>
        <v>0</v>
      </c>
      <c r="F81" s="1389">
        <f>DispatchSchedule!I49</f>
        <v>150.1927</v>
      </c>
      <c r="G81" s="1389">
        <f>DispatchSchedule!J49</f>
        <v>130.619</v>
      </c>
      <c r="H81" s="1389">
        <f>DispatchSchedule!K49</f>
        <v>134.74469999999999</v>
      </c>
      <c r="I81" s="1831"/>
    </row>
    <row r="82" spans="1:9" ht="13.8" thickBot="1" x14ac:dyDescent="0.3">
      <c r="A82" s="2461" t="s">
        <v>135</v>
      </c>
      <c r="B82" s="2462" t="s">
        <v>88</v>
      </c>
      <c r="C82" s="2808">
        <f>IF(C81=0,0,(C79/C81))</f>
        <v>0</v>
      </c>
      <c r="D82" s="2808">
        <f t="shared" ref="D82:H82" si="21">IF(D81=0,0,(D79/D81))</f>
        <v>0</v>
      </c>
      <c r="E82" s="2808">
        <f t="shared" si="21"/>
        <v>0</v>
      </c>
      <c r="F82" s="2808">
        <f t="shared" si="21"/>
        <v>47.688996196781417</v>
      </c>
      <c r="G82" s="2808">
        <f t="shared" si="21"/>
        <v>48.291132699244585</v>
      </c>
      <c r="H82" s="2808">
        <f t="shared" si="21"/>
        <v>48.190826549760025</v>
      </c>
      <c r="I82" s="1837"/>
    </row>
    <row r="83" spans="1:9" x14ac:dyDescent="0.2">
      <c r="A83" s="1839" t="s">
        <v>806</v>
      </c>
      <c r="B83" s="1475" t="s">
        <v>88</v>
      </c>
      <c r="C83" s="2411" t="e">
        <f>C78/C81</f>
        <v>#DIV/0!</v>
      </c>
      <c r="D83" s="2411" t="e">
        <f t="shared" ref="D83:H83" si="22">D78/D81</f>
        <v>#DIV/0!</v>
      </c>
      <c r="E83" s="2411" t="e">
        <f t="shared" si="22"/>
        <v>#DIV/0!</v>
      </c>
      <c r="F83" s="2411">
        <f t="shared" si="22"/>
        <v>9.4288601726150603</v>
      </c>
      <c r="G83" s="2411">
        <f>IF(G81&gt;0, G78/G81,0)</f>
        <v>11.311807990356993</v>
      </c>
      <c r="H83" s="2411">
        <f t="shared" si="22"/>
        <v>10.644050572573407</v>
      </c>
    </row>
    <row r="84" spans="1:9" x14ac:dyDescent="0.2">
      <c r="A84" s="1839" t="s">
        <v>806</v>
      </c>
      <c r="B84" s="1475" t="s">
        <v>1055</v>
      </c>
      <c r="C84" s="2411">
        <f>C78*1000/C80</f>
        <v>5402.4746685619866</v>
      </c>
      <c r="D84" s="2411">
        <f t="shared" ref="D84:H84" si="23">D78*1000/D80</f>
        <v>4926.3902386918162</v>
      </c>
      <c r="E84" s="2411">
        <f t="shared" si="23"/>
        <v>5403.1512326757002</v>
      </c>
      <c r="F84" s="2411">
        <f t="shared" si="23"/>
        <v>5244.9850638797107</v>
      </c>
      <c r="G84" s="2411">
        <f t="shared" si="23"/>
        <v>5472.3594366386669</v>
      </c>
      <c r="H84" s="2411">
        <f t="shared" si="23"/>
        <v>5311.9607451341926</v>
      </c>
    </row>
    <row r="85" spans="1:9" x14ac:dyDescent="0.2">
      <c r="C85" s="1473"/>
      <c r="D85" s="1473"/>
      <c r="E85" s="1473"/>
      <c r="F85" s="1473"/>
      <c r="G85" s="1473"/>
      <c r="H85" s="1473"/>
    </row>
    <row r="86" spans="1:9" x14ac:dyDescent="0.2">
      <c r="A86" s="1463" t="s">
        <v>467</v>
      </c>
      <c r="C86" s="1837"/>
      <c r="D86" s="1837"/>
      <c r="E86" s="1837"/>
      <c r="F86" s="1837"/>
      <c r="G86" s="1837"/>
      <c r="H86" s="1837"/>
    </row>
    <row r="87" spans="1:9" x14ac:dyDescent="0.2">
      <c r="A87" s="1463" t="s">
        <v>509</v>
      </c>
      <c r="B87" s="453"/>
      <c r="C87" s="453"/>
      <c r="D87" s="453"/>
      <c r="E87" s="453"/>
      <c r="F87" s="1391"/>
      <c r="G87" s="1887"/>
      <c r="H87" s="1887"/>
    </row>
    <row r="88" spans="1:9" x14ac:dyDescent="0.2">
      <c r="A88" s="2415" t="s">
        <v>858</v>
      </c>
      <c r="B88" s="453"/>
      <c r="C88" s="453"/>
      <c r="D88" s="453"/>
      <c r="E88" s="453"/>
      <c r="F88" s="453"/>
    </row>
    <row r="89" spans="1:9" x14ac:dyDescent="0.2">
      <c r="A89" s="2415" t="s">
        <v>1142</v>
      </c>
      <c r="B89" s="453"/>
      <c r="C89" s="453"/>
      <c r="D89" s="453"/>
      <c r="E89" s="453"/>
      <c r="F89" s="453"/>
    </row>
    <row r="90" spans="1:9" x14ac:dyDescent="0.2">
      <c r="A90" s="2415" t="s">
        <v>856</v>
      </c>
      <c r="B90" s="453"/>
      <c r="C90" s="453"/>
      <c r="D90" s="453"/>
      <c r="E90" s="453"/>
      <c r="F90" s="453"/>
    </row>
    <row r="91" spans="1:9" x14ac:dyDescent="0.2">
      <c r="A91" s="2498" t="s">
        <v>567</v>
      </c>
      <c r="B91" s="453"/>
      <c r="C91" s="453"/>
      <c r="D91" s="453"/>
      <c r="E91" s="453"/>
      <c r="F91" s="453"/>
      <c r="G91" s="1392"/>
      <c r="H91" s="1392"/>
    </row>
    <row r="92" spans="1:9" x14ac:dyDescent="0.2">
      <c r="A92" s="2499" t="s">
        <v>560</v>
      </c>
      <c r="B92" s="453" t="s">
        <v>1211</v>
      </c>
      <c r="C92" s="453"/>
      <c r="D92" s="453"/>
      <c r="E92" s="453"/>
      <c r="F92" s="453"/>
    </row>
    <row r="93" spans="1:9" x14ac:dyDescent="0.2">
      <c r="A93" s="2500" t="s">
        <v>561</v>
      </c>
      <c r="B93" s="453"/>
      <c r="C93" s="1105"/>
      <c r="D93" s="1105"/>
      <c r="E93" s="1105"/>
      <c r="F93" s="1105"/>
      <c r="G93" s="1473"/>
      <c r="H93" s="1473"/>
    </row>
    <row r="94" spans="1:9" x14ac:dyDescent="0.2">
      <c r="A94" s="2415" t="s">
        <v>1212</v>
      </c>
      <c r="B94" s="1480"/>
      <c r="D94" s="1480"/>
    </row>
    <row r="96" spans="1:9" x14ac:dyDescent="0.2">
      <c r="C96" s="2501"/>
      <c r="D96" s="2501"/>
      <c r="E96" s="2501"/>
      <c r="F96" s="2501"/>
      <c r="G96" s="2501"/>
      <c r="H96" s="2501"/>
    </row>
    <row r="97" spans="3:9" ht="27.75" customHeight="1" x14ac:dyDescent="0.2">
      <c r="C97" s="2501"/>
      <c r="D97" s="2501"/>
      <c r="E97" s="2501"/>
      <c r="F97" s="2501"/>
      <c r="G97" s="2501"/>
      <c r="H97" s="2501"/>
    </row>
    <row r="99" spans="3:9" x14ac:dyDescent="0.2">
      <c r="C99" s="2502"/>
      <c r="D99" s="1488"/>
      <c r="E99" s="1488"/>
      <c r="F99" s="1488"/>
      <c r="G99" s="1488"/>
      <c r="H99" s="1488"/>
    </row>
    <row r="100" spans="3:9" x14ac:dyDescent="0.2">
      <c r="C100" s="2502"/>
      <c r="D100" s="1488"/>
      <c r="E100" s="1488"/>
      <c r="F100" s="1488"/>
      <c r="G100" s="1488"/>
      <c r="H100" s="1488"/>
    </row>
    <row r="101" spans="3:9" x14ac:dyDescent="0.2">
      <c r="C101" s="2503"/>
      <c r="D101" s="2503"/>
      <c r="E101" s="2503"/>
      <c r="F101" s="2503"/>
      <c r="G101" s="2503"/>
      <c r="H101" s="2503"/>
    </row>
    <row r="102" spans="3:9" x14ac:dyDescent="0.2">
      <c r="C102" s="2503"/>
      <c r="D102" s="2503"/>
      <c r="E102" s="2503"/>
      <c r="F102" s="2503"/>
      <c r="G102" s="2503"/>
      <c r="H102" s="2503"/>
    </row>
    <row r="103" spans="3:9" x14ac:dyDescent="0.2">
      <c r="C103" s="2503"/>
      <c r="D103" s="2503"/>
      <c r="E103" s="2503"/>
      <c r="F103" s="2503"/>
      <c r="G103" s="2503"/>
      <c r="H103" s="2503"/>
    </row>
    <row r="104" spans="3:9" x14ac:dyDescent="0.2">
      <c r="C104" s="2503"/>
      <c r="D104" s="2503"/>
      <c r="E104" s="2503"/>
      <c r="F104" s="2503"/>
      <c r="G104" s="2503"/>
      <c r="H104" s="2503"/>
    </row>
    <row r="105" spans="3:9" x14ac:dyDescent="0.2">
      <c r="C105" s="2503"/>
      <c r="D105" s="2503"/>
      <c r="E105" s="2503"/>
      <c r="F105" s="2503"/>
      <c r="G105" s="2503"/>
      <c r="H105" s="2503"/>
    </row>
    <row r="106" spans="3:9" x14ac:dyDescent="0.2">
      <c r="C106" s="2503"/>
      <c r="D106" s="2503"/>
      <c r="E106" s="2503"/>
      <c r="F106" s="2503"/>
      <c r="G106" s="2503"/>
      <c r="H106" s="2503"/>
    </row>
    <row r="107" spans="3:9" x14ac:dyDescent="0.2">
      <c r="C107" s="2503"/>
      <c r="D107" s="2503"/>
      <c r="E107" s="2503"/>
      <c r="F107" s="2503"/>
      <c r="G107" s="2503"/>
      <c r="H107" s="2503"/>
    </row>
    <row r="108" spans="3:9" x14ac:dyDescent="0.2">
      <c r="C108" s="2503"/>
      <c r="D108" s="2503"/>
      <c r="E108" s="2503"/>
      <c r="F108" s="2503"/>
      <c r="G108" s="2503"/>
      <c r="H108" s="2503"/>
    </row>
    <row r="109" spans="3:9" x14ac:dyDescent="0.2">
      <c r="C109" s="2503"/>
      <c r="D109" s="2503"/>
      <c r="E109" s="2503"/>
      <c r="F109" s="2503"/>
      <c r="G109" s="2503"/>
      <c r="H109" s="2503"/>
    </row>
    <row r="110" spans="3:9" x14ac:dyDescent="0.2">
      <c r="C110" s="2503"/>
      <c r="D110" s="2503"/>
      <c r="E110" s="2503"/>
      <c r="F110" s="2503"/>
      <c r="G110" s="2503"/>
      <c r="H110" s="2503"/>
      <c r="I110" s="2503"/>
    </row>
    <row r="111" spans="3:9" x14ac:dyDescent="0.2">
      <c r="C111" s="2503"/>
      <c r="D111" s="2503"/>
      <c r="E111" s="2503"/>
      <c r="F111" s="2503"/>
      <c r="G111" s="2503"/>
      <c r="H111" s="2503"/>
      <c r="I111" s="2503"/>
    </row>
    <row r="112" spans="3:9" x14ac:dyDescent="0.2">
      <c r="C112" s="2503"/>
      <c r="D112" s="2503"/>
      <c r="E112" s="2503"/>
      <c r="F112" s="2503"/>
      <c r="G112" s="2503"/>
      <c r="H112" s="2503"/>
      <c r="I112" s="2503"/>
    </row>
    <row r="113" spans="3:9" x14ac:dyDescent="0.2">
      <c r="C113" s="2503"/>
      <c r="D113" s="2503"/>
      <c r="E113" s="2503"/>
      <c r="F113" s="2503"/>
      <c r="G113" s="2503"/>
      <c r="H113" s="2503"/>
      <c r="I113" s="2503"/>
    </row>
    <row r="114" spans="3:9" x14ac:dyDescent="0.2">
      <c r="C114" s="2503"/>
      <c r="D114" s="2503"/>
      <c r="E114" s="2503"/>
      <c r="F114" s="2503"/>
      <c r="G114" s="2503"/>
      <c r="H114" s="2503"/>
      <c r="I114" s="2503"/>
    </row>
  </sheetData>
  <mergeCells count="1">
    <mergeCell ref="B56:B59"/>
  </mergeCells>
  <dataValidations count="1">
    <dataValidation type="list" allowBlank="1" showInputMessage="1" showErrorMessage="1" sqref="B76 C8 C21 C34 C43" xr:uid="{00000000-0002-0000-3300-000000000000}">
      <formula1>Currency</formula1>
    </dataValidation>
  </dataValidations>
  <pageMargins left="0.7" right="0.7" top="0.75" bottom="0.75" header="0.3" footer="0.3"/>
  <pageSetup scale="4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31">
    <tabColor theme="6" tint="-0.499984740745262"/>
    <pageSetUpPr fitToPage="1"/>
  </sheetPr>
  <dimension ref="A1:Z99"/>
  <sheetViews>
    <sheetView showGridLines="0" view="pageBreakPreview" topLeftCell="A38" zoomScale="90" zoomScaleNormal="90" zoomScaleSheetLayoutView="90" workbookViewId="0">
      <selection activeCell="J82" sqref="J82"/>
    </sheetView>
  </sheetViews>
  <sheetFormatPr defaultRowHeight="12.6" x14ac:dyDescent="0.2"/>
  <cols>
    <col min="1" max="1" width="11.7265625" customWidth="1"/>
    <col min="2" max="2" width="12" customWidth="1"/>
    <col min="3" max="3" width="17.26953125" customWidth="1"/>
    <col min="4" max="4" width="15.36328125" hidden="1" customWidth="1"/>
    <col min="5" max="6" width="16.08984375" hidden="1" customWidth="1"/>
    <col min="7" max="10" width="16.08984375" bestFit="1" customWidth="1"/>
    <col min="11" max="11" width="9.36328125" customWidth="1"/>
    <col min="12" max="12" width="9.36328125" bestFit="1" customWidth="1"/>
  </cols>
  <sheetData>
    <row r="1" spans="1:26" s="212" customFormat="1" ht="15.6" x14ac:dyDescent="0.3">
      <c r="B1" s="212" t="s">
        <v>1087</v>
      </c>
      <c r="F1" s="258"/>
      <c r="I1" s="258"/>
      <c r="J1" s="258"/>
      <c r="K1" s="258"/>
    </row>
    <row r="2" spans="1:26" s="212" customFormat="1" ht="15.6" x14ac:dyDescent="0.3">
      <c r="A2"/>
      <c r="B2"/>
      <c r="C2"/>
      <c r="D2" s="255">
        <v>12</v>
      </c>
      <c r="E2" s="255">
        <v>12</v>
      </c>
      <c r="F2" s="255">
        <v>12</v>
      </c>
      <c r="G2" s="255">
        <v>12</v>
      </c>
      <c r="H2" s="255">
        <v>12</v>
      </c>
      <c r="I2" s="255">
        <v>12</v>
      </c>
      <c r="J2"/>
      <c r="K2"/>
    </row>
    <row r="3" spans="1:26" s="212" customFormat="1" ht="15.6" x14ac:dyDescent="0.3">
      <c r="A3" s="375"/>
      <c r="B3" s="964" t="s">
        <v>443</v>
      </c>
      <c r="C3" s="964"/>
      <c r="D3" s="965"/>
      <c r="E3" s="965"/>
      <c r="F3" s="965"/>
      <c r="G3" s="965"/>
      <c r="H3" s="965"/>
      <c r="I3" s="965"/>
      <c r="J3" s="965"/>
      <c r="K3" s="966"/>
    </row>
    <row r="4" spans="1:26" s="213" customFormat="1" ht="13.2" x14ac:dyDescent="0.25">
      <c r="A4" s="967"/>
      <c r="B4" s="968"/>
      <c r="C4" s="968"/>
      <c r="D4" s="969"/>
      <c r="E4" s="969"/>
      <c r="F4" s="969"/>
      <c r="G4" s="969"/>
      <c r="H4" s="969"/>
      <c r="I4" s="969"/>
      <c r="J4" s="969"/>
      <c r="K4" s="970"/>
    </row>
    <row r="5" spans="1:26" s="213" customFormat="1" ht="13.2" x14ac:dyDescent="0.25">
      <c r="A5" s="2992" t="s">
        <v>444</v>
      </c>
      <c r="B5" s="2993"/>
      <c r="C5" s="2994"/>
      <c r="D5" s="633">
        <f>DispatchSchedule!F3</f>
        <v>46023</v>
      </c>
      <c r="E5" s="633">
        <f>DispatchSchedule!G3</f>
        <v>46054</v>
      </c>
      <c r="F5" s="633">
        <f>DispatchSchedule!H3</f>
        <v>46082</v>
      </c>
      <c r="G5" s="633">
        <f>DispatchSchedule!I3</f>
        <v>46113</v>
      </c>
      <c r="H5" s="633">
        <f>DispatchSchedule!J3</f>
        <v>46143</v>
      </c>
      <c r="I5" s="633">
        <f>DispatchSchedule!K3</f>
        <v>46174</v>
      </c>
      <c r="J5" s="971" t="s">
        <v>494</v>
      </c>
      <c r="K5" s="970"/>
    </row>
    <row r="6" spans="1:26" s="212" customFormat="1" ht="29.25" customHeight="1" x14ac:dyDescent="0.3">
      <c r="A6" s="2992"/>
      <c r="B6" s="2995" t="s">
        <v>495</v>
      </c>
      <c r="C6" s="2996"/>
      <c r="D6" s="256"/>
      <c r="E6" s="256"/>
      <c r="F6" s="256"/>
      <c r="G6" s="256"/>
      <c r="H6" s="256"/>
      <c r="I6" s="256"/>
      <c r="J6" s="256"/>
      <c r="K6" s="970"/>
      <c r="M6" s="430"/>
    </row>
    <row r="7" spans="1:26" ht="12.75" customHeight="1" x14ac:dyDescent="0.3">
      <c r="A7" s="2992"/>
      <c r="B7" s="2997" t="s">
        <v>496</v>
      </c>
      <c r="C7" s="972" t="s">
        <v>552</v>
      </c>
      <c r="D7" s="1735">
        <v>25.09</v>
      </c>
      <c r="E7" s="1735">
        <v>28.46</v>
      </c>
      <c r="F7" s="1735">
        <v>28.46</v>
      </c>
      <c r="G7" s="1735">
        <v>28.46</v>
      </c>
      <c r="H7" s="1735">
        <v>25.09</v>
      </c>
      <c r="I7" s="1735">
        <v>25.09</v>
      </c>
      <c r="J7" s="972"/>
      <c r="K7" s="970"/>
      <c r="M7" s="430"/>
      <c r="T7" s="165"/>
      <c r="U7" s="165"/>
      <c r="V7" s="165"/>
      <c r="W7" s="165"/>
      <c r="X7" s="165"/>
      <c r="Y7" s="165"/>
      <c r="Z7" s="165"/>
    </row>
    <row r="8" spans="1:26" ht="15.6" x14ac:dyDescent="0.3">
      <c r="A8" s="2992"/>
      <c r="B8" s="2998"/>
      <c r="C8" s="973" t="s">
        <v>446</v>
      </c>
      <c r="D8" s="978">
        <f>D14*$M$8</f>
        <v>0</v>
      </c>
      <c r="E8" s="978">
        <f>E14*$M$8</f>
        <v>0</v>
      </c>
      <c r="F8" s="978">
        <f t="shared" ref="F8:I8" si="0">F14*$M$8</f>
        <v>0</v>
      </c>
      <c r="G8" s="978">
        <f t="shared" si="0"/>
        <v>4.7611549999999996</v>
      </c>
      <c r="H8" s="978">
        <f t="shared" si="0"/>
        <v>8.6355920000000008</v>
      </c>
      <c r="I8" s="978">
        <f t="shared" si="0"/>
        <v>8.7987550000000017</v>
      </c>
      <c r="J8" s="2676">
        <f>SUM(D8:I8)</f>
        <v>22.195502000000005</v>
      </c>
      <c r="K8" s="974" t="s">
        <v>56</v>
      </c>
      <c r="L8" s="314">
        <f>+J8/(J8+J11)</f>
        <v>7.0000000000000034E-2</v>
      </c>
      <c r="M8" s="2706">
        <v>7.0000000000000007E-2</v>
      </c>
      <c r="T8" s="165"/>
      <c r="U8" s="165"/>
      <c r="V8" s="165"/>
      <c r="W8" s="165"/>
      <c r="X8" s="165"/>
      <c r="Y8" s="165"/>
    </row>
    <row r="9" spans="1:26" ht="15.6" x14ac:dyDescent="0.3">
      <c r="A9" s="2992"/>
      <c r="B9" s="2999"/>
      <c r="C9" s="973"/>
      <c r="D9" s="256"/>
      <c r="E9" s="256"/>
      <c r="F9" s="256"/>
      <c r="G9" s="256"/>
      <c r="H9" s="256"/>
      <c r="I9" s="256"/>
      <c r="J9" s="2676"/>
      <c r="K9" s="974"/>
      <c r="M9" s="2706"/>
      <c r="T9" s="165"/>
      <c r="U9" s="165"/>
      <c r="V9" s="165"/>
      <c r="W9" s="165"/>
      <c r="X9" s="165"/>
      <c r="Y9" s="165"/>
    </row>
    <row r="10" spans="1:26" ht="12.75" customHeight="1" x14ac:dyDescent="0.3">
      <c r="A10" s="2992"/>
      <c r="B10" s="2997" t="s">
        <v>498</v>
      </c>
      <c r="C10" s="972" t="s">
        <v>552</v>
      </c>
      <c r="D10" s="1735">
        <v>13.97</v>
      </c>
      <c r="E10" s="1735">
        <v>13.97</v>
      </c>
      <c r="F10" s="1735">
        <v>13.97</v>
      </c>
      <c r="G10" s="1735">
        <v>13.97</v>
      </c>
      <c r="H10" s="1735">
        <v>13.97</v>
      </c>
      <c r="I10" s="1735">
        <v>13.97</v>
      </c>
      <c r="J10" s="2677"/>
      <c r="K10" s="970"/>
      <c r="M10" s="2706"/>
      <c r="T10" s="165"/>
      <c r="U10" s="165"/>
      <c r="V10" s="165"/>
      <c r="W10" s="165"/>
      <c r="X10" s="165"/>
      <c r="Y10" s="165"/>
    </row>
    <row r="11" spans="1:26" ht="12.75" customHeight="1" x14ac:dyDescent="0.3">
      <c r="A11" s="2992"/>
      <c r="B11" s="2998"/>
      <c r="C11" s="973" t="s">
        <v>446</v>
      </c>
      <c r="D11" s="2287">
        <f>D14-D8</f>
        <v>0</v>
      </c>
      <c r="E11" s="2287">
        <f>E14-E8</f>
        <v>0</v>
      </c>
      <c r="F11" s="2287">
        <f t="shared" ref="F11:I11" si="1">F14-F8</f>
        <v>0</v>
      </c>
      <c r="G11" s="2287">
        <f t="shared" si="1"/>
        <v>63.255344999999991</v>
      </c>
      <c r="H11" s="2287">
        <f t="shared" si="1"/>
        <v>114.730008</v>
      </c>
      <c r="I11" s="2287">
        <f t="shared" si="1"/>
        <v>116.897745</v>
      </c>
      <c r="J11" s="2676">
        <f>SUM(D11:I11)</f>
        <v>294.88309799999996</v>
      </c>
      <c r="K11" s="974" t="s">
        <v>56</v>
      </c>
      <c r="L11" s="314">
        <f>+J11/(J11+J8)</f>
        <v>0.93</v>
      </c>
      <c r="M11" s="2706">
        <v>0.93</v>
      </c>
      <c r="T11" s="165"/>
      <c r="U11" s="165"/>
      <c r="V11" s="165"/>
      <c r="W11" s="165"/>
      <c r="X11" s="165"/>
      <c r="Y11" s="165"/>
    </row>
    <row r="12" spans="1:26" ht="12.75" customHeight="1" x14ac:dyDescent="0.3">
      <c r="A12" s="2992"/>
      <c r="B12" s="975"/>
      <c r="C12" s="973"/>
      <c r="D12" s="256"/>
      <c r="E12" s="256"/>
      <c r="F12" s="256"/>
      <c r="G12" s="256"/>
      <c r="H12" s="256"/>
      <c r="I12" s="256"/>
      <c r="J12" s="256"/>
      <c r="K12" s="970"/>
      <c r="M12" s="430"/>
      <c r="T12" s="165"/>
      <c r="U12" s="165"/>
      <c r="V12" s="165"/>
      <c r="W12" s="165"/>
      <c r="X12" s="165"/>
      <c r="Y12" s="165"/>
    </row>
    <row r="13" spans="1:26" ht="15.6" x14ac:dyDescent="0.3">
      <c r="A13" s="976"/>
      <c r="B13" s="977" t="s">
        <v>553</v>
      </c>
      <c r="C13" s="973"/>
      <c r="D13" s="978">
        <f>(D11*D10)+(D8*D7)</f>
        <v>0</v>
      </c>
      <c r="E13" s="978">
        <f t="shared" ref="E13:I13" si="2">(E11*E10)+(E8*E7)</f>
        <v>0</v>
      </c>
      <c r="F13" s="978">
        <f t="shared" si="2"/>
        <v>0</v>
      </c>
      <c r="G13" s="978">
        <f t="shared" si="2"/>
        <v>1019.1796409499999</v>
      </c>
      <c r="H13" s="978">
        <f t="shared" si="2"/>
        <v>1819.44521504</v>
      </c>
      <c r="I13" s="978">
        <f t="shared" si="2"/>
        <v>1853.8222606000002</v>
      </c>
      <c r="J13" s="2208">
        <f>SUM(D13:I13)</f>
        <v>4692.4471165900004</v>
      </c>
      <c r="K13" s="974" t="s">
        <v>497</v>
      </c>
      <c r="M13" s="430"/>
      <c r="T13" s="165"/>
      <c r="U13" s="165"/>
      <c r="V13" s="165"/>
      <c r="W13" s="165"/>
      <c r="X13" s="165"/>
      <c r="Y13" s="165"/>
    </row>
    <row r="14" spans="1:26" ht="15.6" x14ac:dyDescent="0.3">
      <c r="A14" s="976"/>
      <c r="B14" s="968"/>
      <c r="C14" s="968"/>
      <c r="D14" s="2285"/>
      <c r="E14" s="2285"/>
      <c r="F14" s="2285"/>
      <c r="G14" s="2285">
        <v>68.016499999999994</v>
      </c>
      <c r="H14" s="2285">
        <v>123.3656</v>
      </c>
      <c r="I14" s="2285">
        <v>125.6965</v>
      </c>
      <c r="J14" s="2679"/>
      <c r="K14" s="974"/>
      <c r="M14" s="430"/>
      <c r="T14" s="165"/>
      <c r="U14" s="165"/>
      <c r="V14" s="165"/>
      <c r="W14" s="165"/>
      <c r="X14" s="165"/>
      <c r="Y14" s="165"/>
    </row>
    <row r="15" spans="1:26" ht="13.2" hidden="1" x14ac:dyDescent="0.25">
      <c r="A15" s="967"/>
      <c r="B15" s="968"/>
      <c r="C15" s="979"/>
      <c r="D15" s="2284">
        <v>138.32648164999995</v>
      </c>
      <c r="E15" s="2284">
        <v>106.73127436917413</v>
      </c>
      <c r="F15" s="2284">
        <v>156.45480000000001</v>
      </c>
      <c r="G15" s="2284">
        <v>160.6962</v>
      </c>
      <c r="H15" s="2284">
        <v>142.1429</v>
      </c>
      <c r="I15" s="2284">
        <v>147.00360000000001</v>
      </c>
      <c r="J15" s="2285"/>
      <c r="K15" s="980"/>
      <c r="T15" s="165"/>
      <c r="U15" s="165"/>
      <c r="V15" s="165"/>
      <c r="W15" s="165"/>
      <c r="X15" s="165"/>
      <c r="Y15" s="165"/>
    </row>
    <row r="16" spans="1:26" hidden="1" x14ac:dyDescent="0.2">
      <c r="A16" s="967"/>
      <c r="B16" s="968"/>
      <c r="C16" s="968"/>
      <c r="D16" s="2284">
        <v>0.16068957832276273</v>
      </c>
      <c r="E16" s="2284">
        <v>0.16068957832276273</v>
      </c>
      <c r="F16" s="2284">
        <v>0.16068957832276276</v>
      </c>
      <c r="G16" s="2284">
        <v>0.16068957832276273</v>
      </c>
      <c r="H16" s="2284">
        <v>0.16068957832276273</v>
      </c>
      <c r="I16" s="2284">
        <v>0.16068957832276273</v>
      </c>
      <c r="J16" s="2290"/>
      <c r="K16" s="970"/>
      <c r="T16" s="165"/>
      <c r="U16" s="165"/>
      <c r="V16" s="165"/>
      <c r="W16" s="165"/>
      <c r="X16" s="165"/>
      <c r="Y16" s="165"/>
    </row>
    <row r="17" spans="1:25" ht="13.2" x14ac:dyDescent="0.25">
      <c r="A17" s="372"/>
      <c r="B17" s="372"/>
      <c r="C17" s="372"/>
      <c r="D17" s="2286"/>
      <c r="E17" s="2286"/>
      <c r="F17" s="2286"/>
      <c r="G17" s="2286"/>
      <c r="H17" s="2286"/>
      <c r="I17" s="2286"/>
      <c r="J17" s="373"/>
      <c r="K17" s="374"/>
      <c r="T17" s="165"/>
      <c r="U17" s="165"/>
      <c r="V17" s="165"/>
      <c r="W17" s="165"/>
      <c r="X17" s="165"/>
      <c r="Y17" s="165"/>
    </row>
    <row r="18" spans="1:25" ht="13.2" x14ac:dyDescent="0.25">
      <c r="A18" s="616"/>
      <c r="B18" s="617" t="s">
        <v>499</v>
      </c>
      <c r="C18" s="617"/>
      <c r="D18" s="618"/>
      <c r="E18" s="618"/>
      <c r="F18" s="618"/>
      <c r="G18" s="618"/>
      <c r="H18" s="618"/>
      <c r="I18" s="618"/>
      <c r="J18" s="618"/>
      <c r="K18" s="619"/>
      <c r="T18" s="165"/>
      <c r="U18" s="165"/>
      <c r="V18" s="165"/>
      <c r="W18" s="165"/>
      <c r="X18" s="165"/>
      <c r="Y18" s="165"/>
    </row>
    <row r="19" spans="1:25" ht="13.2" x14ac:dyDescent="0.25">
      <c r="A19" s="620"/>
      <c r="B19" s="621"/>
      <c r="C19" s="621"/>
      <c r="D19" s="622"/>
      <c r="E19" s="622"/>
      <c r="F19" s="622"/>
      <c r="G19" s="622"/>
      <c r="H19" s="622"/>
      <c r="I19" s="622"/>
      <c r="J19" s="622"/>
      <c r="K19" s="623"/>
      <c r="T19" s="165"/>
      <c r="U19" s="165"/>
      <c r="V19" s="165"/>
      <c r="W19" s="165"/>
      <c r="X19" s="165"/>
      <c r="Y19" s="165"/>
    </row>
    <row r="20" spans="1:25" ht="13.2" x14ac:dyDescent="0.25">
      <c r="A20" s="3012" t="s">
        <v>444</v>
      </c>
      <c r="B20" s="3013"/>
      <c r="C20" s="3014"/>
      <c r="D20" s="624">
        <f t="shared" ref="D20:I20" si="3">D5</f>
        <v>46023</v>
      </c>
      <c r="E20" s="624">
        <f t="shared" si="3"/>
        <v>46054</v>
      </c>
      <c r="F20" s="624">
        <f t="shared" si="3"/>
        <v>46082</v>
      </c>
      <c r="G20" s="624">
        <f t="shared" si="3"/>
        <v>46113</v>
      </c>
      <c r="H20" s="624">
        <f t="shared" si="3"/>
        <v>46143</v>
      </c>
      <c r="I20" s="624">
        <f t="shared" si="3"/>
        <v>46174</v>
      </c>
      <c r="J20" s="625" t="s">
        <v>494</v>
      </c>
      <c r="K20" s="623"/>
      <c r="T20" s="165"/>
      <c r="U20" s="165"/>
      <c r="V20" s="165"/>
      <c r="W20" s="165"/>
      <c r="X20" s="165"/>
      <c r="Y20" s="165"/>
    </row>
    <row r="21" spans="1:25" ht="12.75" customHeight="1" x14ac:dyDescent="0.2">
      <c r="A21" s="3012"/>
      <c r="B21" s="3016" t="s">
        <v>495</v>
      </c>
      <c r="C21" s="3017"/>
      <c r="D21" s="626"/>
      <c r="E21" s="626"/>
      <c r="F21" s="626"/>
      <c r="G21" s="626"/>
      <c r="H21" s="626"/>
      <c r="I21" s="626"/>
      <c r="J21" s="626"/>
      <c r="K21" s="623"/>
      <c r="T21" s="165"/>
      <c r="U21" s="165"/>
      <c r="V21" s="165"/>
      <c r="W21" s="165"/>
      <c r="X21" s="165"/>
      <c r="Y21" s="165"/>
    </row>
    <row r="22" spans="1:25" ht="12.75" customHeight="1" x14ac:dyDescent="0.25">
      <c r="A22" s="3012"/>
      <c r="B22" s="3000" t="s">
        <v>496</v>
      </c>
      <c r="C22" s="627" t="s">
        <v>552</v>
      </c>
      <c r="D22" s="1736">
        <v>31.878102852589212</v>
      </c>
      <c r="E22" s="1736">
        <v>31.878102852589212</v>
      </c>
      <c r="F22" s="1736">
        <v>31.878102852589212</v>
      </c>
      <c r="G22" s="1736">
        <v>31.878102852589212</v>
      </c>
      <c r="H22" s="1736">
        <v>31.878102852589212</v>
      </c>
      <c r="I22" s="1736">
        <v>31.878102852589212</v>
      </c>
      <c r="J22" s="628"/>
      <c r="K22" s="623"/>
      <c r="T22" s="165"/>
      <c r="U22" s="165"/>
      <c r="V22" s="165"/>
      <c r="W22" s="165"/>
      <c r="X22" s="165"/>
      <c r="Y22" s="165"/>
    </row>
    <row r="23" spans="1:25" ht="21" customHeight="1" x14ac:dyDescent="0.3">
      <c r="A23" s="3012"/>
      <c r="B23" s="3001"/>
      <c r="C23" s="626" t="s">
        <v>446</v>
      </c>
      <c r="D23" s="629">
        <v>0</v>
      </c>
      <c r="E23" s="629">
        <v>0</v>
      </c>
      <c r="F23" s="629">
        <v>0</v>
      </c>
      <c r="G23" s="629">
        <v>0</v>
      </c>
      <c r="H23" s="629">
        <v>0</v>
      </c>
      <c r="I23" s="629">
        <v>0</v>
      </c>
      <c r="J23" s="629">
        <f>SUM(D23:I23)</f>
        <v>0</v>
      </c>
      <c r="K23" s="623" t="s">
        <v>56</v>
      </c>
      <c r="L23" s="314"/>
      <c r="M23" s="2706"/>
      <c r="T23" s="165"/>
      <c r="U23" s="165"/>
      <c r="V23" s="165"/>
      <c r="W23" s="165"/>
      <c r="X23" s="165"/>
      <c r="Y23" s="165"/>
    </row>
    <row r="24" spans="1:25" ht="15.6" x14ac:dyDescent="0.3">
      <c r="A24" s="3012"/>
      <c r="B24" s="3015"/>
      <c r="C24" s="626"/>
      <c r="D24" s="629"/>
      <c r="E24" s="629"/>
      <c r="F24" s="629"/>
      <c r="G24" s="629"/>
      <c r="H24" s="629"/>
      <c r="I24" s="629"/>
      <c r="J24" s="629"/>
      <c r="K24" s="623"/>
      <c r="M24" s="2706"/>
      <c r="T24" s="165"/>
      <c r="U24" s="165"/>
      <c r="V24" s="165"/>
      <c r="W24" s="165"/>
      <c r="X24" s="165"/>
      <c r="Y24" s="165"/>
    </row>
    <row r="25" spans="1:25" ht="12.75" customHeight="1" x14ac:dyDescent="0.3">
      <c r="A25" s="3012"/>
      <c r="B25" s="3000" t="s">
        <v>498</v>
      </c>
      <c r="C25" s="627" t="s">
        <v>552</v>
      </c>
      <c r="D25" s="1736">
        <v>38.258800000000001</v>
      </c>
      <c r="E25" s="1736">
        <v>38.258800000000001</v>
      </c>
      <c r="F25" s="1736">
        <v>38.258800000000001</v>
      </c>
      <c r="G25" s="1736">
        <v>38.258800000000001</v>
      </c>
      <c r="H25" s="1736">
        <v>38.258800000000001</v>
      </c>
      <c r="I25" s="1736">
        <v>38.258800000000001</v>
      </c>
      <c r="J25" s="628"/>
      <c r="K25" s="623"/>
      <c r="M25" s="2706"/>
      <c r="T25" s="165"/>
      <c r="U25" s="165"/>
      <c r="V25" s="165"/>
      <c r="W25" s="165"/>
      <c r="X25" s="165"/>
      <c r="Y25" s="165"/>
    </row>
    <row r="26" spans="1:25" ht="12.75" customHeight="1" x14ac:dyDescent="0.3">
      <c r="A26" s="3012"/>
      <c r="B26" s="3001"/>
      <c r="C26" s="626" t="s">
        <v>446</v>
      </c>
      <c r="D26" s="629"/>
      <c r="E26" s="629"/>
      <c r="F26" s="629"/>
      <c r="G26" s="629">
        <v>12.998860000000001</v>
      </c>
      <c r="H26" s="629">
        <v>13.4322</v>
      </c>
      <c r="I26" s="629">
        <v>12.99884</v>
      </c>
      <c r="J26" s="629">
        <f>SUM(D26:I26)</f>
        <v>39.429900000000004</v>
      </c>
      <c r="K26" s="623" t="s">
        <v>56</v>
      </c>
      <c r="L26" s="314"/>
      <c r="M26" s="2706"/>
      <c r="T26" s="165"/>
      <c r="U26" s="165"/>
      <c r="V26" s="165"/>
      <c r="W26" s="165"/>
      <c r="X26" s="165"/>
      <c r="Y26" s="165"/>
    </row>
    <row r="27" spans="1:25" ht="13.2" x14ac:dyDescent="0.25">
      <c r="A27" s="3012"/>
      <c r="B27" s="962"/>
      <c r="C27" s="630"/>
      <c r="D27" s="626"/>
      <c r="E27" s="626"/>
      <c r="F27" s="626"/>
      <c r="G27" s="626"/>
      <c r="H27" s="626"/>
      <c r="I27" s="626"/>
      <c r="J27" s="626"/>
      <c r="K27" s="623"/>
      <c r="T27" s="165"/>
      <c r="U27" s="165"/>
      <c r="V27" s="165"/>
      <c r="W27" s="165"/>
      <c r="X27" s="165"/>
      <c r="Y27" s="165"/>
    </row>
    <row r="28" spans="1:25" ht="13.2" x14ac:dyDescent="0.25">
      <c r="A28" s="620"/>
      <c r="B28" s="631" t="s">
        <v>553</v>
      </c>
      <c r="C28" s="631"/>
      <c r="D28" s="944">
        <f>(D26*D25)+(D23*D22)</f>
        <v>0</v>
      </c>
      <c r="E28" s="944">
        <f t="shared" ref="E28:I28" si="4">(E26*E25)+(E23*E22)</f>
        <v>0</v>
      </c>
      <c r="F28" s="944">
        <f t="shared" si="4"/>
        <v>0</v>
      </c>
      <c r="G28" s="944">
        <f t="shared" si="4"/>
        <v>497.32078496800005</v>
      </c>
      <c r="H28" s="944">
        <f t="shared" si="4"/>
        <v>513.89985335999995</v>
      </c>
      <c r="I28" s="944">
        <f t="shared" si="4"/>
        <v>497.32001979199998</v>
      </c>
      <c r="J28" s="2209">
        <f>SUM(D28:I28)</f>
        <v>1508.54065812</v>
      </c>
      <c r="K28" s="632" t="s">
        <v>497</v>
      </c>
      <c r="T28" s="165"/>
      <c r="U28" s="165"/>
      <c r="V28" s="165"/>
      <c r="W28" s="165"/>
      <c r="X28" s="165"/>
      <c r="Y28" s="165"/>
    </row>
    <row r="29" spans="1:25" x14ac:dyDescent="0.2">
      <c r="A29" s="124"/>
      <c r="D29" s="615"/>
      <c r="E29" s="615"/>
      <c r="F29" s="615"/>
      <c r="G29" s="615"/>
      <c r="H29" s="615"/>
      <c r="I29" s="615"/>
      <c r="K29" s="30"/>
      <c r="T29" s="165"/>
      <c r="U29" s="165"/>
      <c r="V29" s="165"/>
      <c r="W29" s="165"/>
      <c r="X29" s="165"/>
      <c r="Y29" s="165"/>
    </row>
    <row r="30" spans="1:25" ht="13.2" x14ac:dyDescent="0.25">
      <c r="A30" s="997"/>
      <c r="B30" s="998" t="s">
        <v>447</v>
      </c>
      <c r="C30" s="998"/>
      <c r="D30" s="999"/>
      <c r="E30" s="999"/>
      <c r="F30" s="999"/>
      <c r="G30" s="999"/>
      <c r="H30" s="999"/>
      <c r="I30" s="999"/>
      <c r="J30" s="999"/>
      <c r="K30" s="1000"/>
      <c r="T30" s="165"/>
      <c r="U30" s="165"/>
      <c r="V30" s="165"/>
      <c r="W30" s="165"/>
      <c r="X30" s="165"/>
      <c r="Y30" s="165"/>
    </row>
    <row r="31" spans="1:25" ht="13.2" x14ac:dyDescent="0.25">
      <c r="A31" s="1001"/>
      <c r="B31" s="1002"/>
      <c r="C31" s="1002"/>
      <c r="D31" s="1003"/>
      <c r="E31" s="1003"/>
      <c r="F31" s="1003"/>
      <c r="G31" s="1003"/>
      <c r="H31" s="1003"/>
      <c r="I31" s="1003"/>
      <c r="J31" s="1003"/>
      <c r="K31" s="1004"/>
      <c r="T31" s="165"/>
      <c r="U31" s="165"/>
      <c r="V31" s="165"/>
      <c r="W31" s="165"/>
      <c r="X31" s="165"/>
      <c r="Y31" s="165"/>
    </row>
    <row r="32" spans="1:25" ht="13.2" x14ac:dyDescent="0.25">
      <c r="A32" s="3002" t="s">
        <v>444</v>
      </c>
      <c r="B32" s="1005"/>
      <c r="C32" s="1006"/>
      <c r="D32" s="1007">
        <f>D20</f>
        <v>46023</v>
      </c>
      <c r="E32" s="1007">
        <f t="shared" ref="E32:I32" si="5">E20</f>
        <v>46054</v>
      </c>
      <c r="F32" s="1007">
        <f t="shared" si="5"/>
        <v>46082</v>
      </c>
      <c r="G32" s="1007">
        <f t="shared" si="5"/>
        <v>46113</v>
      </c>
      <c r="H32" s="1007">
        <f t="shared" si="5"/>
        <v>46143</v>
      </c>
      <c r="I32" s="1007">
        <f t="shared" si="5"/>
        <v>46174</v>
      </c>
      <c r="J32" s="1005" t="s">
        <v>494</v>
      </c>
      <c r="K32" s="1008"/>
      <c r="T32" s="165"/>
      <c r="U32" s="165"/>
      <c r="V32" s="165"/>
      <c r="W32" s="165"/>
      <c r="X32" s="165"/>
      <c r="Y32" s="165"/>
    </row>
    <row r="33" spans="1:25" ht="12.75" customHeight="1" x14ac:dyDescent="0.2">
      <c r="A33" s="3003"/>
      <c r="B33" s="3005" t="s">
        <v>495</v>
      </c>
      <c r="C33" s="3006"/>
      <c r="D33" s="1009"/>
      <c r="E33" s="1009"/>
      <c r="F33" s="1009"/>
      <c r="G33" s="1009"/>
      <c r="H33" s="1009"/>
      <c r="I33" s="1009"/>
      <c r="J33" s="1009"/>
      <c r="K33" s="1008"/>
      <c r="T33" s="165"/>
      <c r="U33" s="165"/>
      <c r="V33" s="165"/>
      <c r="W33" s="165"/>
      <c r="X33" s="165"/>
      <c r="Y33" s="165"/>
    </row>
    <row r="34" spans="1:25" ht="12.75" customHeight="1" x14ac:dyDescent="0.25">
      <c r="A34" s="3004"/>
      <c r="B34" s="3007" t="s">
        <v>498</v>
      </c>
      <c r="C34" s="1010" t="s">
        <v>552</v>
      </c>
      <c r="D34" s="1933">
        <v>17.292000000000002</v>
      </c>
      <c r="E34" s="1933">
        <v>17.292000000000002</v>
      </c>
      <c r="F34" s="1933">
        <v>17.292000000000002</v>
      </c>
      <c r="G34" s="1933">
        <v>17.292000000000002</v>
      </c>
      <c r="H34" s="1933">
        <v>17.292000000000002</v>
      </c>
      <c r="I34" s="1933">
        <v>17.292000000000002</v>
      </c>
      <c r="J34" s="1011"/>
      <c r="K34" s="1008"/>
      <c r="T34" s="165"/>
      <c r="U34" s="165"/>
      <c r="V34" s="165"/>
      <c r="W34" s="165"/>
      <c r="X34" s="165"/>
      <c r="Y34" s="165"/>
    </row>
    <row r="35" spans="1:25" ht="12.75" customHeight="1" x14ac:dyDescent="0.2">
      <c r="A35" s="3004"/>
      <c r="B35" s="3008"/>
      <c r="C35" s="1009" t="s">
        <v>446</v>
      </c>
      <c r="D35" s="1934"/>
      <c r="E35" s="1934"/>
      <c r="F35" s="1934"/>
      <c r="G35" s="1934">
        <v>13.90479581</v>
      </c>
      <c r="H35" s="1934">
        <v>66.177627599999994</v>
      </c>
      <c r="I35" s="1934">
        <v>110.282336</v>
      </c>
      <c r="J35" s="2797">
        <f>SUM(D35:I35)</f>
        <v>190.36475940999998</v>
      </c>
      <c r="K35" s="1008" t="s">
        <v>56</v>
      </c>
      <c r="L35" s="214"/>
      <c r="T35" s="165"/>
      <c r="U35" s="165"/>
      <c r="V35" s="165"/>
      <c r="W35" s="165"/>
      <c r="X35" s="165"/>
      <c r="Y35" s="165"/>
    </row>
    <row r="36" spans="1:25" x14ac:dyDescent="0.2">
      <c r="A36" s="3004"/>
      <c r="B36" s="3009"/>
      <c r="C36" s="1012"/>
      <c r="D36" s="1009"/>
      <c r="E36" s="1009"/>
      <c r="F36" s="1009"/>
      <c r="G36" s="1009"/>
      <c r="H36" s="1009"/>
      <c r="I36" s="1009"/>
      <c r="J36" s="1009"/>
      <c r="K36" s="1008"/>
      <c r="T36" s="165"/>
      <c r="U36" s="165"/>
      <c r="V36" s="165"/>
      <c r="W36" s="165"/>
      <c r="X36" s="165"/>
      <c r="Y36" s="165"/>
    </row>
    <row r="37" spans="1:25" x14ac:dyDescent="0.2">
      <c r="A37" s="1001"/>
      <c r="B37" s="1013" t="s">
        <v>553</v>
      </c>
      <c r="C37" s="1013"/>
      <c r="D37" s="1014">
        <f>D35*D34</f>
        <v>0</v>
      </c>
      <c r="E37" s="1014">
        <f t="shared" ref="E37:I37" si="6">E35*E34</f>
        <v>0</v>
      </c>
      <c r="F37" s="1014">
        <f t="shared" si="6"/>
        <v>0</v>
      </c>
      <c r="G37" s="1014">
        <f t="shared" si="6"/>
        <v>240.44172914652</v>
      </c>
      <c r="H37" s="1014">
        <f t="shared" si="6"/>
        <v>1144.3435364592001</v>
      </c>
      <c r="I37" s="1014">
        <f t="shared" si="6"/>
        <v>1907.0021541120002</v>
      </c>
      <c r="J37" s="2210">
        <f>SUM(D37:I37)</f>
        <v>3291.7874197177202</v>
      </c>
      <c r="K37" s="1008" t="s">
        <v>497</v>
      </c>
      <c r="T37" s="165"/>
      <c r="U37" s="165"/>
      <c r="V37" s="165"/>
      <c r="W37" s="165"/>
      <c r="X37" s="165"/>
      <c r="Y37" s="165"/>
    </row>
    <row r="38" spans="1:25" ht="12.75" customHeight="1" x14ac:dyDescent="0.25">
      <c r="A38" s="1001"/>
      <c r="B38" s="1002"/>
      <c r="C38" s="1002"/>
      <c r="D38" s="1002"/>
      <c r="E38" s="1002"/>
      <c r="F38" s="1002"/>
      <c r="G38" s="1002"/>
      <c r="H38" s="1002"/>
      <c r="I38" s="1002"/>
      <c r="J38" s="1002"/>
      <c r="K38" s="1015"/>
      <c r="T38" s="165"/>
      <c r="U38" s="165"/>
      <c r="V38" s="165"/>
      <c r="W38" s="165"/>
      <c r="X38" s="165"/>
      <c r="Y38" s="165"/>
    </row>
    <row r="39" spans="1:25" x14ac:dyDescent="0.2">
      <c r="A39" s="124"/>
      <c r="D39" s="615"/>
      <c r="E39" s="615"/>
      <c r="F39" s="615"/>
      <c r="G39" s="615"/>
      <c r="H39" s="615"/>
      <c r="I39" s="615"/>
      <c r="K39" s="30"/>
      <c r="T39" s="165"/>
      <c r="U39" s="165"/>
      <c r="V39" s="165"/>
      <c r="W39" s="165"/>
      <c r="X39" s="165"/>
      <c r="Y39" s="165"/>
    </row>
    <row r="40" spans="1:25" ht="13.2" x14ac:dyDescent="0.25">
      <c r="A40" s="981"/>
      <c r="B40" s="982" t="s">
        <v>539</v>
      </c>
      <c r="C40" s="982"/>
      <c r="D40" s="1018"/>
      <c r="E40" s="1018"/>
      <c r="F40" s="1018"/>
      <c r="G40" s="1018"/>
      <c r="H40" s="1018"/>
      <c r="I40" s="1018"/>
      <c r="J40" s="1018"/>
      <c r="K40" s="983"/>
      <c r="T40" s="165"/>
      <c r="U40" s="165"/>
      <c r="V40" s="165"/>
      <c r="W40" s="165"/>
      <c r="X40" s="165"/>
      <c r="Y40" s="165"/>
    </row>
    <row r="41" spans="1:25" ht="13.2" x14ac:dyDescent="0.25">
      <c r="A41" s="984"/>
      <c r="B41" s="985"/>
      <c r="C41" s="985"/>
      <c r="D41" s="986"/>
      <c r="E41" s="986"/>
      <c r="F41" s="986"/>
      <c r="G41" s="986"/>
      <c r="H41" s="986"/>
      <c r="I41" s="986"/>
      <c r="J41" s="986"/>
      <c r="K41" s="987"/>
      <c r="T41" s="165"/>
      <c r="U41" s="165"/>
      <c r="V41" s="165"/>
      <c r="W41" s="165"/>
      <c r="X41" s="165"/>
      <c r="Y41" s="165"/>
    </row>
    <row r="42" spans="1:25" ht="13.2" x14ac:dyDescent="0.25">
      <c r="A42" s="2979" t="s">
        <v>444</v>
      </c>
      <c r="B42" s="989"/>
      <c r="C42" s="1019"/>
      <c r="D42" s="988">
        <f>D32</f>
        <v>46023</v>
      </c>
      <c r="E42" s="988">
        <f t="shared" ref="E42:I42" si="7">E32</f>
        <v>46054</v>
      </c>
      <c r="F42" s="988">
        <f t="shared" si="7"/>
        <v>46082</v>
      </c>
      <c r="G42" s="988">
        <f t="shared" si="7"/>
        <v>46113</v>
      </c>
      <c r="H42" s="988">
        <f t="shared" si="7"/>
        <v>46143</v>
      </c>
      <c r="I42" s="988">
        <f t="shared" si="7"/>
        <v>46174</v>
      </c>
      <c r="J42" s="989" t="s">
        <v>494</v>
      </c>
      <c r="K42" s="987"/>
      <c r="T42" s="165"/>
      <c r="U42" s="165"/>
      <c r="V42" s="165"/>
      <c r="W42" s="165"/>
      <c r="X42" s="165"/>
      <c r="Y42" s="165"/>
    </row>
    <row r="43" spans="1:25" ht="12.75" customHeight="1" x14ac:dyDescent="0.25">
      <c r="A43" s="2980"/>
      <c r="B43" s="2982" t="s">
        <v>495</v>
      </c>
      <c r="C43" s="2983"/>
      <c r="D43" s="991"/>
      <c r="E43" s="991"/>
      <c r="F43" s="991"/>
      <c r="G43" s="991"/>
      <c r="H43" s="991"/>
      <c r="I43" s="991"/>
      <c r="J43" s="990"/>
      <c r="K43" s="987"/>
      <c r="T43" s="165"/>
      <c r="U43" s="165"/>
      <c r="V43" s="165"/>
      <c r="W43" s="165"/>
      <c r="X43" s="165"/>
      <c r="Y43" s="165"/>
    </row>
    <row r="44" spans="1:25" ht="12.75" customHeight="1" x14ac:dyDescent="0.25">
      <c r="A44" s="2981"/>
      <c r="B44" s="2984" t="s">
        <v>498</v>
      </c>
      <c r="C44" s="1020" t="s">
        <v>552</v>
      </c>
      <c r="D44" s="1737">
        <v>24.258171541244135</v>
      </c>
      <c r="E44" s="1737">
        <v>24.258171541244135</v>
      </c>
      <c r="F44" s="1737">
        <v>24.258171541244135</v>
      </c>
      <c r="G44" s="1737">
        <v>24.258171541244135</v>
      </c>
      <c r="H44" s="1737">
        <v>24.258171541244135</v>
      </c>
      <c r="I44" s="1737">
        <v>24.258171541244135</v>
      </c>
      <c r="J44" s="991"/>
      <c r="K44" s="987"/>
      <c r="T44" s="165"/>
      <c r="U44" s="165"/>
      <c r="V44" s="165"/>
      <c r="W44" s="165"/>
      <c r="X44" s="165"/>
      <c r="Y44" s="165"/>
    </row>
    <row r="45" spans="1:25" ht="12.75" customHeight="1" x14ac:dyDescent="0.25">
      <c r="A45" s="2981"/>
      <c r="B45" s="2985"/>
      <c r="C45" s="993" t="s">
        <v>446</v>
      </c>
      <c r="D45" s="1738"/>
      <c r="E45" s="1738"/>
      <c r="F45" s="1738"/>
      <c r="G45" s="1738">
        <v>48.139956600000005</v>
      </c>
      <c r="H45" s="1738">
        <v>54.595486200000011</v>
      </c>
      <c r="I45" s="1738">
        <v>53.713574999999992</v>
      </c>
      <c r="J45" s="992">
        <f>SUM(D45:I45)</f>
        <v>156.44901780000001</v>
      </c>
      <c r="K45" s="1021" t="s">
        <v>56</v>
      </c>
      <c r="L45" s="615"/>
      <c r="T45" s="165"/>
      <c r="U45" s="165"/>
      <c r="V45" s="165"/>
      <c r="W45" s="165"/>
      <c r="X45" s="165"/>
      <c r="Y45" s="165"/>
    </row>
    <row r="46" spans="1:25" ht="13.2" x14ac:dyDescent="0.25">
      <c r="A46" s="2981"/>
      <c r="B46" s="2986"/>
      <c r="C46" s="985"/>
      <c r="D46" s="1022"/>
      <c r="E46" s="1022"/>
      <c r="F46" s="1022"/>
      <c r="G46" s="1022"/>
      <c r="H46" s="1022"/>
      <c r="I46" s="1022"/>
      <c r="J46" s="1022"/>
      <c r="K46" s="1021"/>
      <c r="T46" s="165"/>
      <c r="U46" s="165"/>
      <c r="V46" s="165"/>
      <c r="W46" s="165"/>
      <c r="X46" s="165"/>
      <c r="Y46" s="165"/>
    </row>
    <row r="47" spans="1:25" ht="13.2" x14ac:dyDescent="0.25">
      <c r="A47" s="984"/>
      <c r="B47" s="994" t="s">
        <v>500</v>
      </c>
      <c r="C47" s="994"/>
      <c r="D47" s="995">
        <f>D45*D44</f>
        <v>0</v>
      </c>
      <c r="E47" s="995">
        <f t="shared" ref="E47:I47" si="8">E45*E44</f>
        <v>0</v>
      </c>
      <c r="F47" s="995">
        <f t="shared" si="8"/>
        <v>0</v>
      </c>
      <c r="G47" s="995">
        <f t="shared" si="8"/>
        <v>1167.7873251908479</v>
      </c>
      <c r="H47" s="995">
        <f t="shared" si="8"/>
        <v>1324.3866696172272</v>
      </c>
      <c r="I47" s="995">
        <f t="shared" si="8"/>
        <v>1302.9931164434822</v>
      </c>
      <c r="J47" s="1737">
        <f>SUM(D47:I47)</f>
        <v>3795.1671112515569</v>
      </c>
      <c r="K47" s="996" t="s">
        <v>497</v>
      </c>
      <c r="T47" s="165"/>
      <c r="U47" s="165"/>
      <c r="V47" s="165"/>
      <c r="W47" s="165"/>
      <c r="X47" s="165"/>
      <c r="Y47" s="165"/>
    </row>
    <row r="48" spans="1:25" ht="12.75" customHeight="1" x14ac:dyDescent="0.25">
      <c r="A48" s="1023"/>
      <c r="B48" s="1024"/>
      <c r="C48" s="1024"/>
      <c r="D48" s="1024"/>
      <c r="E48" s="1024"/>
      <c r="F48" s="1024"/>
      <c r="G48" s="1024"/>
      <c r="H48" s="1024"/>
      <c r="I48" s="1024"/>
      <c r="J48" s="1024"/>
      <c r="K48" s="1025"/>
      <c r="T48" s="165"/>
      <c r="U48" s="165"/>
      <c r="V48" s="165"/>
      <c r="W48" s="165"/>
      <c r="X48" s="165"/>
      <c r="Y48" s="165"/>
    </row>
    <row r="49" spans="1:25" ht="13.2" x14ac:dyDescent="0.25">
      <c r="D49" s="615"/>
      <c r="E49" s="615"/>
      <c r="F49" s="615"/>
      <c r="G49" s="615"/>
      <c r="H49" s="615"/>
      <c r="I49" s="615"/>
      <c r="K49" s="637"/>
      <c r="T49" s="165"/>
      <c r="U49" s="165"/>
      <c r="V49" s="165"/>
      <c r="W49" s="165"/>
      <c r="X49" s="165"/>
      <c r="Y49" s="165"/>
    </row>
    <row r="50" spans="1:25" ht="13.2" x14ac:dyDescent="0.25">
      <c r="B50" s="1026"/>
      <c r="C50" s="1027"/>
      <c r="D50" s="1017">
        <f>D42</f>
        <v>46023</v>
      </c>
      <c r="E50" s="1017">
        <f t="shared" ref="E50:I50" si="9">E42</f>
        <v>46054</v>
      </c>
      <c r="F50" s="1017">
        <f t="shared" si="9"/>
        <v>46082</v>
      </c>
      <c r="G50" s="1017">
        <f t="shared" si="9"/>
        <v>46113</v>
      </c>
      <c r="H50" s="1017">
        <f t="shared" si="9"/>
        <v>46143</v>
      </c>
      <c r="I50" s="1017">
        <f t="shared" si="9"/>
        <v>46174</v>
      </c>
      <c r="J50" s="1026" t="s">
        <v>494</v>
      </c>
      <c r="K50" s="215"/>
      <c r="T50" s="165"/>
      <c r="U50" s="165"/>
      <c r="V50" s="165"/>
      <c r="W50" s="165"/>
      <c r="X50" s="165"/>
      <c r="Y50" s="165"/>
    </row>
    <row r="51" spans="1:25" ht="13.2" x14ac:dyDescent="0.25">
      <c r="A51" s="1016" t="s">
        <v>444</v>
      </c>
      <c r="B51" s="3010" t="s">
        <v>501</v>
      </c>
      <c r="C51" s="3011"/>
      <c r="D51" s="1719">
        <f t="shared" ref="D51:J51" si="10">D8+D11+D23+D26+D35+D45</f>
        <v>0</v>
      </c>
      <c r="E51" s="1719">
        <f t="shared" si="10"/>
        <v>0</v>
      </c>
      <c r="F51" s="1719">
        <f t="shared" si="10"/>
        <v>0</v>
      </c>
      <c r="G51" s="1719">
        <f t="shared" si="10"/>
        <v>143.06011240999999</v>
      </c>
      <c r="H51" s="1719">
        <f t="shared" si="10"/>
        <v>257.57091379999997</v>
      </c>
      <c r="I51" s="1719">
        <f t="shared" si="10"/>
        <v>302.69125099999997</v>
      </c>
      <c r="J51" s="2526">
        <f t="shared" si="10"/>
        <v>703.32227720999992</v>
      </c>
      <c r="K51" s="1028" t="s">
        <v>56</v>
      </c>
      <c r="L51" s="615"/>
      <c r="T51" s="165"/>
      <c r="U51" s="165"/>
      <c r="V51" s="165"/>
      <c r="W51" s="165"/>
      <c r="X51" s="165"/>
      <c r="Y51" s="165"/>
    </row>
    <row r="52" spans="1:25" ht="13.2" x14ac:dyDescent="0.25">
      <c r="A52" s="1030"/>
      <c r="B52" s="2990" t="s">
        <v>502</v>
      </c>
      <c r="C52" s="2991"/>
      <c r="D52" s="1739">
        <f t="shared" ref="D52:J52" si="11">D47+D37+D28+D13</f>
        <v>0</v>
      </c>
      <c r="E52" s="1739">
        <f t="shared" si="11"/>
        <v>0</v>
      </c>
      <c r="F52" s="1739">
        <f t="shared" si="11"/>
        <v>0</v>
      </c>
      <c r="G52" s="1739">
        <f t="shared" si="11"/>
        <v>2924.7294802553679</v>
      </c>
      <c r="H52" s="1739">
        <f t="shared" si="11"/>
        <v>4802.0752744764277</v>
      </c>
      <c r="I52" s="1739">
        <f t="shared" si="11"/>
        <v>5561.1375509474829</v>
      </c>
      <c r="J52" s="2570">
        <f t="shared" si="11"/>
        <v>13287.942305679277</v>
      </c>
      <c r="K52" s="1029" t="s">
        <v>497</v>
      </c>
      <c r="L52" s="241">
        <f>19841.53-J52</f>
        <v>6553.5876943207222</v>
      </c>
      <c r="T52" s="165"/>
      <c r="U52" s="165"/>
      <c r="V52" s="165"/>
      <c r="W52" s="165"/>
      <c r="X52" s="165"/>
      <c r="Y52" s="165"/>
    </row>
    <row r="53" spans="1:25" x14ac:dyDescent="0.2">
      <c r="T53" s="165"/>
      <c r="U53" s="165"/>
      <c r="V53" s="165"/>
      <c r="W53" s="165"/>
      <c r="X53" s="165"/>
      <c r="Y53" s="165"/>
    </row>
    <row r="54" spans="1:25" ht="13.2" x14ac:dyDescent="0.25">
      <c r="B54" s="213"/>
      <c r="C54" s="2987" t="s">
        <v>850</v>
      </c>
      <c r="D54" s="2988"/>
      <c r="E54" s="2988"/>
      <c r="F54" s="2988"/>
      <c r="G54" s="2988"/>
      <c r="H54" s="2989"/>
      <c r="I54" s="832">
        <f>SUM(D51:I51)</f>
        <v>703.32227720999992</v>
      </c>
      <c r="J54" s="259" t="s">
        <v>56</v>
      </c>
      <c r="M54" s="322"/>
      <c r="T54" s="165"/>
      <c r="U54" s="165"/>
      <c r="V54" s="165"/>
      <c r="W54" s="165"/>
      <c r="X54" s="165"/>
      <c r="Y54" s="165"/>
    </row>
    <row r="55" spans="1:25" ht="13.2" x14ac:dyDescent="0.25">
      <c r="B55" s="213"/>
      <c r="C55" s="2987" t="s">
        <v>851</v>
      </c>
      <c r="D55" s="2988"/>
      <c r="E55" s="2988"/>
      <c r="F55" s="2988"/>
      <c r="G55" s="2988"/>
      <c r="H55" s="2989"/>
      <c r="I55" s="832">
        <f>SUM(D52:I52)</f>
        <v>13287.942305679278</v>
      </c>
      <c r="J55" s="259" t="s">
        <v>497</v>
      </c>
      <c r="M55" s="322"/>
      <c r="T55" s="165"/>
      <c r="U55" s="165"/>
      <c r="V55" s="165"/>
      <c r="W55" s="165"/>
      <c r="X55" s="165"/>
      <c r="Y55" s="165"/>
    </row>
    <row r="56" spans="1:25" ht="13.8" thickBot="1" x14ac:dyDescent="0.3">
      <c r="C56" s="213"/>
      <c r="T56" s="165"/>
      <c r="U56" s="165"/>
      <c r="V56" s="165"/>
      <c r="W56" s="165"/>
      <c r="X56" s="165"/>
      <c r="Y56" s="165"/>
    </row>
    <row r="57" spans="1:25" ht="12.75" customHeight="1" thickBot="1" x14ac:dyDescent="0.25">
      <c r="B57" s="634" t="s">
        <v>554</v>
      </c>
      <c r="C57" s="635"/>
      <c r="D57" s="636" t="e">
        <f>+D52/D51</f>
        <v>#DIV/0!</v>
      </c>
      <c r="E57" s="636" t="e">
        <f t="shared" ref="E57:J57" si="12">+E52/E51</f>
        <v>#DIV/0!</v>
      </c>
      <c r="F57" s="636" t="e">
        <f t="shared" si="12"/>
        <v>#DIV/0!</v>
      </c>
      <c r="G57" s="636">
        <f t="shared" si="12"/>
        <v>20.444059710181854</v>
      </c>
      <c r="H57" s="636">
        <f t="shared" si="12"/>
        <v>18.643701665030271</v>
      </c>
      <c r="I57" s="636">
        <f t="shared" si="12"/>
        <v>18.372310176046295</v>
      </c>
      <c r="J57" s="636">
        <f t="shared" si="12"/>
        <v>18.893105957614544</v>
      </c>
      <c r="T57" s="165"/>
      <c r="U57" s="165"/>
      <c r="V57" s="165"/>
      <c r="W57" s="165"/>
      <c r="X57" s="165"/>
      <c r="Y57" s="165"/>
    </row>
    <row r="58" spans="1:25" ht="12.75" customHeight="1" x14ac:dyDescent="0.2">
      <c r="D58" s="165"/>
      <c r="E58" s="165"/>
      <c r="F58" s="165"/>
      <c r="G58" s="165"/>
      <c r="H58" s="165"/>
      <c r="I58" s="165"/>
      <c r="J58" s="165"/>
      <c r="T58" s="165"/>
      <c r="U58" s="165"/>
      <c r="V58" s="165"/>
      <c r="W58" s="165"/>
      <c r="X58" s="165"/>
      <c r="Y58" s="165"/>
    </row>
    <row r="59" spans="1:25" ht="13.2" thickBot="1" x14ac:dyDescent="0.25">
      <c r="T59" s="165"/>
      <c r="U59" s="165"/>
      <c r="V59" s="165"/>
      <c r="W59" s="165"/>
      <c r="X59" s="165"/>
      <c r="Y59" s="165"/>
    </row>
    <row r="60" spans="1:25" ht="13.2" thickBot="1" x14ac:dyDescent="0.25">
      <c r="B60" s="850" t="s">
        <v>742</v>
      </c>
      <c r="C60" s="1031"/>
      <c r="D60" s="2527">
        <f>DispatchSchedule!F61</f>
        <v>0</v>
      </c>
      <c r="E60" s="2527">
        <f>DispatchSchedule!G61</f>
        <v>0</v>
      </c>
      <c r="F60" s="2527">
        <f>DispatchSchedule!H61</f>
        <v>0</v>
      </c>
      <c r="G60" s="2527">
        <f>DispatchSchedule!I61</f>
        <v>143.06011241000007</v>
      </c>
      <c r="H60" s="2527">
        <f>DispatchSchedule!J61</f>
        <v>257.57091379999997</v>
      </c>
      <c r="I60" s="2527">
        <f>DispatchSchedule!K61</f>
        <v>302.69125099999997</v>
      </c>
      <c r="J60" s="2528">
        <f>DispatchSchedule!L61</f>
        <v>703.32227721000004</v>
      </c>
      <c r="T60" s="165"/>
      <c r="U60" s="165"/>
      <c r="V60" s="165"/>
      <c r="W60" s="165"/>
      <c r="X60" s="165"/>
      <c r="Y60" s="165"/>
    </row>
    <row r="61" spans="1:25" x14ac:dyDescent="0.2">
      <c r="D61" s="1273"/>
      <c r="E61" s="1273"/>
      <c r="F61" s="1273"/>
      <c r="G61" s="1273"/>
      <c r="H61" s="1273"/>
      <c r="I61" s="1273"/>
      <c r="J61" s="1273"/>
      <c r="T61" s="165"/>
      <c r="U61" s="165"/>
      <c r="V61" s="165"/>
      <c r="W61" s="165"/>
      <c r="X61" s="165"/>
      <c r="Y61" s="165"/>
    </row>
    <row r="62" spans="1:25" x14ac:dyDescent="0.2">
      <c r="D62" s="216">
        <f t="shared" ref="D62:I62" si="13">+D8+D11+D23+D26+D35+D45</f>
        <v>0</v>
      </c>
      <c r="E62" s="216">
        <f t="shared" si="13"/>
        <v>0</v>
      </c>
      <c r="F62" s="216">
        <f t="shared" si="13"/>
        <v>0</v>
      </c>
      <c r="G62" s="216">
        <f t="shared" si="13"/>
        <v>143.06011240999999</v>
      </c>
      <c r="H62" s="216">
        <f t="shared" si="13"/>
        <v>257.57091379999997</v>
      </c>
      <c r="I62" s="216">
        <f t="shared" si="13"/>
        <v>302.69125099999997</v>
      </c>
      <c r="J62" s="216">
        <f>+J8+J11+J23+J26+J35+J45</f>
        <v>703.32227720999992</v>
      </c>
      <c r="T62" s="165"/>
      <c r="U62" s="165"/>
      <c r="V62" s="165"/>
      <c r="W62" s="165"/>
      <c r="X62" s="165"/>
      <c r="Y62" s="165"/>
    </row>
    <row r="63" spans="1:25" hidden="1" x14ac:dyDescent="0.2">
      <c r="T63" s="165"/>
      <c r="U63" s="165"/>
      <c r="V63" s="165"/>
      <c r="W63" s="165"/>
      <c r="X63" s="165"/>
      <c r="Y63" s="165"/>
    </row>
    <row r="64" spans="1:25" ht="12.75" hidden="1" customHeight="1" x14ac:dyDescent="0.2">
      <c r="D64" s="214"/>
      <c r="E64" s="214"/>
      <c r="F64" s="214"/>
      <c r="G64" s="214"/>
      <c r="H64" s="214"/>
      <c r="I64" s="214"/>
      <c r="J64" s="214"/>
      <c r="T64" s="165"/>
      <c r="U64" s="165"/>
      <c r="V64" s="165"/>
      <c r="W64" s="165"/>
      <c r="X64" s="165"/>
      <c r="Y64" s="165"/>
    </row>
    <row r="65" spans="2:25" hidden="1" x14ac:dyDescent="0.2">
      <c r="B65" s="484" t="s">
        <v>795</v>
      </c>
      <c r="C65" s="484" t="s">
        <v>56</v>
      </c>
      <c r="D65" s="214"/>
      <c r="E65" s="214"/>
      <c r="F65" s="214"/>
      <c r="G65" s="214"/>
      <c r="H65" s="214"/>
      <c r="I65" s="214"/>
      <c r="J65" s="214"/>
      <c r="T65" s="165"/>
      <c r="U65" s="165"/>
      <c r="V65" s="165"/>
      <c r="W65" s="165"/>
      <c r="X65" s="165"/>
      <c r="Y65" s="165"/>
    </row>
    <row r="66" spans="2:25" hidden="1" x14ac:dyDescent="0.2">
      <c r="B66" s="484" t="s">
        <v>796</v>
      </c>
      <c r="C66" s="1101"/>
      <c r="D66" s="615"/>
      <c r="T66" s="165"/>
      <c r="U66" s="165"/>
      <c r="V66" s="165"/>
      <c r="W66" s="165"/>
      <c r="X66" s="165"/>
      <c r="Y66" s="165"/>
    </row>
    <row r="67" spans="2:25" hidden="1" x14ac:dyDescent="0.2">
      <c r="B67" s="484" t="s">
        <v>797</v>
      </c>
      <c r="C67" s="1101"/>
      <c r="D67" s="214"/>
      <c r="T67" s="165"/>
      <c r="U67" s="165"/>
      <c r="V67" s="165"/>
      <c r="W67" s="165"/>
      <c r="X67" s="165"/>
      <c r="Y67" s="165"/>
    </row>
    <row r="68" spans="2:25" hidden="1" x14ac:dyDescent="0.2">
      <c r="B68" s="484" t="s">
        <v>798</v>
      </c>
      <c r="C68" s="1101"/>
      <c r="D68" s="165"/>
      <c r="E68" s="165"/>
      <c r="T68" s="165"/>
      <c r="U68" s="165"/>
      <c r="V68" s="165"/>
      <c r="W68" s="165"/>
      <c r="X68" s="165"/>
      <c r="Y68" s="165"/>
    </row>
    <row r="69" spans="2:25" hidden="1" x14ac:dyDescent="0.2">
      <c r="B69" s="484" t="s">
        <v>799</v>
      </c>
      <c r="C69" s="1101"/>
      <c r="D69" s="214"/>
      <c r="E69" s="214"/>
      <c r="F69" s="214"/>
      <c r="T69" s="165"/>
      <c r="U69" s="165"/>
      <c r="V69" s="165"/>
      <c r="W69" s="165"/>
      <c r="X69" s="165"/>
      <c r="Y69" s="165"/>
    </row>
    <row r="70" spans="2:25" hidden="1" x14ac:dyDescent="0.2">
      <c r="B70" s="47"/>
      <c r="C70" s="1101">
        <f>C66+C67+C68+C69</f>
        <v>0</v>
      </c>
      <c r="D70" s="214"/>
      <c r="F70" s="214"/>
      <c r="T70" s="165"/>
      <c r="U70" s="165"/>
      <c r="V70" s="165"/>
      <c r="W70" s="165"/>
      <c r="X70" s="165"/>
      <c r="Y70" s="165"/>
    </row>
    <row r="71" spans="2:25" hidden="1" x14ac:dyDescent="0.2">
      <c r="D71" s="214"/>
      <c r="F71" s="214"/>
      <c r="T71" s="165"/>
      <c r="U71" s="165"/>
      <c r="V71" s="165"/>
      <c r="W71" s="165"/>
      <c r="X71" s="165"/>
      <c r="Y71" s="165"/>
    </row>
    <row r="72" spans="2:25" hidden="1" x14ac:dyDescent="0.2">
      <c r="T72" s="165"/>
      <c r="U72" s="165"/>
      <c r="V72" s="165"/>
      <c r="W72" s="165"/>
      <c r="X72" s="165"/>
      <c r="Y72" s="165"/>
    </row>
    <row r="73" spans="2:25" hidden="1" x14ac:dyDescent="0.2">
      <c r="T73" s="165"/>
      <c r="U73" s="165"/>
      <c r="V73" s="165"/>
      <c r="W73" s="165"/>
      <c r="X73" s="165"/>
      <c r="Y73" s="165"/>
    </row>
    <row r="74" spans="2:25" hidden="1" x14ac:dyDescent="0.2">
      <c r="T74" s="165"/>
      <c r="U74" s="165"/>
      <c r="V74" s="165"/>
      <c r="W74" s="165"/>
      <c r="X74" s="165"/>
      <c r="Y74" s="165"/>
    </row>
    <row r="75" spans="2:25" hidden="1" x14ac:dyDescent="0.2">
      <c r="T75" s="165"/>
      <c r="U75" s="165"/>
      <c r="V75" s="165"/>
      <c r="W75" s="165"/>
      <c r="X75" s="165"/>
      <c r="Y75" s="165"/>
    </row>
    <row r="76" spans="2:25" hidden="1" x14ac:dyDescent="0.2">
      <c r="T76" s="165"/>
      <c r="U76" s="165"/>
      <c r="V76" s="165"/>
      <c r="W76" s="165"/>
      <c r="X76" s="165"/>
      <c r="Y76" s="165"/>
    </row>
    <row r="77" spans="2:25" hidden="1" x14ac:dyDescent="0.2">
      <c r="T77" s="165"/>
      <c r="U77" s="165"/>
      <c r="V77" s="165"/>
      <c r="W77" s="165"/>
      <c r="X77" s="165"/>
      <c r="Y77" s="165"/>
    </row>
    <row r="78" spans="2:25" hidden="1" x14ac:dyDescent="0.2">
      <c r="T78" s="165"/>
      <c r="U78" s="165"/>
      <c r="V78" s="165"/>
      <c r="W78" s="165"/>
      <c r="X78" s="165"/>
      <c r="Y78" s="165"/>
    </row>
    <row r="79" spans="2:25" hidden="1" x14ac:dyDescent="0.2">
      <c r="T79" s="165"/>
      <c r="U79" s="165"/>
      <c r="V79" s="165"/>
      <c r="W79" s="165"/>
      <c r="X79" s="165"/>
      <c r="Y79" s="165"/>
    </row>
    <row r="80" spans="2:25" x14ac:dyDescent="0.2">
      <c r="D80" s="216">
        <f>+D60-D62</f>
        <v>0</v>
      </c>
      <c r="E80" s="216">
        <f t="shared" ref="E80:I80" si="14">+E60-E62</f>
        <v>0</v>
      </c>
      <c r="F80" s="216">
        <f t="shared" si="14"/>
        <v>0</v>
      </c>
      <c r="G80" s="216">
        <f t="shared" si="14"/>
        <v>0</v>
      </c>
      <c r="H80" s="216">
        <f t="shared" si="14"/>
        <v>0</v>
      </c>
      <c r="I80" s="216">
        <f t="shared" si="14"/>
        <v>0</v>
      </c>
      <c r="J80" s="216">
        <f>+J60-J62</f>
        <v>0</v>
      </c>
      <c r="T80" s="165"/>
      <c r="U80" s="165"/>
      <c r="V80" s="165"/>
      <c r="W80" s="165"/>
      <c r="X80" s="165"/>
      <c r="Y80" s="165"/>
    </row>
    <row r="82" spans="4:11" x14ac:dyDescent="0.2">
      <c r="D82" s="241"/>
      <c r="E82" s="241"/>
      <c r="F82" s="241"/>
      <c r="G82" s="241"/>
      <c r="H82" s="241"/>
      <c r="I82" s="241"/>
      <c r="J82" s="241"/>
    </row>
    <row r="83" spans="4:11" x14ac:dyDescent="0.2">
      <c r="D83" s="615"/>
      <c r="E83" s="615"/>
      <c r="F83" s="615"/>
      <c r="G83" s="615"/>
      <c r="H83" s="615"/>
      <c r="I83" s="615"/>
      <c r="J83" s="414"/>
    </row>
    <row r="84" spans="4:11" x14ac:dyDescent="0.2">
      <c r="D84" s="414"/>
      <c r="E84" s="414"/>
      <c r="F84" s="414"/>
      <c r="G84" s="414"/>
      <c r="H84" s="414"/>
      <c r="I84" s="414"/>
      <c r="J84" s="414"/>
    </row>
    <row r="86" spans="4:11" x14ac:dyDescent="0.2">
      <c r="D86" s="214"/>
      <c r="E86" s="214"/>
      <c r="F86" s="214"/>
      <c r="G86" s="214"/>
      <c r="H86" s="214"/>
      <c r="I86" s="214"/>
      <c r="J86" s="214"/>
    </row>
    <row r="87" spans="4:11" x14ac:dyDescent="0.2">
      <c r="D87" s="446"/>
      <c r="E87" s="446"/>
      <c r="F87" s="446"/>
      <c r="G87" s="446"/>
      <c r="H87" s="446"/>
      <c r="I87" s="446"/>
    </row>
    <row r="89" spans="4:11" x14ac:dyDescent="0.2">
      <c r="D89" s="414"/>
      <c r="E89" s="414"/>
      <c r="F89" s="414"/>
      <c r="G89" s="414"/>
      <c r="H89" s="414"/>
      <c r="I89" s="414"/>
      <c r="J89" s="414"/>
      <c r="K89" s="414"/>
    </row>
    <row r="95" spans="4:11" x14ac:dyDescent="0.2">
      <c r="D95" s="183"/>
    </row>
    <row r="99" spans="4:10" x14ac:dyDescent="0.2">
      <c r="D99" s="414"/>
      <c r="E99" s="414"/>
      <c r="F99" s="414"/>
      <c r="G99" s="414"/>
      <c r="H99" s="414"/>
      <c r="I99" s="414"/>
      <c r="J99" s="414"/>
    </row>
  </sheetData>
  <mergeCells count="20">
    <mergeCell ref="B25:B26"/>
    <mergeCell ref="A32:A36"/>
    <mergeCell ref="B33:C33"/>
    <mergeCell ref="B34:B36"/>
    <mergeCell ref="B51:C51"/>
    <mergeCell ref="A20:A27"/>
    <mergeCell ref="B20:C20"/>
    <mergeCell ref="B22:B24"/>
    <mergeCell ref="B21:C21"/>
    <mergeCell ref="A5:A12"/>
    <mergeCell ref="B5:C5"/>
    <mergeCell ref="B6:C6"/>
    <mergeCell ref="B7:B9"/>
    <mergeCell ref="B10:B11"/>
    <mergeCell ref="A42:A46"/>
    <mergeCell ref="B43:C43"/>
    <mergeCell ref="B44:B46"/>
    <mergeCell ref="C54:H54"/>
    <mergeCell ref="C55:H55"/>
    <mergeCell ref="B52:C52"/>
  </mergeCells>
  <phoneticPr fontId="54" type="noConversion"/>
  <dataValidations disablePrompts="1" count="3">
    <dataValidation type="list" allowBlank="1" showInputMessage="1" showErrorMessage="1" sqref="C9 C39 C17 B56 C24 C32 C46" xr:uid="{00000000-0002-0000-3400-000000000000}">
      <formula1>Currency</formula1>
    </dataValidation>
    <dataValidation type="list" allowBlank="1" showInputMessage="1" showErrorMessage="1" sqref="C22 C37 C30" xr:uid="{00000000-0002-0000-3400-000001000000}">
      <formula1>Combustible</formula1>
    </dataValidation>
    <dataValidation type="list" allowBlank="1" showInputMessage="1" showErrorMessage="1" sqref="C23 C38 C31" xr:uid="{00000000-0002-0000-3400-000002000000}">
      <formula1>Units</formula1>
    </dataValidation>
  </dataValidations>
  <pageMargins left="0.75" right="0.75" top="1" bottom="1" header="0" footer="0"/>
  <pageSetup paperSize="9"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3"/>
  <dimension ref="A2:K94"/>
  <sheetViews>
    <sheetView view="pageBreakPreview" zoomScaleNormal="100" zoomScaleSheetLayoutView="100" workbookViewId="0">
      <selection activeCell="E39" sqref="E39"/>
    </sheetView>
  </sheetViews>
  <sheetFormatPr defaultColWidth="9" defaultRowHeight="12.6" x14ac:dyDescent="0.2"/>
  <cols>
    <col min="1" max="1" width="30" customWidth="1"/>
    <col min="2" max="2" width="17.08984375" bestFit="1" customWidth="1"/>
    <col min="3" max="7" width="19" customWidth="1"/>
    <col min="8" max="8" width="19.36328125" customWidth="1"/>
    <col min="9" max="9" width="20" customWidth="1"/>
    <col min="10" max="11" width="15.08984375" customWidth="1"/>
  </cols>
  <sheetData>
    <row r="2" spans="1:11" ht="16.2" x14ac:dyDescent="0.3">
      <c r="A2" s="3" t="s">
        <v>1161</v>
      </c>
      <c r="C2" s="2639"/>
    </row>
    <row r="4" spans="1:11" x14ac:dyDescent="0.2">
      <c r="A4" s="1" t="s">
        <v>1284</v>
      </c>
      <c r="C4" s="322"/>
      <c r="D4" s="322"/>
      <c r="E4" s="322"/>
      <c r="F4" s="322"/>
      <c r="G4" s="322"/>
      <c r="H4" s="322"/>
      <c r="I4" s="322"/>
    </row>
    <row r="5" spans="1:11" x14ac:dyDescent="0.2">
      <c r="A5" s="415" t="s">
        <v>1433</v>
      </c>
      <c r="C5" s="322"/>
      <c r="D5" s="322"/>
      <c r="E5" s="322"/>
      <c r="F5" s="322"/>
      <c r="G5" s="322"/>
      <c r="H5" s="322"/>
      <c r="I5" s="322"/>
    </row>
    <row r="6" spans="1:11" ht="13.2" thickBot="1" x14ac:dyDescent="0.25">
      <c r="A6" s="415" t="s">
        <v>1434</v>
      </c>
      <c r="C6" s="322"/>
      <c r="D6" s="322"/>
      <c r="E6" s="322"/>
      <c r="F6" s="322"/>
      <c r="G6" s="322"/>
      <c r="H6" s="322"/>
      <c r="I6" s="322"/>
    </row>
    <row r="7" spans="1:11" s="223" customFormat="1" ht="25.8" thickBot="1" x14ac:dyDescent="0.25">
      <c r="A7" s="2640"/>
      <c r="B7" s="2735"/>
      <c r="C7" s="2641" t="s">
        <v>214</v>
      </c>
      <c r="D7" s="2809"/>
      <c r="E7" s="2641" t="s">
        <v>1285</v>
      </c>
      <c r="F7" s="2736" t="s">
        <v>1342</v>
      </c>
      <c r="G7" s="2642" t="s">
        <v>1286</v>
      </c>
    </row>
    <row r="8" spans="1:11" s="223" customFormat="1" x14ac:dyDescent="0.2">
      <c r="A8" s="3020" t="s">
        <v>1283</v>
      </c>
      <c r="B8" s="3022" t="s">
        <v>1287</v>
      </c>
      <c r="C8" s="2737"/>
      <c r="D8" s="2644" t="s">
        <v>445</v>
      </c>
      <c r="E8" s="2643"/>
      <c r="F8" s="2643"/>
      <c r="G8" s="3024" t="s">
        <v>1343</v>
      </c>
    </row>
    <row r="9" spans="1:11" s="223" customFormat="1" x14ac:dyDescent="0.2">
      <c r="A9" s="3021"/>
      <c r="B9" s="3023"/>
      <c r="C9" s="2738">
        <v>15.5</v>
      </c>
      <c r="D9" s="2851">
        <v>4033347</v>
      </c>
      <c r="E9" s="2739">
        <f t="shared" ref="E9:E15" si="0">D9/SUM($D$9:$D$15)</f>
        <v>7.9709829010743243E-3</v>
      </c>
      <c r="F9" s="3027">
        <f>ROUND(C9*E9+C10*E10+C11*E11+C12*E12+C13*E13+C14*E14,2)</f>
        <v>29.98</v>
      </c>
      <c r="G9" s="3025"/>
    </row>
    <row r="10" spans="1:11" s="223" customFormat="1" x14ac:dyDescent="0.2">
      <c r="A10" s="3021"/>
      <c r="B10" s="3023"/>
      <c r="C10" s="2738">
        <v>22</v>
      </c>
      <c r="D10" s="2851">
        <v>134748063</v>
      </c>
      <c r="E10" s="2739">
        <f t="shared" si="0"/>
        <v>0.2662985619947616</v>
      </c>
      <c r="F10" s="3028"/>
      <c r="G10" s="3025"/>
    </row>
    <row r="11" spans="1:11" s="223" customFormat="1" x14ac:dyDescent="0.2">
      <c r="A11" s="3021"/>
      <c r="B11" s="3023"/>
      <c r="C11" s="2738">
        <v>34.5</v>
      </c>
      <c r="D11" s="2851">
        <v>23672602</v>
      </c>
      <c r="E11" s="2739">
        <f t="shared" si="0"/>
        <v>4.6783454477370243E-2</v>
      </c>
      <c r="F11" s="3028"/>
      <c r="G11" s="3025"/>
    </row>
    <row r="12" spans="1:11" s="223" customFormat="1" x14ac:dyDescent="0.2">
      <c r="A12" s="3021"/>
      <c r="B12" s="3023"/>
      <c r="C12" s="2738">
        <v>37</v>
      </c>
      <c r="D12" s="2851">
        <v>217523776</v>
      </c>
      <c r="E12" s="2739">
        <f t="shared" si="0"/>
        <v>0.4298857249507968</v>
      </c>
      <c r="F12" s="3028"/>
      <c r="G12" s="3025"/>
    </row>
    <row r="13" spans="1:11" ht="16.95" customHeight="1" x14ac:dyDescent="0.2">
      <c r="A13" s="3021"/>
      <c r="B13" s="3023"/>
      <c r="C13" s="2740">
        <v>23.18</v>
      </c>
      <c r="D13" s="2852">
        <v>6264077</v>
      </c>
      <c r="E13" s="2741">
        <f t="shared" si="0"/>
        <v>1.237950780282801E-2</v>
      </c>
      <c r="F13" s="3028"/>
      <c r="G13" s="3025"/>
      <c r="K13" s="2645"/>
    </row>
    <row r="14" spans="1:11" ht="16.95" customHeight="1" x14ac:dyDescent="0.2">
      <c r="A14" s="3021"/>
      <c r="B14" s="3023"/>
      <c r="C14" s="2740">
        <v>27.06</v>
      </c>
      <c r="D14" s="2852">
        <v>115787688</v>
      </c>
      <c r="E14" s="2741">
        <f t="shared" si="0"/>
        <v>0.22882774063400166</v>
      </c>
      <c r="F14" s="3028"/>
      <c r="G14" s="3025"/>
      <c r="H14" s="165"/>
      <c r="K14" s="2645"/>
    </row>
    <row r="15" spans="1:11" ht="16.95" customHeight="1" thickBot="1" x14ac:dyDescent="0.25">
      <c r="A15" s="3021"/>
      <c r="B15" s="2937"/>
      <c r="C15" s="2742" t="s">
        <v>1344</v>
      </c>
      <c r="D15" s="2852">
        <v>3974167</v>
      </c>
      <c r="E15" s="2741">
        <f t="shared" si="0"/>
        <v>7.854027239167333E-3</v>
      </c>
      <c r="F15" s="3029"/>
      <c r="G15" s="3026"/>
      <c r="K15" s="2645"/>
    </row>
    <row r="16" spans="1:11" ht="23.4" customHeight="1" x14ac:dyDescent="0.2">
      <c r="A16" s="3030" t="s">
        <v>1289</v>
      </c>
      <c r="B16" s="2743" t="s">
        <v>1345</v>
      </c>
      <c r="C16" s="2737">
        <v>30.82</v>
      </c>
      <c r="D16" s="2853">
        <v>12849899</v>
      </c>
      <c r="E16" s="2744">
        <f>D16/SUM($D$16:$D$20)</f>
        <v>0.32832809192379875</v>
      </c>
      <c r="F16" s="3033">
        <f>C16*E16+C17*E17+C18*E18+C19*E19+C20*E20</f>
        <v>29.11099099420904</v>
      </c>
      <c r="G16" s="3036" t="s">
        <v>1346</v>
      </c>
      <c r="K16" s="2645"/>
    </row>
    <row r="17" spans="1:11" ht="23.4" customHeight="1" x14ac:dyDescent="0.2">
      <c r="A17" s="3031"/>
      <c r="B17" s="2745" t="s">
        <v>1347</v>
      </c>
      <c r="C17" s="2746">
        <v>28.77</v>
      </c>
      <c r="D17" s="2852">
        <v>21222622</v>
      </c>
      <c r="E17" s="2747">
        <f>D17/SUM($D$16:$D$20)</f>
        <v>0.54225974747972994</v>
      </c>
      <c r="F17" s="3034"/>
      <c r="G17" s="3037"/>
      <c r="K17" s="2645"/>
    </row>
    <row r="18" spans="1:11" ht="23.4" customHeight="1" x14ac:dyDescent="0.2">
      <c r="A18" s="3031"/>
      <c r="B18" s="2745" t="s">
        <v>1348</v>
      </c>
      <c r="C18" s="2746">
        <v>26.58</v>
      </c>
      <c r="D18" s="2852">
        <v>3937766</v>
      </c>
      <c r="E18" s="2747">
        <f>D18/SUM($D$16:$D$20)</f>
        <v>0.10061395791689953</v>
      </c>
      <c r="F18" s="3034"/>
      <c r="G18" s="3037"/>
      <c r="K18" s="2645"/>
    </row>
    <row r="19" spans="1:11" ht="23.4" customHeight="1" x14ac:dyDescent="0.2">
      <c r="A19" s="3031"/>
      <c r="B19" s="2745" t="s">
        <v>1288</v>
      </c>
      <c r="C19" s="2746">
        <v>24.89</v>
      </c>
      <c r="D19" s="2852">
        <v>1127086</v>
      </c>
      <c r="E19" s="2747">
        <f>D19/SUM($D$16:$D$20)</f>
        <v>2.8798202679571772E-2</v>
      </c>
      <c r="F19" s="3034"/>
      <c r="G19" s="3037"/>
      <c r="K19" s="2645"/>
    </row>
    <row r="20" spans="1:11" ht="23.4" customHeight="1" thickBot="1" x14ac:dyDescent="0.25">
      <c r="A20" s="3032"/>
      <c r="B20" s="2748" t="s">
        <v>1290</v>
      </c>
      <c r="C20" s="2749">
        <v>27.27</v>
      </c>
      <c r="D20" s="2854">
        <v>0</v>
      </c>
      <c r="E20" s="2750">
        <f>D20/SUM($D$16:$D$20)</f>
        <v>0</v>
      </c>
      <c r="F20" s="3035"/>
      <c r="G20" s="3038"/>
      <c r="K20" s="2645"/>
    </row>
    <row r="21" spans="1:11" x14ac:dyDescent="0.2">
      <c r="A21" s="310"/>
      <c r="B21" s="183"/>
      <c r="C21" s="2751"/>
      <c r="D21" s="322"/>
      <c r="E21" s="322"/>
      <c r="F21" s="2608"/>
      <c r="G21" s="322"/>
      <c r="H21" s="322"/>
      <c r="I21" s="322"/>
      <c r="J21" s="2645"/>
    </row>
    <row r="22" spans="1:11" ht="25.2" x14ac:dyDescent="0.2">
      <c r="A22" s="2752" t="s">
        <v>1349</v>
      </c>
      <c r="B22" s="2753">
        <f>SUM(D9:D15)</f>
        <v>506003720</v>
      </c>
      <c r="C22" s="2754">
        <f>B22/(B22+B23)</f>
        <v>0.92820689266952772</v>
      </c>
      <c r="D22" s="241"/>
      <c r="E22" s="241"/>
      <c r="F22" s="241"/>
      <c r="G22" s="241"/>
      <c r="H22" s="241"/>
      <c r="I22" s="241"/>
      <c r="J22" s="241"/>
    </row>
    <row r="23" spans="1:11" ht="25.2" x14ac:dyDescent="0.2">
      <c r="A23" s="2752" t="s">
        <v>1350</v>
      </c>
      <c r="B23" s="2753">
        <f>SUM(D16:D20)</f>
        <v>39137373</v>
      </c>
      <c r="C23" s="2754">
        <f>B23/(B22+B23)</f>
        <v>7.1793107330472339E-2</v>
      </c>
      <c r="D23" s="322"/>
      <c r="E23" s="322"/>
      <c r="F23" s="1576"/>
      <c r="G23" s="322"/>
      <c r="H23" s="322"/>
      <c r="I23" s="322"/>
      <c r="J23" s="2645"/>
    </row>
    <row r="24" spans="1:11" x14ac:dyDescent="0.2">
      <c r="A24" s="1"/>
      <c r="B24" s="183"/>
      <c r="C24" s="660"/>
      <c r="D24" s="322"/>
      <c r="E24" s="322"/>
      <c r="F24" s="1576"/>
      <c r="G24" s="322"/>
      <c r="H24" s="322"/>
      <c r="I24" s="322"/>
      <c r="J24" s="2645"/>
    </row>
    <row r="25" spans="1:11" x14ac:dyDescent="0.2">
      <c r="A25" s="780" t="s">
        <v>1351</v>
      </c>
      <c r="C25" s="2707"/>
      <c r="D25" s="322"/>
      <c r="E25" s="322"/>
      <c r="F25" s="1576"/>
      <c r="G25" s="322"/>
      <c r="H25" s="322"/>
      <c r="I25" s="322"/>
      <c r="J25" s="2645"/>
    </row>
    <row r="26" spans="1:11" x14ac:dyDescent="0.2">
      <c r="A26" s="315" t="s">
        <v>1352</v>
      </c>
      <c r="C26" s="2707"/>
      <c r="D26" s="322"/>
      <c r="E26" s="322"/>
      <c r="F26" s="1576"/>
      <c r="G26" s="322"/>
      <c r="H26" s="322"/>
      <c r="I26" s="322"/>
      <c r="J26" s="2645"/>
    </row>
    <row r="27" spans="1:11" x14ac:dyDescent="0.2">
      <c r="A27" s="315" t="s">
        <v>1353</v>
      </c>
      <c r="C27" s="2707"/>
      <c r="D27" s="322"/>
      <c r="E27" s="322"/>
      <c r="F27" s="1576"/>
      <c r="G27" s="322"/>
      <c r="H27" s="322"/>
      <c r="I27" s="322"/>
      <c r="J27" s="2645"/>
    </row>
    <row r="28" spans="1:11" x14ac:dyDescent="0.2">
      <c r="C28" s="322"/>
      <c r="D28" s="322"/>
      <c r="E28" s="322"/>
      <c r="F28" s="1576"/>
      <c r="G28" s="322"/>
      <c r="H28" s="322"/>
      <c r="I28" s="322"/>
      <c r="J28" s="2645"/>
    </row>
    <row r="29" spans="1:11" x14ac:dyDescent="0.2">
      <c r="C29" s="322"/>
      <c r="D29" s="322"/>
      <c r="E29" s="322"/>
      <c r="F29" s="1576"/>
      <c r="G29" s="322"/>
      <c r="H29" s="322"/>
      <c r="I29" s="322"/>
      <c r="J29" s="2645"/>
    </row>
    <row r="30" spans="1:11" ht="25.2" customHeight="1" x14ac:dyDescent="0.2">
      <c r="A30" s="2755" t="s">
        <v>1354</v>
      </c>
    </row>
    <row r="31" spans="1:11" x14ac:dyDescent="0.2">
      <c r="A31" s="2756"/>
      <c r="B31" s="2756"/>
      <c r="C31" s="2757">
        <f>DispatchSchedule!F3</f>
        <v>46023</v>
      </c>
      <c r="D31" s="2757">
        <f>DispatchSchedule!G3</f>
        <v>46054</v>
      </c>
      <c r="E31" s="2757">
        <f>DispatchSchedule!H3</f>
        <v>46082</v>
      </c>
      <c r="F31" s="2757">
        <f>DispatchSchedule!I3</f>
        <v>46113</v>
      </c>
      <c r="G31" s="2757">
        <f>DispatchSchedule!J3</f>
        <v>46143</v>
      </c>
      <c r="H31" s="2757">
        <f>DispatchSchedule!K3</f>
        <v>46174</v>
      </c>
      <c r="I31" s="2758" t="s">
        <v>445</v>
      </c>
    </row>
    <row r="32" spans="1:11" ht="25.2" x14ac:dyDescent="0.2">
      <c r="A32" s="2759" t="s">
        <v>1355</v>
      </c>
      <c r="B32" s="2760" t="s">
        <v>56</v>
      </c>
      <c r="C32" s="2761">
        <f>DispatchSchedule!F99*$C$70</f>
        <v>0</v>
      </c>
      <c r="D32" s="2761">
        <f>DispatchSchedule!G99*$C$70</f>
        <v>0</v>
      </c>
      <c r="E32" s="2761">
        <f>DispatchSchedule!H99*$C$70</f>
        <v>0</v>
      </c>
      <c r="F32" s="2761">
        <f>DispatchSchedule!I99*$C$70</f>
        <v>177.828</v>
      </c>
      <c r="G32" s="2761">
        <f>DispatchSchedule!J99*$C$70</f>
        <v>173.82599999999999</v>
      </c>
      <c r="H32" s="2761">
        <f>DispatchSchedule!K99*$C$70</f>
        <v>164.691</v>
      </c>
      <c r="I32" s="2761">
        <f>C32+D32+E32+F32+G32+H32</f>
        <v>516.34500000000003</v>
      </c>
    </row>
    <row r="33" spans="1:9" ht="37.799999999999997" x14ac:dyDescent="0.2">
      <c r="A33" s="2759" t="s">
        <v>1356</v>
      </c>
      <c r="B33" s="2760" t="s">
        <v>56</v>
      </c>
      <c r="C33" s="2761">
        <f>C32*$C$22</f>
        <v>0</v>
      </c>
      <c r="D33" s="2761">
        <f t="shared" ref="D33:H33" si="1">D32*$C$22</f>
        <v>0</v>
      </c>
      <c r="E33" s="2761">
        <f t="shared" si="1"/>
        <v>0</v>
      </c>
      <c r="F33" s="2761">
        <f t="shared" si="1"/>
        <v>165.06117530963678</v>
      </c>
      <c r="G33" s="2761">
        <f t="shared" si="1"/>
        <v>161.34649132517333</v>
      </c>
      <c r="H33" s="2761">
        <f t="shared" si="1"/>
        <v>152.86732136063719</v>
      </c>
      <c r="I33" s="2761">
        <f>C33+D33+E33+F33+G33+H33</f>
        <v>479.2749879954473</v>
      </c>
    </row>
    <row r="34" spans="1:9" x14ac:dyDescent="0.2">
      <c r="A34" s="2762" t="s">
        <v>832</v>
      </c>
      <c r="B34" s="2763" t="s">
        <v>751</v>
      </c>
      <c r="C34" s="2764">
        <f>$F$9</f>
        <v>29.98</v>
      </c>
      <c r="D34" s="2764">
        <f t="shared" ref="D34:H34" si="2">$F$9</f>
        <v>29.98</v>
      </c>
      <c r="E34" s="2764">
        <f t="shared" si="2"/>
        <v>29.98</v>
      </c>
      <c r="F34" s="2764">
        <f t="shared" si="2"/>
        <v>29.98</v>
      </c>
      <c r="G34" s="2764">
        <f t="shared" si="2"/>
        <v>29.98</v>
      </c>
      <c r="H34" s="2764">
        <f t="shared" si="2"/>
        <v>29.98</v>
      </c>
      <c r="I34" s="2764"/>
    </row>
    <row r="35" spans="1:9" x14ac:dyDescent="0.2">
      <c r="A35" s="2762" t="s">
        <v>445</v>
      </c>
      <c r="B35" s="2763" t="s">
        <v>833</v>
      </c>
      <c r="C35" s="2765">
        <f>C33*1000000*C34</f>
        <v>0</v>
      </c>
      <c r="D35" s="2765">
        <f t="shared" ref="D35:G35" si="3">D33*1000000*D34</f>
        <v>0</v>
      </c>
      <c r="E35" s="2765">
        <f t="shared" si="3"/>
        <v>0</v>
      </c>
      <c r="F35" s="2765">
        <f t="shared" si="3"/>
        <v>4948534035.7829103</v>
      </c>
      <c r="G35" s="2765">
        <f t="shared" si="3"/>
        <v>4837167809.9286957</v>
      </c>
      <c r="H35" s="2765">
        <f>H33*1000000*H34</f>
        <v>4582962294.3919029</v>
      </c>
      <c r="I35" s="2765">
        <f>SUM(C35:H35)</f>
        <v>14368664140.103508</v>
      </c>
    </row>
    <row r="36" spans="1:9" x14ac:dyDescent="0.2">
      <c r="B36" s="1938"/>
    </row>
    <row r="37" spans="1:9" x14ac:dyDescent="0.2">
      <c r="A37" s="2756"/>
      <c r="B37" s="2766"/>
      <c r="C37" s="2757">
        <f>C31</f>
        <v>46023</v>
      </c>
      <c r="D37" s="2757">
        <f t="shared" ref="D37:H37" si="4">D31</f>
        <v>46054</v>
      </c>
      <c r="E37" s="2757">
        <f t="shared" si="4"/>
        <v>46082</v>
      </c>
      <c r="F37" s="2757">
        <f t="shared" si="4"/>
        <v>46113</v>
      </c>
      <c r="G37" s="2757">
        <f t="shared" si="4"/>
        <v>46143</v>
      </c>
      <c r="H37" s="2757">
        <f t="shared" si="4"/>
        <v>46174</v>
      </c>
      <c r="I37" s="2758" t="s">
        <v>445</v>
      </c>
    </row>
    <row r="38" spans="1:9" ht="25.2" x14ac:dyDescent="0.2">
      <c r="A38" s="2759" t="s">
        <v>1299</v>
      </c>
      <c r="B38" s="2767" t="s">
        <v>56</v>
      </c>
      <c r="C38" s="2768">
        <f>DispatchSchedule!F99*$C$71</f>
        <v>0</v>
      </c>
      <c r="D38" s="2768">
        <f>DispatchSchedule!G99*$C$71</f>
        <v>0</v>
      </c>
      <c r="E38" s="2768">
        <f>DispatchSchedule!H99*$C$71</f>
        <v>0</v>
      </c>
      <c r="F38" s="2768">
        <f>DispatchSchedule!I99*$C$71</f>
        <v>26.572000000000003</v>
      </c>
      <c r="G38" s="2768">
        <f>DispatchSchedule!J99*$C$71</f>
        <v>25.974</v>
      </c>
      <c r="H38" s="2768">
        <f>DispatchSchedule!K99*$C$71</f>
        <v>24.609000000000002</v>
      </c>
      <c r="I38" s="2769">
        <f>C38+D38+E38+F38+G38+H38</f>
        <v>77.155000000000001</v>
      </c>
    </row>
    <row r="39" spans="1:9" ht="37.799999999999997" x14ac:dyDescent="0.2">
      <c r="A39" s="2759" t="s">
        <v>1356</v>
      </c>
      <c r="B39" s="2760" t="s">
        <v>56</v>
      </c>
      <c r="C39" s="2768">
        <f>C38*$C$22</f>
        <v>0</v>
      </c>
      <c r="D39" s="2768">
        <f t="shared" ref="D39:H39" si="5">D38*$C$22</f>
        <v>0</v>
      </c>
      <c r="E39" s="2768">
        <f t="shared" si="5"/>
        <v>0</v>
      </c>
      <c r="F39" s="2768">
        <f t="shared" si="5"/>
        <v>24.664313552014693</v>
      </c>
      <c r="G39" s="2768">
        <f t="shared" si="5"/>
        <v>24.109245830198311</v>
      </c>
      <c r="H39" s="2768">
        <f t="shared" si="5"/>
        <v>22.84224342170441</v>
      </c>
      <c r="I39" s="2768">
        <f>C39+D39+E39+F39+G39+H39</f>
        <v>71.615802803917418</v>
      </c>
    </row>
    <row r="40" spans="1:9" x14ac:dyDescent="0.2">
      <c r="A40" s="2770" t="s">
        <v>1300</v>
      </c>
      <c r="B40" s="2771" t="s">
        <v>56</v>
      </c>
      <c r="C40" s="2772">
        <f>C39*$B$79</f>
        <v>0</v>
      </c>
      <c r="D40" s="2772">
        <f t="shared" ref="D40:H40" si="6">D39*$B$79</f>
        <v>0</v>
      </c>
      <c r="E40" s="2772">
        <f t="shared" si="6"/>
        <v>0</v>
      </c>
      <c r="F40" s="2772">
        <f t="shared" si="6"/>
        <v>20.224737112652047</v>
      </c>
      <c r="G40" s="2772">
        <f t="shared" si="6"/>
        <v>19.769581580762615</v>
      </c>
      <c r="H40" s="2772">
        <f t="shared" si="6"/>
        <v>18.730639605797617</v>
      </c>
      <c r="I40" s="2772">
        <f>C40+D40+E40+F40+G40+H40</f>
        <v>58.724958299212275</v>
      </c>
    </row>
    <row r="41" spans="1:9" x14ac:dyDescent="0.2">
      <c r="A41" s="2770" t="s">
        <v>832</v>
      </c>
      <c r="B41" s="2771" t="s">
        <v>751</v>
      </c>
      <c r="C41" s="2773">
        <v>20.9</v>
      </c>
      <c r="D41" s="2772">
        <f>C41</f>
        <v>20.9</v>
      </c>
      <c r="E41" s="2772">
        <f t="shared" ref="E41:H41" si="7">D41</f>
        <v>20.9</v>
      </c>
      <c r="F41" s="2772">
        <f t="shared" si="7"/>
        <v>20.9</v>
      </c>
      <c r="G41" s="2772">
        <f t="shared" si="7"/>
        <v>20.9</v>
      </c>
      <c r="H41" s="2772">
        <f t="shared" si="7"/>
        <v>20.9</v>
      </c>
      <c r="I41" s="2772"/>
    </row>
    <row r="42" spans="1:9" x14ac:dyDescent="0.2">
      <c r="A42" s="2770" t="s">
        <v>445</v>
      </c>
      <c r="B42" s="2771" t="s">
        <v>833</v>
      </c>
      <c r="C42" s="2774">
        <f>C40*C41*10^6</f>
        <v>0</v>
      </c>
      <c r="D42" s="2774">
        <f t="shared" ref="D42:H42" si="8">D40*D41*10^6</f>
        <v>0</v>
      </c>
      <c r="E42" s="2774">
        <f t="shared" si="8"/>
        <v>0</v>
      </c>
      <c r="F42" s="2774">
        <f t="shared" si="8"/>
        <v>422697005.65442777</v>
      </c>
      <c r="G42" s="2774">
        <f t="shared" si="8"/>
        <v>413184255.03793859</v>
      </c>
      <c r="H42" s="2774">
        <f t="shared" si="8"/>
        <v>391470367.76117015</v>
      </c>
      <c r="I42" s="2774">
        <f>C42+D42+E42+F42+G42+H42</f>
        <v>1227351628.4535365</v>
      </c>
    </row>
    <row r="43" spans="1:9" x14ac:dyDescent="0.2">
      <c r="A43" s="2775" t="s">
        <v>1301</v>
      </c>
      <c r="B43" s="2776" t="s">
        <v>56</v>
      </c>
      <c r="C43" s="2777">
        <f>C39-C40</f>
        <v>0</v>
      </c>
      <c r="D43" s="2777">
        <f>D39-D40</f>
        <v>0</v>
      </c>
      <c r="E43" s="2777">
        <f t="shared" ref="E43:H43" si="9">E39-E40</f>
        <v>0</v>
      </c>
      <c r="F43" s="2777">
        <f t="shared" si="9"/>
        <v>4.4395764393626465</v>
      </c>
      <c r="G43" s="2777">
        <f t="shared" si="9"/>
        <v>4.3396642494356961</v>
      </c>
      <c r="H43" s="2777">
        <f t="shared" si="9"/>
        <v>4.1116038159067934</v>
      </c>
      <c r="I43" s="2777">
        <f>C43+D43+E43+F43+G43+H43</f>
        <v>12.890844504705136</v>
      </c>
    </row>
    <row r="44" spans="1:9" x14ac:dyDescent="0.2">
      <c r="A44" s="2775" t="s">
        <v>832</v>
      </c>
      <c r="B44" s="2776" t="s">
        <v>751</v>
      </c>
      <c r="C44" s="2777">
        <v>15.07</v>
      </c>
      <c r="D44" s="2777">
        <f>C44</f>
        <v>15.07</v>
      </c>
      <c r="E44" s="2777">
        <f t="shared" ref="E44:H44" si="10">D44</f>
        <v>15.07</v>
      </c>
      <c r="F44" s="2777">
        <f t="shared" si="10"/>
        <v>15.07</v>
      </c>
      <c r="G44" s="2777">
        <f t="shared" si="10"/>
        <v>15.07</v>
      </c>
      <c r="H44" s="2777">
        <f t="shared" si="10"/>
        <v>15.07</v>
      </c>
      <c r="I44" s="2777"/>
    </row>
    <row r="45" spans="1:9" x14ac:dyDescent="0.2">
      <c r="A45" s="2775" t="s">
        <v>445</v>
      </c>
      <c r="B45" s="2776" t="s">
        <v>833</v>
      </c>
      <c r="C45" s="2777">
        <f>C43*C44*10^6</f>
        <v>0</v>
      </c>
      <c r="D45" s="2777">
        <f t="shared" ref="D45:H45" si="11">D43*D44*10^6</f>
        <v>0</v>
      </c>
      <c r="E45" s="2777">
        <f t="shared" si="11"/>
        <v>0</v>
      </c>
      <c r="F45" s="2777">
        <f t="shared" si="11"/>
        <v>66904416.941195078</v>
      </c>
      <c r="G45" s="2777">
        <f t="shared" si="11"/>
        <v>65398740.238995939</v>
      </c>
      <c r="H45" s="2777">
        <f t="shared" si="11"/>
        <v>61961869.505715378</v>
      </c>
      <c r="I45" s="2777">
        <f>C45+D45+E45+F45+G45+H45</f>
        <v>194265026.68590638</v>
      </c>
    </row>
    <row r="46" spans="1:9" ht="22.2" customHeight="1" x14ac:dyDescent="0.2">
      <c r="A46" s="780" t="s">
        <v>1351</v>
      </c>
      <c r="B46" s="2779"/>
      <c r="C46" s="2780"/>
      <c r="D46" s="2780"/>
      <c r="E46" s="2780"/>
      <c r="F46" s="2780"/>
      <c r="G46" s="2780"/>
      <c r="H46" s="2780"/>
      <c r="I46" s="2780"/>
    </row>
    <row r="47" spans="1:9" ht="25.95" customHeight="1" x14ac:dyDescent="0.2">
      <c r="A47" s="3045" t="s">
        <v>1382</v>
      </c>
      <c r="B47" s="3045"/>
      <c r="C47" s="3045"/>
      <c r="D47" s="3045"/>
      <c r="E47" s="3045"/>
      <c r="F47" s="3045"/>
      <c r="G47" s="3045"/>
      <c r="H47" s="2780"/>
      <c r="I47" s="2780"/>
    </row>
    <row r="48" spans="1:9" x14ac:dyDescent="0.2">
      <c r="A48" s="2778"/>
      <c r="B48" s="2779"/>
      <c r="C48" s="2780"/>
      <c r="D48" s="2780"/>
      <c r="E48" s="2780"/>
      <c r="F48" s="2780"/>
      <c r="G48" s="2780"/>
      <c r="H48" s="2780"/>
      <c r="I48" s="2780"/>
    </row>
    <row r="49" spans="1:11" ht="13.8" x14ac:dyDescent="0.2">
      <c r="A49" s="2755" t="s">
        <v>1357</v>
      </c>
      <c r="B49" s="2779"/>
      <c r="C49" s="2780"/>
      <c r="D49" s="2780"/>
      <c r="E49" s="2780"/>
      <c r="F49" s="2780"/>
      <c r="G49" s="2780"/>
      <c r="H49" s="2780"/>
      <c r="I49" s="2780"/>
    </row>
    <row r="50" spans="1:11" ht="13.8" x14ac:dyDescent="0.2">
      <c r="A50" s="2755"/>
      <c r="B50" s="2779"/>
      <c r="C50" s="2780"/>
      <c r="D50" s="2780"/>
      <c r="E50" s="2780"/>
      <c r="F50" s="2780"/>
      <c r="G50" s="2780"/>
      <c r="H50" s="2780"/>
      <c r="I50" s="2780"/>
    </row>
    <row r="51" spans="1:11" x14ac:dyDescent="0.2">
      <c r="A51" s="2756"/>
      <c r="B51" s="2766"/>
      <c r="C51" s="2757">
        <f>C31</f>
        <v>46023</v>
      </c>
      <c r="D51" s="2757">
        <f t="shared" ref="D51:H51" si="12">D31</f>
        <v>46054</v>
      </c>
      <c r="E51" s="2757">
        <f t="shared" si="12"/>
        <v>46082</v>
      </c>
      <c r="F51" s="2757">
        <f t="shared" si="12"/>
        <v>46113</v>
      </c>
      <c r="G51" s="2757">
        <f t="shared" si="12"/>
        <v>46143</v>
      </c>
      <c r="H51" s="2757">
        <f t="shared" si="12"/>
        <v>46174</v>
      </c>
      <c r="I51" s="2758" t="s">
        <v>445</v>
      </c>
    </row>
    <row r="52" spans="1:11" ht="37.799999999999997" x14ac:dyDescent="0.2">
      <c r="A52" s="2759" t="s">
        <v>1358</v>
      </c>
      <c r="B52" s="2760" t="s">
        <v>56</v>
      </c>
      <c r="C52" s="2761">
        <f>(C32-C33)+(C38-C39)</f>
        <v>0</v>
      </c>
      <c r="D52" s="2761">
        <f t="shared" ref="D52:H52" si="13">(D32-D33)+(D38-D39)</f>
        <v>0</v>
      </c>
      <c r="E52" s="2761">
        <f t="shared" si="13"/>
        <v>0</v>
      </c>
      <c r="F52" s="2761">
        <f t="shared" si="13"/>
        <v>14.674511138348532</v>
      </c>
      <c r="G52" s="2761">
        <f t="shared" si="13"/>
        <v>14.34426284462835</v>
      </c>
      <c r="H52" s="2761">
        <f t="shared" si="13"/>
        <v>13.590435217658403</v>
      </c>
      <c r="I52" s="2761">
        <f>C52+D52+E52+F52+G52+H52</f>
        <v>42.609209200635284</v>
      </c>
    </row>
    <row r="53" spans="1:11" x14ac:dyDescent="0.2">
      <c r="A53" s="2762" t="s">
        <v>832</v>
      </c>
      <c r="B53" s="2763" t="s">
        <v>751</v>
      </c>
      <c r="C53" s="2764">
        <f t="shared" ref="C53:H53" si="14">$F$16</f>
        <v>29.11099099420904</v>
      </c>
      <c r="D53" s="2764">
        <f t="shared" si="14"/>
        <v>29.11099099420904</v>
      </c>
      <c r="E53" s="2764">
        <f t="shared" si="14"/>
        <v>29.11099099420904</v>
      </c>
      <c r="F53" s="2764">
        <f t="shared" si="14"/>
        <v>29.11099099420904</v>
      </c>
      <c r="G53" s="2764">
        <f t="shared" si="14"/>
        <v>29.11099099420904</v>
      </c>
      <c r="H53" s="2764">
        <f t="shared" si="14"/>
        <v>29.11099099420904</v>
      </c>
      <c r="I53" s="2764"/>
    </row>
    <row r="54" spans="1:11" x14ac:dyDescent="0.2">
      <c r="A54" s="2762" t="s">
        <v>445</v>
      </c>
      <c r="B54" s="2763" t="s">
        <v>833</v>
      </c>
      <c r="C54" s="2765">
        <f>C52*1000000*C53</f>
        <v>0</v>
      </c>
      <c r="D54" s="2765">
        <f t="shared" ref="D54:H54" si="15">D52*1000000*D53</f>
        <v>0</v>
      </c>
      <c r="E54" s="2765">
        <f t="shared" si="15"/>
        <v>0</v>
      </c>
      <c r="F54" s="2765">
        <f t="shared" si="15"/>
        <v>427189561.5928843</v>
      </c>
      <c r="G54" s="2765">
        <f t="shared" si="15"/>
        <v>417575706.48854327</v>
      </c>
      <c r="H54" s="2765">
        <f t="shared" si="15"/>
        <v>395631037.22863513</v>
      </c>
      <c r="I54" s="2765">
        <f>SUM(C54:H54)</f>
        <v>1240396305.3100626</v>
      </c>
    </row>
    <row r="55" spans="1:11" x14ac:dyDescent="0.2">
      <c r="A55" s="1935"/>
      <c r="B55" s="1938"/>
      <c r="C55" s="403"/>
      <c r="D55" s="403"/>
      <c r="E55" s="403"/>
      <c r="F55" s="403"/>
      <c r="G55" s="403"/>
      <c r="H55" s="403"/>
      <c r="I55" s="403"/>
    </row>
    <row r="56" spans="1:11" x14ac:dyDescent="0.2">
      <c r="A56" s="1935"/>
      <c r="B56" s="1938"/>
      <c r="C56" s="403"/>
      <c r="D56" s="403"/>
      <c r="E56" s="403"/>
      <c r="F56" s="403"/>
      <c r="G56" s="403"/>
      <c r="H56" s="403"/>
      <c r="I56" s="403"/>
    </row>
    <row r="57" spans="1:11" x14ac:dyDescent="0.2">
      <c r="A57" s="2781" t="s">
        <v>1162</v>
      </c>
      <c r="B57" s="2782" t="s">
        <v>833</v>
      </c>
      <c r="C57" s="2783">
        <f>C42+C45+C35+C54</f>
        <v>0</v>
      </c>
      <c r="D57" s="2783">
        <f t="shared" ref="D57:H57" si="16">D42+D45+D35+D54</f>
        <v>0</v>
      </c>
      <c r="E57" s="2783">
        <f t="shared" si="16"/>
        <v>0</v>
      </c>
      <c r="F57" s="2783">
        <f t="shared" si="16"/>
        <v>5865325019.9714174</v>
      </c>
      <c r="G57" s="2783">
        <f t="shared" si="16"/>
        <v>5733326511.6941738</v>
      </c>
      <c r="H57" s="2783">
        <f t="shared" si="16"/>
        <v>5432025568.8874235</v>
      </c>
      <c r="I57" s="2783">
        <f>C57+D57+E57+F57+G57+H57</f>
        <v>17030677100.553017</v>
      </c>
      <c r="K57" s="241"/>
    </row>
    <row r="58" spans="1:11" x14ac:dyDescent="0.2">
      <c r="A58" s="2781" t="s">
        <v>1163</v>
      </c>
      <c r="B58" s="2782" t="s">
        <v>56</v>
      </c>
      <c r="C58" s="2784">
        <f>+C32+C38</f>
        <v>0</v>
      </c>
      <c r="D58" s="2784">
        <f t="shared" ref="D58:H58" si="17">+D32+D38</f>
        <v>0</v>
      </c>
      <c r="E58" s="2784">
        <f t="shared" si="17"/>
        <v>0</v>
      </c>
      <c r="F58" s="2784">
        <f t="shared" si="17"/>
        <v>204.4</v>
      </c>
      <c r="G58" s="2784">
        <f t="shared" si="17"/>
        <v>199.79999999999998</v>
      </c>
      <c r="H58" s="2784">
        <f t="shared" si="17"/>
        <v>189.3</v>
      </c>
      <c r="I58" s="2784">
        <f>I33+I40+I43+I52</f>
        <v>593.5</v>
      </c>
      <c r="K58" s="241"/>
    </row>
    <row r="59" spans="1:11" x14ac:dyDescent="0.2">
      <c r="A59" s="2781" t="s">
        <v>1164</v>
      </c>
      <c r="B59" s="2781" t="s">
        <v>751</v>
      </c>
      <c r="C59" s="2785" t="e">
        <f>+C57/(C58*10^6)</f>
        <v>#DIV/0!</v>
      </c>
      <c r="D59" s="2785" t="e">
        <f>+D57/(D58*10^6)</f>
        <v>#DIV/0!</v>
      </c>
      <c r="E59" s="2785" t="e">
        <f t="shared" ref="E59:H59" si="18">+E57/(E58*10^6)</f>
        <v>#DIV/0!</v>
      </c>
      <c r="F59" s="2785">
        <f t="shared" si="18"/>
        <v>28.695327886357227</v>
      </c>
      <c r="G59" s="2785">
        <f t="shared" si="18"/>
        <v>28.69532788635723</v>
      </c>
      <c r="H59" s="2785">
        <f t="shared" si="18"/>
        <v>28.69532788635723</v>
      </c>
      <c r="I59" s="2785"/>
      <c r="J59" s="241"/>
    </row>
    <row r="60" spans="1:11" x14ac:dyDescent="0.2">
      <c r="A60" s="1"/>
      <c r="B60" s="1"/>
      <c r="C60" s="241"/>
      <c r="D60" s="241"/>
      <c r="E60" s="241"/>
      <c r="F60" s="241"/>
      <c r="G60" s="241"/>
      <c r="H60" s="241"/>
      <c r="I60" s="241"/>
    </row>
    <row r="61" spans="1:11" x14ac:dyDescent="0.2">
      <c r="A61" s="1"/>
      <c r="B61" s="1"/>
      <c r="C61" s="241"/>
      <c r="D61" s="241"/>
      <c r="E61" s="241"/>
      <c r="F61" s="241"/>
      <c r="G61" s="241"/>
      <c r="H61" s="241"/>
      <c r="I61" s="241"/>
    </row>
    <row r="62" spans="1:11" x14ac:dyDescent="0.2">
      <c r="A62" s="1"/>
      <c r="B62" s="1"/>
      <c r="C62" s="241"/>
      <c r="D62" s="241"/>
      <c r="E62" s="241"/>
      <c r="F62" s="241"/>
      <c r="G62" s="241"/>
      <c r="H62" s="241"/>
      <c r="I62" s="241"/>
    </row>
    <row r="63" spans="1:11" x14ac:dyDescent="0.2">
      <c r="C63" s="322"/>
      <c r="D63" s="322"/>
      <c r="E63" s="322"/>
      <c r="F63" s="322"/>
      <c r="G63" s="322"/>
      <c r="H63" s="322"/>
      <c r="I63" s="322"/>
    </row>
    <row r="64" spans="1:11" ht="12.6" customHeight="1" x14ac:dyDescent="0.2">
      <c r="A64" s="3039" t="s">
        <v>1359</v>
      </c>
      <c r="B64" s="3040"/>
      <c r="C64" s="3041"/>
      <c r="D64" s="322"/>
      <c r="E64" s="322"/>
      <c r="F64" s="322"/>
      <c r="G64" s="322"/>
      <c r="H64" s="322"/>
      <c r="I64" s="322"/>
    </row>
    <row r="65" spans="1:9" ht="12.6" customHeight="1" x14ac:dyDescent="0.2">
      <c r="A65" s="3042" t="s">
        <v>1424</v>
      </c>
      <c r="B65" s="2786" t="s">
        <v>1360</v>
      </c>
      <c r="C65" s="2826"/>
      <c r="D65" s="322"/>
      <c r="E65" s="322"/>
      <c r="F65" s="322"/>
      <c r="G65" s="322"/>
      <c r="H65" s="322"/>
      <c r="I65" s="322"/>
    </row>
    <row r="66" spans="1:9" x14ac:dyDescent="0.2">
      <c r="A66" s="3043"/>
      <c r="B66" s="2786" t="s">
        <v>1361</v>
      </c>
      <c r="C66" s="2826"/>
      <c r="D66" s="322"/>
      <c r="E66" s="322"/>
      <c r="F66" s="322"/>
      <c r="G66" s="322"/>
      <c r="H66" s="322"/>
      <c r="I66" s="322"/>
    </row>
    <row r="67" spans="1:9" x14ac:dyDescent="0.2">
      <c r="A67" s="3044"/>
      <c r="B67" s="2786" t="s">
        <v>445</v>
      </c>
      <c r="C67" s="2787">
        <v>2137</v>
      </c>
      <c r="D67" s="322"/>
      <c r="E67" s="322"/>
      <c r="F67" s="322"/>
      <c r="G67" s="322"/>
      <c r="H67" s="322"/>
      <c r="I67" s="322"/>
    </row>
    <row r="68" spans="1:9" ht="50.4" x14ac:dyDescent="0.2">
      <c r="A68" s="2788" t="s">
        <v>1422</v>
      </c>
      <c r="B68" s="2786"/>
      <c r="C68" s="2846">
        <v>45</v>
      </c>
      <c r="D68" s="322"/>
      <c r="E68" s="322"/>
      <c r="F68" s="322"/>
    </row>
    <row r="69" spans="1:9" ht="37.799999999999997" x14ac:dyDescent="0.2">
      <c r="A69" s="2788" t="s">
        <v>1423</v>
      </c>
      <c r="B69" s="2789"/>
      <c r="C69" s="2790">
        <f>C68*7</f>
        <v>315</v>
      </c>
      <c r="D69" s="322"/>
      <c r="E69" s="322"/>
      <c r="F69" s="322"/>
    </row>
    <row r="70" spans="1:9" ht="25.2" x14ac:dyDescent="0.2">
      <c r="A70" s="2788" t="s">
        <v>1383</v>
      </c>
      <c r="B70" s="2789"/>
      <c r="C70" s="2791">
        <f>+ROUND((C67/(C69+C67)),2)</f>
        <v>0.87</v>
      </c>
      <c r="D70" s="322" t="s">
        <v>1302</v>
      </c>
      <c r="E70" s="322"/>
      <c r="F70" s="322"/>
      <c r="G70" s="322"/>
      <c r="H70" s="322"/>
      <c r="I70" s="322"/>
    </row>
    <row r="71" spans="1:9" ht="25.2" x14ac:dyDescent="0.2">
      <c r="A71" s="2788" t="s">
        <v>1384</v>
      </c>
      <c r="B71" s="2789"/>
      <c r="C71" s="2791">
        <f>+ROUND((C69/(C67+C69)),2)</f>
        <v>0.13</v>
      </c>
      <c r="D71" s="322"/>
      <c r="E71" s="322"/>
      <c r="F71" s="322"/>
      <c r="G71" s="322"/>
      <c r="H71" s="322"/>
      <c r="I71" s="322"/>
    </row>
    <row r="72" spans="1:9" x14ac:dyDescent="0.2">
      <c r="A72" s="415" t="s">
        <v>1385</v>
      </c>
      <c r="C72" s="322"/>
      <c r="D72" s="322"/>
      <c r="E72" s="322"/>
      <c r="F72" s="322"/>
      <c r="G72" s="322"/>
      <c r="H72" s="322"/>
      <c r="I72" s="322"/>
    </row>
    <row r="73" spans="1:9" x14ac:dyDescent="0.2">
      <c r="C73" s="322"/>
      <c r="D73" s="322"/>
      <c r="E73" s="322"/>
      <c r="F73" s="322"/>
      <c r="G73" s="322"/>
      <c r="H73" s="322"/>
      <c r="I73" s="322"/>
    </row>
    <row r="74" spans="1:9" x14ac:dyDescent="0.2">
      <c r="A74" s="3018" t="s">
        <v>1435</v>
      </c>
      <c r="B74" s="3019"/>
      <c r="C74" s="322"/>
      <c r="D74" s="322"/>
      <c r="E74" s="322"/>
      <c r="F74" s="322"/>
      <c r="G74" s="322"/>
      <c r="H74" s="322"/>
      <c r="I74" s="322"/>
    </row>
    <row r="75" spans="1:9" ht="25.2" x14ac:dyDescent="0.2">
      <c r="A75" s="2792" t="s">
        <v>1362</v>
      </c>
      <c r="B75" s="2855">
        <v>1474080.8499999999</v>
      </c>
      <c r="C75" s="402"/>
      <c r="D75" s="402"/>
      <c r="E75" s="322"/>
      <c r="F75" s="322"/>
      <c r="G75" s="322"/>
      <c r="H75" s="322"/>
      <c r="I75" s="322"/>
    </row>
    <row r="76" spans="1:9" ht="25.2" x14ac:dyDescent="0.2">
      <c r="A76" s="2792" t="s">
        <v>1363</v>
      </c>
      <c r="B76" s="2855">
        <v>264599.43</v>
      </c>
      <c r="C76" s="402"/>
      <c r="D76" s="402"/>
      <c r="E76" s="322"/>
      <c r="F76" s="322"/>
      <c r="G76" s="322"/>
      <c r="H76" s="322"/>
      <c r="I76" s="322"/>
    </row>
    <row r="77" spans="1:9" x14ac:dyDescent="0.2">
      <c r="A77" s="2789"/>
      <c r="B77" s="2789"/>
      <c r="C77" s="322"/>
      <c r="D77" s="322"/>
      <c r="E77" s="322"/>
      <c r="F77" s="322"/>
      <c r="G77" s="322"/>
      <c r="H77" s="322"/>
      <c r="I77" s="322"/>
    </row>
    <row r="78" spans="1:9" x14ac:dyDescent="0.2">
      <c r="A78" s="2789" t="s">
        <v>1303</v>
      </c>
      <c r="B78" s="2793">
        <f>+ROUND((B76/(B75)),2)</f>
        <v>0.18</v>
      </c>
      <c r="C78" s="322"/>
      <c r="D78" s="322"/>
      <c r="E78" s="322"/>
      <c r="F78" s="322"/>
      <c r="G78" s="322"/>
      <c r="H78" s="322"/>
      <c r="I78" s="322"/>
    </row>
    <row r="79" spans="1:9" x14ac:dyDescent="0.2">
      <c r="A79" s="2789" t="s">
        <v>1304</v>
      </c>
      <c r="B79" s="2793">
        <f>+ROUND((1-B76/(B75)),2)</f>
        <v>0.82</v>
      </c>
      <c r="C79" s="322"/>
      <c r="D79" s="322"/>
      <c r="E79" s="322"/>
      <c r="F79" s="322"/>
      <c r="G79" s="322"/>
      <c r="H79" s="322"/>
      <c r="I79" s="322"/>
    </row>
    <row r="80" spans="1:9" x14ac:dyDescent="0.2">
      <c r="A80" s="476" t="s">
        <v>1436</v>
      </c>
      <c r="C80" s="322"/>
      <c r="D80" s="322"/>
      <c r="E80" s="322"/>
      <c r="F80" s="322"/>
      <c r="G80" s="322"/>
      <c r="H80" s="322"/>
      <c r="I80" s="322"/>
    </row>
    <row r="81" spans="3:9" x14ac:dyDescent="0.2">
      <c r="C81" s="322"/>
      <c r="D81" s="322"/>
      <c r="E81" s="322"/>
      <c r="F81" s="322"/>
      <c r="G81" s="322"/>
      <c r="H81" s="322"/>
      <c r="I81" s="322"/>
    </row>
    <row r="82" spans="3:9" x14ac:dyDescent="0.2">
      <c r="C82" s="322"/>
      <c r="D82" s="322"/>
      <c r="E82" s="322"/>
      <c r="F82" s="322"/>
      <c r="G82" s="322"/>
      <c r="H82" s="322"/>
      <c r="I82" s="322"/>
    </row>
    <row r="83" spans="3:9" x14ac:dyDescent="0.2">
      <c r="C83" s="322"/>
      <c r="D83" s="322"/>
      <c r="E83" s="322"/>
      <c r="F83" s="322"/>
      <c r="G83" s="322"/>
      <c r="H83" s="322"/>
      <c r="I83" s="322"/>
    </row>
    <row r="84" spans="3:9" x14ac:dyDescent="0.2">
      <c r="C84" s="322"/>
      <c r="D84" s="322"/>
      <c r="E84" s="322"/>
      <c r="F84" s="322"/>
      <c r="G84" s="322"/>
      <c r="H84" s="322"/>
      <c r="I84" s="322"/>
    </row>
    <row r="85" spans="3:9" x14ac:dyDescent="0.2">
      <c r="C85" s="322"/>
      <c r="D85" s="322"/>
      <c r="E85" s="322"/>
      <c r="F85" s="322"/>
      <c r="G85" s="322"/>
      <c r="H85" s="322"/>
      <c r="I85" s="322"/>
    </row>
    <row r="86" spans="3:9" x14ac:dyDescent="0.2">
      <c r="C86" s="322"/>
      <c r="D86" s="322"/>
      <c r="E86" s="322"/>
      <c r="F86" s="322"/>
      <c r="G86" s="322"/>
      <c r="H86" s="322"/>
      <c r="I86" s="322"/>
    </row>
    <row r="87" spans="3:9" x14ac:dyDescent="0.2">
      <c r="C87" s="322"/>
      <c r="D87" s="322"/>
      <c r="E87" s="322"/>
      <c r="F87" s="322"/>
      <c r="G87" s="322"/>
      <c r="H87" s="322"/>
      <c r="I87" s="322"/>
    </row>
    <row r="94" spans="3:9" x14ac:dyDescent="0.2">
      <c r="C94" s="322"/>
      <c r="D94" s="322"/>
      <c r="E94" s="322"/>
      <c r="F94" s="322"/>
      <c r="G94" s="322"/>
      <c r="H94" s="322"/>
    </row>
  </sheetData>
  <mergeCells count="11">
    <mergeCell ref="A74:B74"/>
    <mergeCell ref="A8:A15"/>
    <mergeCell ref="B8:B15"/>
    <mergeCell ref="G8:G15"/>
    <mergeCell ref="F9:F15"/>
    <mergeCell ref="A16:A20"/>
    <mergeCell ref="F16:F20"/>
    <mergeCell ref="G16:G20"/>
    <mergeCell ref="A64:C64"/>
    <mergeCell ref="A65:A67"/>
    <mergeCell ref="A47:G47"/>
  </mergeCells>
  <pageMargins left="0.7" right="0.7" top="0.75" bottom="0.75" header="0.3" footer="0.3"/>
  <pageSetup scale="41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13">
    <tabColor rgb="FFFFC000"/>
  </sheetPr>
  <dimension ref="A1:IW130"/>
  <sheetViews>
    <sheetView showGridLines="0" zoomScale="92" zoomScaleNormal="92" workbookViewId="0">
      <selection activeCell="J31" sqref="J31"/>
    </sheetView>
  </sheetViews>
  <sheetFormatPr defaultColWidth="11" defaultRowHeight="12.6" x14ac:dyDescent="0.2"/>
  <cols>
    <col min="1" max="1" width="38.26953125" style="218" customWidth="1"/>
    <col min="2" max="2" width="26.36328125" style="218" customWidth="1"/>
    <col min="3" max="3" width="11" style="218" hidden="1" customWidth="1"/>
    <col min="4" max="4" width="11.7265625" style="218" hidden="1" customWidth="1"/>
    <col min="5" max="5" width="11" style="218" hidden="1" customWidth="1"/>
    <col min="6" max="6" width="12.6328125" style="218" customWidth="1"/>
    <col min="7" max="7" width="11" style="218" customWidth="1"/>
    <col min="8" max="8" width="12.6328125" style="218" customWidth="1"/>
    <col min="9" max="9" width="22.08984375" style="589" customWidth="1"/>
    <col min="10" max="10" width="41.453125" style="218" customWidth="1"/>
    <col min="11" max="11" width="26.90625" style="218" customWidth="1"/>
    <col min="12" max="12" width="12.08984375" style="218" customWidth="1"/>
    <col min="13" max="16384" width="11" style="218"/>
  </cols>
  <sheetData>
    <row r="1" spans="1:12" ht="16.2" x14ac:dyDescent="0.2">
      <c r="A1" s="217" t="s">
        <v>77</v>
      </c>
      <c r="B1" s="589"/>
    </row>
    <row r="2" spans="1:12" hidden="1" x14ac:dyDescent="0.2">
      <c r="A2" s="2170"/>
      <c r="B2" s="2170"/>
      <c r="C2" s="2170"/>
      <c r="D2" s="2170"/>
      <c r="E2" s="2170"/>
      <c r="F2" s="2170"/>
      <c r="G2" s="2170"/>
      <c r="H2" s="2170"/>
    </row>
    <row r="3" spans="1:12" ht="13.2" hidden="1" thickBot="1" x14ac:dyDescent="0.25">
      <c r="A3" s="3046" t="s">
        <v>78</v>
      </c>
      <c r="B3" s="3047"/>
      <c r="C3" s="3047"/>
      <c r="D3" s="3048"/>
      <c r="E3" s="3048"/>
      <c r="F3" s="3048"/>
      <c r="G3" s="3048"/>
      <c r="H3" s="3048"/>
    </row>
    <row r="4" spans="1:12" ht="13.2" hidden="1" thickBot="1" x14ac:dyDescent="0.25">
      <c r="A4" s="2171" t="s">
        <v>80</v>
      </c>
      <c r="B4" s="2172" t="s">
        <v>36</v>
      </c>
      <c r="C4" s="2173">
        <f>DispatchSchedule!F3</f>
        <v>46023</v>
      </c>
      <c r="D4" s="2173">
        <f>DispatchSchedule!G3</f>
        <v>46054</v>
      </c>
      <c r="E4" s="2173">
        <f>DispatchSchedule!H3</f>
        <v>46082</v>
      </c>
      <c r="F4" s="2173">
        <f>DispatchSchedule!I3</f>
        <v>46113</v>
      </c>
      <c r="G4" s="2173">
        <f>DispatchSchedule!J3</f>
        <v>46143</v>
      </c>
      <c r="H4" s="2174">
        <f>DispatchSchedule!K3</f>
        <v>46174</v>
      </c>
      <c r="I4" s="2192" t="s">
        <v>1173</v>
      </c>
      <c r="K4" s="219" t="s">
        <v>153</v>
      </c>
      <c r="L4" s="245" t="s">
        <v>154</v>
      </c>
    </row>
    <row r="5" spans="1:12" hidden="1" x14ac:dyDescent="0.2">
      <c r="A5" s="2175" t="s">
        <v>79</v>
      </c>
      <c r="B5" s="2176" t="s">
        <v>448</v>
      </c>
      <c r="C5" s="2177"/>
      <c r="D5" s="2177"/>
      <c r="E5" s="2177"/>
      <c r="F5" s="2177"/>
      <c r="G5" s="2177"/>
      <c r="H5" s="2178"/>
      <c r="I5" s="2187"/>
      <c r="J5" s="230"/>
      <c r="K5" s="246" t="s">
        <v>57</v>
      </c>
      <c r="L5" s="247" t="s">
        <v>57</v>
      </c>
    </row>
    <row r="6" spans="1:12" hidden="1" x14ac:dyDescent="0.2">
      <c r="A6" s="2175" t="s">
        <v>81</v>
      </c>
      <c r="B6" s="2176" t="s">
        <v>85</v>
      </c>
      <c r="C6" s="2177"/>
      <c r="D6" s="2177"/>
      <c r="E6" s="2177"/>
      <c r="F6" s="2177"/>
      <c r="G6" s="2177"/>
      <c r="H6" s="2178"/>
      <c r="I6" s="2187"/>
      <c r="J6" s="589"/>
      <c r="K6" s="221" t="s">
        <v>58</v>
      </c>
      <c r="L6" s="222" t="s">
        <v>58</v>
      </c>
    </row>
    <row r="7" spans="1:12" hidden="1" x14ac:dyDescent="0.2">
      <c r="A7" s="2175" t="s">
        <v>82</v>
      </c>
      <c r="B7" s="2176" t="s">
        <v>449</v>
      </c>
      <c r="C7" s="2177">
        <v>306</v>
      </c>
      <c r="D7" s="2177">
        <v>306</v>
      </c>
      <c r="E7" s="2177">
        <v>306</v>
      </c>
      <c r="F7" s="2177">
        <v>306</v>
      </c>
      <c r="G7" s="2177">
        <v>306</v>
      </c>
      <c r="H7" s="2178">
        <v>306</v>
      </c>
      <c r="I7" s="2187"/>
      <c r="J7" s="2299" t="s">
        <v>1210</v>
      </c>
      <c r="K7" s="221" t="s">
        <v>65</v>
      </c>
      <c r="L7" s="222" t="s">
        <v>59</v>
      </c>
    </row>
    <row r="8" spans="1:12" hidden="1" x14ac:dyDescent="0.2">
      <c r="A8" s="2175" t="s">
        <v>83</v>
      </c>
      <c r="B8" s="2176" t="s">
        <v>449</v>
      </c>
      <c r="C8" s="2177">
        <v>201</v>
      </c>
      <c r="D8" s="2177">
        <v>201</v>
      </c>
      <c r="E8" s="2177">
        <v>201</v>
      </c>
      <c r="F8" s="2177">
        <v>201</v>
      </c>
      <c r="G8" s="2177">
        <v>201</v>
      </c>
      <c r="H8" s="2178">
        <v>201</v>
      </c>
      <c r="I8" s="2187"/>
      <c r="J8" s="2299" t="s">
        <v>1210</v>
      </c>
      <c r="K8" s="221" t="s">
        <v>155</v>
      </c>
      <c r="L8" s="222" t="s">
        <v>0</v>
      </c>
    </row>
    <row r="9" spans="1:12" hidden="1" x14ac:dyDescent="0.2">
      <c r="A9" s="2175" t="s">
        <v>84</v>
      </c>
      <c r="B9" s="2176" t="s">
        <v>449</v>
      </c>
      <c r="C9" s="2177"/>
      <c r="D9" s="2177"/>
      <c r="E9" s="2177"/>
      <c r="F9" s="2177"/>
      <c r="G9" s="2177"/>
      <c r="H9" s="2178"/>
      <c r="I9" s="2187"/>
      <c r="K9" s="221" t="s">
        <v>156</v>
      </c>
      <c r="L9" s="222" t="s">
        <v>1</v>
      </c>
    </row>
    <row r="10" spans="1:12" hidden="1" x14ac:dyDescent="0.2">
      <c r="A10" s="2179" t="s">
        <v>114</v>
      </c>
      <c r="B10" s="2180" t="s">
        <v>597</v>
      </c>
      <c r="C10" s="2177"/>
      <c r="D10" s="2177"/>
      <c r="E10" s="2177"/>
      <c r="F10" s="2177"/>
      <c r="G10" s="2177"/>
      <c r="H10" s="2178"/>
      <c r="I10" s="2187"/>
      <c r="J10" s="223"/>
      <c r="K10" s="221" t="s">
        <v>157</v>
      </c>
      <c r="L10" s="222" t="s">
        <v>2</v>
      </c>
    </row>
    <row r="11" spans="1:12" hidden="1" x14ac:dyDescent="0.2">
      <c r="A11" s="2175" t="s">
        <v>115</v>
      </c>
      <c r="B11" s="2180" t="s">
        <v>597</v>
      </c>
      <c r="C11" s="2177"/>
      <c r="D11" s="2177"/>
      <c r="E11" s="2177"/>
      <c r="F11" s="2177"/>
      <c r="G11" s="2177"/>
      <c r="H11" s="2178"/>
      <c r="I11" s="2187"/>
      <c r="J11" s="645"/>
      <c r="K11" s="221" t="s">
        <v>158</v>
      </c>
      <c r="L11" s="222" t="s">
        <v>111</v>
      </c>
    </row>
    <row r="12" spans="1:12" hidden="1" x14ac:dyDescent="0.2">
      <c r="A12" s="2179" t="s">
        <v>116</v>
      </c>
      <c r="B12" s="2176" t="s">
        <v>86</v>
      </c>
      <c r="C12" s="2177"/>
      <c r="D12" s="2177"/>
      <c r="E12" s="2177"/>
      <c r="F12" s="2177"/>
      <c r="G12" s="2177"/>
      <c r="H12" s="2178"/>
      <c r="I12" s="2187"/>
      <c r="J12" s="223"/>
      <c r="K12" s="221" t="s">
        <v>159</v>
      </c>
      <c r="L12" s="222" t="s">
        <v>14</v>
      </c>
    </row>
    <row r="13" spans="1:12" hidden="1" x14ac:dyDescent="0.2">
      <c r="A13" s="2175" t="s">
        <v>117</v>
      </c>
      <c r="B13" s="2181" t="s">
        <v>582</v>
      </c>
      <c r="C13" s="2177"/>
      <c r="D13" s="2177"/>
      <c r="E13" s="2177"/>
      <c r="F13" s="2177"/>
      <c r="G13" s="2177"/>
      <c r="H13" s="2178"/>
      <c r="I13" s="2187"/>
      <c r="J13" s="645"/>
      <c r="K13" s="221" t="s">
        <v>160</v>
      </c>
      <c r="L13" s="222" t="s">
        <v>16</v>
      </c>
    </row>
    <row r="14" spans="1:12" hidden="1" x14ac:dyDescent="0.2">
      <c r="A14" s="2175" t="s">
        <v>118</v>
      </c>
      <c r="B14" s="2176" t="s">
        <v>597</v>
      </c>
      <c r="C14" s="2177"/>
      <c r="D14" s="2177"/>
      <c r="E14" s="2177"/>
      <c r="F14" s="2177"/>
      <c r="G14" s="2177"/>
      <c r="H14" s="2178"/>
      <c r="I14" s="2187"/>
      <c r="J14" s="223"/>
      <c r="K14" s="221" t="s">
        <v>161</v>
      </c>
      <c r="L14" s="222" t="s">
        <v>17</v>
      </c>
    </row>
    <row r="15" spans="1:12" hidden="1" x14ac:dyDescent="0.2">
      <c r="A15" s="2175" t="s">
        <v>119</v>
      </c>
      <c r="B15" s="2176" t="s">
        <v>597</v>
      </c>
      <c r="C15" s="2177"/>
      <c r="D15" s="2177"/>
      <c r="E15" s="2177"/>
      <c r="F15" s="2177"/>
      <c r="G15" s="2177"/>
      <c r="H15" s="2178"/>
      <c r="I15" s="2187"/>
      <c r="J15" s="1374"/>
      <c r="K15" s="221" t="s">
        <v>162</v>
      </c>
      <c r="L15" s="222" t="s">
        <v>18</v>
      </c>
    </row>
    <row r="16" spans="1:12" hidden="1" x14ac:dyDescent="0.2">
      <c r="A16" s="2175" t="s">
        <v>120</v>
      </c>
      <c r="B16" s="2176" t="s">
        <v>86</v>
      </c>
      <c r="C16" s="2177"/>
      <c r="D16" s="2177"/>
      <c r="E16" s="2177"/>
      <c r="F16" s="2177"/>
      <c r="G16" s="2177"/>
      <c r="H16" s="2178"/>
      <c r="I16" s="2187"/>
      <c r="J16" s="223"/>
      <c r="K16" s="221" t="s">
        <v>163</v>
      </c>
      <c r="L16" s="222" t="s">
        <v>3</v>
      </c>
    </row>
    <row r="17" spans="1:12" hidden="1" x14ac:dyDescent="0.2">
      <c r="A17" s="2175" t="s">
        <v>549</v>
      </c>
      <c r="B17" s="2176" t="s">
        <v>449</v>
      </c>
      <c r="C17" s="2177"/>
      <c r="D17" s="2177"/>
      <c r="E17" s="2177"/>
      <c r="F17" s="2177"/>
      <c r="G17" s="2177"/>
      <c r="H17" s="2178"/>
      <c r="I17" s="2187"/>
      <c r="J17" s="223"/>
      <c r="K17" s="248" t="s">
        <v>548</v>
      </c>
      <c r="L17" s="249" t="s">
        <v>538</v>
      </c>
    </row>
    <row r="18" spans="1:12" ht="13.2" hidden="1" thickBot="1" x14ac:dyDescent="0.25">
      <c r="A18" s="2182" t="s">
        <v>121</v>
      </c>
      <c r="B18" s="2183" t="s">
        <v>86</v>
      </c>
      <c r="C18" s="2184"/>
      <c r="D18" s="2184"/>
      <c r="E18" s="2184"/>
      <c r="F18" s="2184"/>
      <c r="G18" s="2184"/>
      <c r="H18" s="2185"/>
      <c r="I18" s="2187"/>
      <c r="J18" s="223"/>
      <c r="K18" s="221" t="s">
        <v>164</v>
      </c>
      <c r="L18" s="222" t="s">
        <v>4</v>
      </c>
    </row>
    <row r="19" spans="1:12" hidden="1" x14ac:dyDescent="0.2">
      <c r="A19" s="2170"/>
      <c r="B19" s="2170"/>
      <c r="C19" s="2170"/>
      <c r="D19" s="2170"/>
      <c r="E19" s="2170"/>
      <c r="F19" s="2170"/>
      <c r="G19" s="2170"/>
      <c r="H19" s="2170"/>
      <c r="J19" s="645"/>
      <c r="K19" s="221" t="s">
        <v>165</v>
      </c>
      <c r="L19" s="222" t="s">
        <v>5</v>
      </c>
    </row>
    <row r="20" spans="1:12" ht="13.2" thickBot="1" x14ac:dyDescent="0.25">
      <c r="A20" s="3049" t="s">
        <v>91</v>
      </c>
      <c r="B20" s="3050"/>
      <c r="C20" s="3051"/>
      <c r="D20" s="3051"/>
      <c r="E20" s="3051"/>
      <c r="F20" s="3051"/>
      <c r="G20" s="3051"/>
      <c r="H20" s="3051"/>
      <c r="J20" s="645"/>
      <c r="K20" s="221" t="s">
        <v>172</v>
      </c>
      <c r="L20" s="222" t="s">
        <v>6</v>
      </c>
    </row>
    <row r="21" spans="1:12" ht="12.6" customHeight="1" x14ac:dyDescent="0.2">
      <c r="A21" s="640" t="s">
        <v>97</v>
      </c>
      <c r="B21" s="2306" t="s">
        <v>106</v>
      </c>
      <c r="C21" s="1358">
        <v>313.51760000000002</v>
      </c>
      <c r="D21" s="1358">
        <v>313.51760000000002</v>
      </c>
      <c r="E21" s="1358">
        <v>313.51760000000002</v>
      </c>
      <c r="F21" s="1358">
        <v>313.51760000000002</v>
      </c>
      <c r="G21" s="1358">
        <v>313.51760000000002</v>
      </c>
      <c r="H21" s="1358">
        <v>313.51760000000002</v>
      </c>
      <c r="I21" s="2253" t="s">
        <v>1444</v>
      </c>
      <c r="J21" s="2249"/>
      <c r="K21" s="221" t="s">
        <v>166</v>
      </c>
      <c r="L21" s="222" t="s">
        <v>7</v>
      </c>
    </row>
    <row r="22" spans="1:12" ht="12.6" hidden="1" customHeight="1" x14ac:dyDescent="0.2">
      <c r="A22" s="2197" t="s">
        <v>95</v>
      </c>
      <c r="B22" s="2307" t="s">
        <v>107</v>
      </c>
      <c r="C22" s="2308">
        <v>0</v>
      </c>
      <c r="D22" s="2308">
        <v>0</v>
      </c>
      <c r="E22" s="2308">
        <v>0</v>
      </c>
      <c r="F22" s="2308">
        <v>0</v>
      </c>
      <c r="G22" s="2308">
        <v>0</v>
      </c>
      <c r="H22" s="2308">
        <v>0</v>
      </c>
      <c r="I22" s="2253" t="s">
        <v>1263</v>
      </c>
      <c r="K22" s="221" t="s">
        <v>167</v>
      </c>
      <c r="L22" s="222" t="s">
        <v>8</v>
      </c>
    </row>
    <row r="23" spans="1:12" x14ac:dyDescent="0.2">
      <c r="A23" s="639" t="s">
        <v>96</v>
      </c>
      <c r="B23" s="1357" t="s">
        <v>108</v>
      </c>
      <c r="C23" s="2309">
        <v>377.505</v>
      </c>
      <c r="D23" s="2309">
        <v>377.505</v>
      </c>
      <c r="E23" s="2309">
        <v>377.505</v>
      </c>
      <c r="F23" s="2309">
        <v>377.505</v>
      </c>
      <c r="G23" s="2309">
        <v>377.505</v>
      </c>
      <c r="H23" s="2309">
        <v>377.505</v>
      </c>
      <c r="I23" s="2253"/>
      <c r="K23" s="221" t="s">
        <v>168</v>
      </c>
      <c r="L23" s="222" t="s">
        <v>9</v>
      </c>
    </row>
    <row r="24" spans="1:12" ht="13.2" thickBot="1" x14ac:dyDescent="0.25">
      <c r="A24" s="1032" t="s">
        <v>94</v>
      </c>
      <c r="B24" s="1530" t="s">
        <v>105</v>
      </c>
      <c r="C24" s="2806">
        <v>1</v>
      </c>
      <c r="D24" s="2806">
        <v>1</v>
      </c>
      <c r="E24" s="2806">
        <v>1</v>
      </c>
      <c r="F24" s="2806">
        <v>1</v>
      </c>
      <c r="G24" s="2806">
        <v>1</v>
      </c>
      <c r="H24" s="2807">
        <v>1</v>
      </c>
      <c r="K24" s="221" t="s">
        <v>169</v>
      </c>
      <c r="L24" s="222" t="s">
        <v>10</v>
      </c>
    </row>
    <row r="25" spans="1:12" x14ac:dyDescent="0.2">
      <c r="K25" s="221" t="s">
        <v>170</v>
      </c>
      <c r="L25" s="222" t="s">
        <v>11</v>
      </c>
    </row>
    <row r="26" spans="1:12" ht="13.2" thickBot="1" x14ac:dyDescent="0.25">
      <c r="A26" s="3049" t="s">
        <v>137</v>
      </c>
      <c r="B26" s="3050"/>
      <c r="C26" s="3051"/>
      <c r="D26" s="3051"/>
      <c r="E26" s="3051"/>
      <c r="F26" s="3051"/>
      <c r="G26" s="3051"/>
      <c r="H26" s="3051"/>
      <c r="K26" s="224" t="s">
        <v>461</v>
      </c>
      <c r="L26" s="222" t="s">
        <v>422</v>
      </c>
    </row>
    <row r="27" spans="1:12" ht="12.6" customHeight="1" x14ac:dyDescent="0.2">
      <c r="A27" s="641" t="s">
        <v>97</v>
      </c>
      <c r="B27" s="2306" t="s">
        <v>125</v>
      </c>
      <c r="C27" s="2310">
        <v>324.45999999999998</v>
      </c>
      <c r="D27" s="2310">
        <v>324.12</v>
      </c>
      <c r="E27" s="2310">
        <v>324.05</v>
      </c>
      <c r="F27" s="2310">
        <v>324.05</v>
      </c>
      <c r="G27" s="2310">
        <v>324.05</v>
      </c>
      <c r="H27" s="2310">
        <v>324.05</v>
      </c>
      <c r="I27" s="3053" t="s">
        <v>1445</v>
      </c>
      <c r="K27" s="221" t="s">
        <v>171</v>
      </c>
      <c r="L27" s="222" t="s">
        <v>13</v>
      </c>
    </row>
    <row r="28" spans="1:12" ht="25.2" x14ac:dyDescent="0.2">
      <c r="A28" s="642" t="s">
        <v>97</v>
      </c>
      <c r="B28" s="643" t="s">
        <v>647</v>
      </c>
      <c r="C28" s="2311">
        <v>324.45999999999998</v>
      </c>
      <c r="D28" s="2311">
        <v>324.12</v>
      </c>
      <c r="E28" s="2311">
        <v>324.05</v>
      </c>
      <c r="F28" s="2311">
        <v>324.05</v>
      </c>
      <c r="G28" s="2311">
        <v>324.05</v>
      </c>
      <c r="H28" s="2311">
        <v>324.05</v>
      </c>
      <c r="I28" s="3053"/>
      <c r="K28" s="328"/>
      <c r="L28" s="329"/>
    </row>
    <row r="29" spans="1:12" ht="13.2" hidden="1" customHeight="1" thickBot="1" x14ac:dyDescent="0.25">
      <c r="A29" s="2198" t="s">
        <v>95</v>
      </c>
      <c r="B29" s="2307" t="s">
        <v>138</v>
      </c>
      <c r="C29" s="2312" t="s">
        <v>1155</v>
      </c>
      <c r="D29" s="2312" t="s">
        <v>1155</v>
      </c>
      <c r="E29" s="2312" t="s">
        <v>1155</v>
      </c>
      <c r="F29" s="2312" t="s">
        <v>1155</v>
      </c>
      <c r="G29" s="2312" t="s">
        <v>1155</v>
      </c>
      <c r="H29" s="2312" t="s">
        <v>1155</v>
      </c>
      <c r="I29" s="3053"/>
      <c r="K29" s="225" t="s">
        <v>173</v>
      </c>
      <c r="L29" s="226" t="s">
        <v>15</v>
      </c>
    </row>
    <row r="30" spans="1:12" x14ac:dyDescent="0.2">
      <c r="A30" s="642" t="s">
        <v>96</v>
      </c>
      <c r="B30" s="1357" t="s">
        <v>139</v>
      </c>
      <c r="C30" s="2311">
        <v>129.69999999999999</v>
      </c>
      <c r="D30" s="2311">
        <v>129.33000000000001</v>
      </c>
      <c r="E30" s="2311">
        <v>129.54</v>
      </c>
      <c r="F30" s="2311">
        <v>129.54</v>
      </c>
      <c r="G30" s="2311">
        <v>129.54</v>
      </c>
      <c r="H30" s="2311">
        <v>129.54</v>
      </c>
      <c r="I30" s="3053"/>
      <c r="J30" s="2288">
        <v>44986</v>
      </c>
      <c r="K30" s="224" t="s">
        <v>462</v>
      </c>
      <c r="L30" s="222" t="s">
        <v>463</v>
      </c>
    </row>
    <row r="31" spans="1:12" ht="13.2" thickBot="1" x14ac:dyDescent="0.25">
      <c r="A31" s="644" t="s">
        <v>94</v>
      </c>
      <c r="B31" s="1530" t="s">
        <v>140</v>
      </c>
      <c r="C31" s="896">
        <v>193.8</v>
      </c>
      <c r="D31" s="896">
        <v>193.4</v>
      </c>
      <c r="E31" s="896">
        <v>195.8</v>
      </c>
      <c r="F31" s="896">
        <v>195.8</v>
      </c>
      <c r="G31" s="896">
        <v>195.8</v>
      </c>
      <c r="H31" s="896">
        <v>195.8</v>
      </c>
      <c r="I31" s="3053"/>
      <c r="K31" s="227" t="s">
        <v>430</v>
      </c>
      <c r="L31" s="226" t="s">
        <v>464</v>
      </c>
    </row>
    <row r="33" spans="1:12" ht="12.6" hidden="1" customHeight="1" x14ac:dyDescent="0.2">
      <c r="A33" s="228" t="s">
        <v>466</v>
      </c>
      <c r="J33" s="218">
        <v>2021</v>
      </c>
      <c r="K33" s="218">
        <v>100</v>
      </c>
      <c r="L33" s="218">
        <v>2021</v>
      </c>
    </row>
    <row r="34" spans="1:12" ht="12.6" hidden="1" customHeight="1" x14ac:dyDescent="0.2">
      <c r="A34" s="228" t="s">
        <v>534</v>
      </c>
      <c r="J34" s="218">
        <v>2013</v>
      </c>
      <c r="K34" s="218">
        <v>138.69999999999999</v>
      </c>
      <c r="L34" s="218">
        <v>2021</v>
      </c>
    </row>
    <row r="35" spans="1:12" ht="12.6" hidden="1" customHeight="1" x14ac:dyDescent="0.2">
      <c r="A35" s="229"/>
    </row>
    <row r="36" spans="1:12" ht="12.6" hidden="1" customHeight="1" x14ac:dyDescent="0.2">
      <c r="A36" s="228" t="s">
        <v>468</v>
      </c>
      <c r="K36" s="218">
        <v>57.6</v>
      </c>
    </row>
    <row r="37" spans="1:12" ht="13.2" thickBot="1" x14ac:dyDescent="0.25">
      <c r="A37" s="230"/>
      <c r="B37" s="230"/>
      <c r="C37" s="300"/>
      <c r="D37" s="300"/>
      <c r="E37" s="300"/>
      <c r="F37" s="300"/>
      <c r="G37" s="300"/>
      <c r="H37" s="300"/>
      <c r="I37" s="2189"/>
    </row>
    <row r="38" spans="1:12" x14ac:dyDescent="0.2">
      <c r="A38" s="2543" t="s">
        <v>1264</v>
      </c>
      <c r="B38" s="2544"/>
      <c r="C38" s="2577">
        <f>C4</f>
        <v>46023</v>
      </c>
      <c r="D38" s="2577">
        <f t="shared" ref="D38:H38" si="0">D4</f>
        <v>46054</v>
      </c>
      <c r="E38" s="2577">
        <f t="shared" si="0"/>
        <v>46082</v>
      </c>
      <c r="F38" s="2577">
        <f t="shared" si="0"/>
        <v>46113</v>
      </c>
      <c r="G38" s="2577">
        <f t="shared" si="0"/>
        <v>46143</v>
      </c>
      <c r="H38" s="2731">
        <f t="shared" si="0"/>
        <v>46174</v>
      </c>
      <c r="I38" s="2189"/>
    </row>
    <row r="39" spans="1:12" ht="15" x14ac:dyDescent="0.2">
      <c r="A39" s="2301" t="s">
        <v>1265</v>
      </c>
      <c r="B39" s="2545" t="s">
        <v>1266</v>
      </c>
      <c r="C39" s="2578">
        <v>8.2799999999999999E-2</v>
      </c>
      <c r="D39" s="2578">
        <v>8.2799999999999999E-2</v>
      </c>
      <c r="E39" s="2578">
        <v>8.2799999999999999E-2</v>
      </c>
      <c r="F39" s="2578">
        <v>8.2799999999999999E-2</v>
      </c>
      <c r="G39" s="2578">
        <v>8.2799999999999999E-2</v>
      </c>
      <c r="H39" s="2578">
        <v>8.2799999999999999E-2</v>
      </c>
      <c r="I39" s="2253" t="s">
        <v>1446</v>
      </c>
    </row>
    <row r="40" spans="1:12" ht="13.2" thickBot="1" x14ac:dyDescent="0.25">
      <c r="A40" s="2205"/>
      <c r="B40" s="2546"/>
      <c r="C40" s="2579"/>
      <c r="D40" s="2579"/>
      <c r="E40" s="2579"/>
      <c r="F40" s="2579"/>
      <c r="G40" s="2579"/>
      <c r="H40" s="2547"/>
      <c r="I40" s="2189"/>
    </row>
    <row r="41" spans="1:12" ht="13.2" thickBot="1" x14ac:dyDescent="0.25">
      <c r="A41" s="230"/>
      <c r="B41" s="230"/>
    </row>
    <row r="42" spans="1:12" x14ac:dyDescent="0.2">
      <c r="A42" s="2248" t="s">
        <v>576</v>
      </c>
      <c r="B42" s="2548"/>
      <c r="C42" s="2302">
        <f>C4</f>
        <v>46023</v>
      </c>
      <c r="D42" s="2302">
        <f t="shared" ref="D42:H42" si="1">D4</f>
        <v>46054</v>
      </c>
      <c r="E42" s="2302">
        <f t="shared" si="1"/>
        <v>46082</v>
      </c>
      <c r="F42" s="2302">
        <f t="shared" si="1"/>
        <v>46113</v>
      </c>
      <c r="G42" s="2302">
        <f t="shared" si="1"/>
        <v>46143</v>
      </c>
      <c r="H42" s="2302">
        <f t="shared" si="1"/>
        <v>46174</v>
      </c>
      <c r="I42" s="2188"/>
      <c r="J42" s="646"/>
      <c r="K42" s="2289">
        <f>57.6/138.7*100</f>
        <v>41.528478731074266</v>
      </c>
    </row>
    <row r="43" spans="1:12" ht="13.2" thickBot="1" x14ac:dyDescent="0.25">
      <c r="A43" s="2549"/>
      <c r="B43" s="2550"/>
      <c r="C43" s="2303"/>
      <c r="D43" s="2303"/>
      <c r="E43" s="2303"/>
      <c r="F43" s="2303"/>
      <c r="G43" s="2303"/>
      <c r="H43" s="2303"/>
      <c r="I43" s="2189"/>
    </row>
    <row r="44" spans="1:12" ht="12.6" customHeight="1" x14ac:dyDescent="0.2">
      <c r="A44" s="1368" t="s">
        <v>1171</v>
      </c>
      <c r="B44" s="2545"/>
      <c r="C44" s="2304"/>
      <c r="D44" s="2304"/>
      <c r="E44" s="2304"/>
      <c r="F44" s="2304"/>
      <c r="G44" s="2304"/>
      <c r="H44" s="2304"/>
      <c r="I44" s="3054" t="s">
        <v>1472</v>
      </c>
      <c r="J44" s="1939"/>
    </row>
    <row r="45" spans="1:12" x14ac:dyDescent="0.2">
      <c r="A45" s="1368" t="s">
        <v>1216</v>
      </c>
      <c r="B45" s="2545"/>
      <c r="C45" s="2304"/>
      <c r="D45" s="2304"/>
      <c r="E45" s="2304"/>
      <c r="F45" s="2304"/>
      <c r="G45" s="2304"/>
      <c r="H45" s="2304"/>
      <c r="I45" s="3054"/>
      <c r="J45" s="1939"/>
    </row>
    <row r="46" spans="1:12" x14ac:dyDescent="0.2">
      <c r="A46" s="1368" t="s">
        <v>1246</v>
      </c>
      <c r="B46" s="2545"/>
      <c r="C46" s="2304">
        <v>0</v>
      </c>
      <c r="D46" s="2304">
        <v>0</v>
      </c>
      <c r="E46" s="2304">
        <v>0</v>
      </c>
      <c r="F46" s="2304">
        <v>0</v>
      </c>
      <c r="G46" s="2304">
        <v>0</v>
      </c>
      <c r="H46" s="2304">
        <v>0</v>
      </c>
      <c r="I46" s="3054"/>
      <c r="J46" s="1939"/>
    </row>
    <row r="47" spans="1:12" x14ac:dyDescent="0.2">
      <c r="A47" s="2301" t="s">
        <v>1213</v>
      </c>
      <c r="B47" s="2545"/>
      <c r="C47" s="2304"/>
      <c r="D47" s="2304"/>
      <c r="E47" s="2304"/>
      <c r="F47" s="2304"/>
      <c r="G47" s="2304"/>
      <c r="H47" s="2304"/>
      <c r="I47" s="3054"/>
    </row>
    <row r="48" spans="1:12" x14ac:dyDescent="0.2">
      <c r="A48" s="2301" t="s">
        <v>1214</v>
      </c>
      <c r="B48" s="1371"/>
      <c r="C48" s="2304"/>
      <c r="D48" s="2304"/>
      <c r="E48" s="2304"/>
      <c r="F48" s="2304"/>
      <c r="G48" s="2304"/>
      <c r="H48" s="2304"/>
      <c r="I48" s="3054"/>
      <c r="J48" s="646"/>
    </row>
    <row r="49" spans="1:11" x14ac:dyDescent="0.2">
      <c r="A49" s="2301" t="s">
        <v>1247</v>
      </c>
      <c r="B49" s="1371"/>
      <c r="C49" s="2304"/>
      <c r="D49" s="2304"/>
      <c r="E49" s="2304"/>
      <c r="F49" s="2304"/>
      <c r="G49" s="2304"/>
      <c r="H49" s="2304"/>
      <c r="I49" s="3054"/>
      <c r="J49" s="646"/>
    </row>
    <row r="50" spans="1:11" x14ac:dyDescent="0.2">
      <c r="A50" s="2301" t="s">
        <v>1215</v>
      </c>
      <c r="B50" s="1371"/>
      <c r="C50" s="2304">
        <v>177</v>
      </c>
      <c r="D50" s="2304">
        <v>168</v>
      </c>
      <c r="E50" s="2304">
        <v>168</v>
      </c>
      <c r="F50" s="2304">
        <v>168</v>
      </c>
      <c r="G50" s="2304">
        <v>168</v>
      </c>
      <c r="H50" s="2304">
        <v>168</v>
      </c>
      <c r="J50" s="589"/>
    </row>
    <row r="51" spans="1:11" ht="13.2" thickBot="1" x14ac:dyDescent="0.25">
      <c r="A51" s="2205" t="s">
        <v>1248</v>
      </c>
      <c r="B51" s="1373"/>
      <c r="C51" s="2305">
        <v>279</v>
      </c>
      <c r="D51" s="2305">
        <v>277</v>
      </c>
      <c r="E51" s="2305">
        <v>277</v>
      </c>
      <c r="F51" s="2305">
        <v>382</v>
      </c>
      <c r="G51" s="2305">
        <v>382</v>
      </c>
      <c r="H51" s="2305">
        <v>382</v>
      </c>
    </row>
    <row r="52" spans="1:11" hidden="1" x14ac:dyDescent="0.2">
      <c r="A52" s="1370" t="s">
        <v>577</v>
      </c>
      <c r="B52" s="1369"/>
      <c r="C52" s="1359"/>
      <c r="D52" s="1360"/>
      <c r="E52" s="1360"/>
      <c r="F52" s="1360"/>
      <c r="G52" s="1360"/>
      <c r="H52" s="1361"/>
      <c r="I52" s="646"/>
      <c r="J52" s="646"/>
    </row>
    <row r="53" spans="1:11" hidden="1" x14ac:dyDescent="0.2">
      <c r="A53" s="1370" t="s">
        <v>636</v>
      </c>
      <c r="B53" s="1369"/>
      <c r="C53" s="1362"/>
      <c r="D53" s="1363"/>
      <c r="E53" s="1363"/>
      <c r="F53" s="1363"/>
      <c r="G53" s="1363"/>
      <c r="H53" s="1364"/>
      <c r="I53" s="2190"/>
      <c r="J53" s="646"/>
    </row>
    <row r="54" spans="1:11" hidden="1" x14ac:dyDescent="0.2">
      <c r="A54" s="1370" t="s">
        <v>583</v>
      </c>
      <c r="B54" s="1369"/>
      <c r="C54" s="1362"/>
      <c r="D54" s="1363"/>
      <c r="E54" s="1363"/>
      <c r="F54" s="1363"/>
      <c r="G54" s="1363"/>
      <c r="H54" s="1364"/>
      <c r="I54" s="2190"/>
      <c r="J54" s="646"/>
      <c r="K54" s="302"/>
    </row>
    <row r="55" spans="1:11" hidden="1" x14ac:dyDescent="0.2">
      <c r="A55" s="642"/>
      <c r="B55" s="1369"/>
      <c r="C55" s="1362"/>
      <c r="D55" s="1363"/>
      <c r="E55" s="1363"/>
      <c r="F55" s="1363"/>
      <c r="G55" s="1363"/>
      <c r="H55" s="1364"/>
      <c r="I55" s="2190"/>
      <c r="J55" s="646"/>
    </row>
    <row r="56" spans="1:11" hidden="1" x14ac:dyDescent="0.2">
      <c r="A56" s="1368" t="s">
        <v>1172</v>
      </c>
      <c r="B56" s="1369"/>
      <c r="C56" s="1362"/>
      <c r="D56" s="1363"/>
      <c r="E56" s="1363"/>
      <c r="F56" s="1363"/>
      <c r="G56" s="1363"/>
      <c r="H56" s="1364"/>
      <c r="I56" s="2190"/>
      <c r="J56" s="1939" t="s">
        <v>1156</v>
      </c>
    </row>
    <row r="57" spans="1:11" hidden="1" x14ac:dyDescent="0.2">
      <c r="A57" s="1368" t="s">
        <v>578</v>
      </c>
      <c r="B57" s="1371"/>
      <c r="C57" s="1362"/>
      <c r="D57" s="1363"/>
      <c r="E57" s="1363"/>
      <c r="F57" s="1363"/>
      <c r="G57" s="1363"/>
      <c r="H57" s="1364"/>
      <c r="I57" s="2190"/>
      <c r="J57" s="646"/>
    </row>
    <row r="58" spans="1:11" hidden="1" x14ac:dyDescent="0.2">
      <c r="A58" s="1370" t="s">
        <v>579</v>
      </c>
      <c r="B58" s="1371"/>
      <c r="C58" s="1362"/>
      <c r="D58" s="1363"/>
      <c r="E58" s="1363"/>
      <c r="F58" s="1363"/>
      <c r="G58" s="1363"/>
      <c r="H58" s="1364"/>
      <c r="I58" s="2190"/>
      <c r="J58" s="646"/>
    </row>
    <row r="59" spans="1:11" hidden="1" x14ac:dyDescent="0.2">
      <c r="A59" s="1370" t="s">
        <v>580</v>
      </c>
      <c r="B59" s="1371"/>
      <c r="C59" s="1362"/>
      <c r="D59" s="1363"/>
      <c r="E59" s="1363"/>
      <c r="F59" s="1363"/>
      <c r="G59" s="1363"/>
      <c r="H59" s="1364"/>
      <c r="I59" s="2190"/>
      <c r="J59" s="302"/>
    </row>
    <row r="60" spans="1:11" ht="13.2" hidden="1" thickBot="1" x14ac:dyDescent="0.25">
      <c r="A60" s="1372" t="s">
        <v>581</v>
      </c>
      <c r="B60" s="1373"/>
      <c r="C60" s="1365"/>
      <c r="D60" s="1366"/>
      <c r="E60" s="1366"/>
      <c r="F60" s="1366"/>
      <c r="G60" s="1366"/>
      <c r="H60" s="1367"/>
      <c r="I60" s="2190"/>
      <c r="J60" s="302"/>
    </row>
    <row r="62" spans="1:11" ht="13.2" thickBot="1" x14ac:dyDescent="0.25"/>
    <row r="63" spans="1:11" ht="13.2" thickBot="1" x14ac:dyDescent="0.25">
      <c r="A63" s="2247" t="s">
        <v>633</v>
      </c>
      <c r="B63" s="599"/>
      <c r="C63" s="603"/>
      <c r="D63" s="357"/>
      <c r="E63" s="357"/>
      <c r="F63" s="357"/>
      <c r="G63" s="357"/>
      <c r="H63" s="358"/>
    </row>
    <row r="64" spans="1:11" x14ac:dyDescent="0.2">
      <c r="A64" s="595"/>
      <c r="B64" s="595"/>
      <c r="C64" s="603"/>
      <c r="D64" s="357"/>
      <c r="E64" s="357"/>
      <c r="F64" s="357"/>
      <c r="G64" s="357"/>
      <c r="H64" s="358"/>
    </row>
    <row r="65" spans="1:257" ht="13.2" thickBot="1" x14ac:dyDescent="0.25">
      <c r="A65" s="604"/>
      <c r="B65" s="604"/>
      <c r="C65" s="837">
        <f t="shared" ref="C65:H65" si="2">C4</f>
        <v>46023</v>
      </c>
      <c r="D65" s="837">
        <f t="shared" si="2"/>
        <v>46054</v>
      </c>
      <c r="E65" s="837">
        <f t="shared" si="2"/>
        <v>46082</v>
      </c>
      <c r="F65" s="837">
        <f t="shared" si="2"/>
        <v>46113</v>
      </c>
      <c r="G65" s="837">
        <f t="shared" si="2"/>
        <v>46143</v>
      </c>
      <c r="H65" s="838">
        <f t="shared" si="2"/>
        <v>46174</v>
      </c>
      <c r="I65" s="2188"/>
    </row>
    <row r="66" spans="1:257" x14ac:dyDescent="0.2">
      <c r="A66" s="597" t="s">
        <v>1190</v>
      </c>
      <c r="B66" s="600" t="s">
        <v>449</v>
      </c>
      <c r="C66" s="2576">
        <v>279</v>
      </c>
      <c r="D66" s="2576">
        <v>277</v>
      </c>
      <c r="E66" s="2576">
        <v>277</v>
      </c>
      <c r="F66" s="2576">
        <v>382</v>
      </c>
      <c r="G66" s="2576">
        <v>382</v>
      </c>
      <c r="H66" s="2576">
        <v>382</v>
      </c>
      <c r="I66" s="2668"/>
      <c r="J66" s="228"/>
    </row>
    <row r="67" spans="1:257" x14ac:dyDescent="0.2">
      <c r="A67" s="597" t="s">
        <v>1189</v>
      </c>
      <c r="B67" s="600" t="s">
        <v>449</v>
      </c>
      <c r="C67" s="2293">
        <v>279</v>
      </c>
      <c r="D67" s="2293">
        <v>277</v>
      </c>
      <c r="E67" s="2293">
        <v>277</v>
      </c>
      <c r="F67" s="2293">
        <v>382</v>
      </c>
      <c r="G67" s="2293">
        <v>382</v>
      </c>
      <c r="H67" s="2293">
        <v>382</v>
      </c>
      <c r="I67" s="2668"/>
      <c r="J67" s="228"/>
    </row>
    <row r="68" spans="1:257" x14ac:dyDescent="0.2">
      <c r="A68" s="597" t="s">
        <v>503</v>
      </c>
      <c r="B68" s="600" t="s">
        <v>449</v>
      </c>
      <c r="C68" s="2293">
        <v>279</v>
      </c>
      <c r="D68" s="2293">
        <v>277</v>
      </c>
      <c r="E68" s="2293">
        <v>277</v>
      </c>
      <c r="F68" s="2293">
        <v>382</v>
      </c>
      <c r="G68" s="2293">
        <v>382</v>
      </c>
      <c r="H68" s="2293">
        <v>382</v>
      </c>
      <c r="I68" s="2668"/>
      <c r="J68" s="589"/>
      <c r="K68" s="223"/>
      <c r="L68" s="231"/>
      <c r="M68" s="231"/>
      <c r="N68" s="231"/>
      <c r="O68" s="231"/>
      <c r="P68" s="231"/>
      <c r="Q68" s="231"/>
      <c r="S68" s="223"/>
      <c r="T68" s="231"/>
      <c r="U68" s="231"/>
      <c r="V68" s="231"/>
      <c r="W68" s="231"/>
      <c r="X68" s="231"/>
      <c r="Y68" s="231"/>
      <c r="AA68" s="223"/>
      <c r="AB68" s="231"/>
      <c r="AC68" s="231"/>
      <c r="AD68" s="231"/>
      <c r="AE68" s="231"/>
      <c r="AF68" s="231"/>
      <c r="AG68" s="231"/>
      <c r="AI68" s="223"/>
      <c r="AJ68" s="231"/>
      <c r="AK68" s="231"/>
      <c r="AL68" s="231"/>
      <c r="AM68" s="231"/>
      <c r="AN68" s="231"/>
      <c r="AO68" s="231"/>
      <c r="AQ68" s="223"/>
      <c r="AR68" s="231"/>
      <c r="AS68" s="231"/>
      <c r="AT68" s="231"/>
      <c r="AU68" s="231"/>
      <c r="AV68" s="231"/>
      <c r="AW68" s="231"/>
      <c r="AY68" s="223"/>
      <c r="AZ68" s="231"/>
      <c r="BA68" s="231"/>
      <c r="BB68" s="231"/>
      <c r="BC68" s="231"/>
      <c r="BD68" s="231"/>
      <c r="BE68" s="231"/>
      <c r="BG68" s="223"/>
      <c r="BH68" s="231"/>
      <c r="BI68" s="231"/>
      <c r="BJ68" s="231"/>
      <c r="BK68" s="231"/>
      <c r="BL68" s="231"/>
      <c r="BM68" s="231"/>
      <c r="BO68" s="223"/>
      <c r="BP68" s="231"/>
      <c r="BQ68" s="231"/>
      <c r="BR68" s="231"/>
      <c r="BS68" s="231"/>
      <c r="BT68" s="231"/>
      <c r="BU68" s="231"/>
      <c r="BW68" s="223"/>
      <c r="BX68" s="231"/>
      <c r="BY68" s="231"/>
      <c r="BZ68" s="231"/>
      <c r="CA68" s="231"/>
      <c r="CB68" s="231"/>
      <c r="CC68" s="231"/>
      <c r="CE68" s="223"/>
      <c r="CF68" s="231"/>
      <c r="CG68" s="231"/>
      <c r="CH68" s="231"/>
      <c r="CI68" s="231"/>
      <c r="CJ68" s="231"/>
      <c r="CK68" s="231"/>
      <c r="CM68" s="223"/>
      <c r="CN68" s="231"/>
      <c r="CO68" s="231"/>
      <c r="CP68" s="231"/>
      <c r="CQ68" s="231"/>
      <c r="CR68" s="231"/>
      <c r="CS68" s="231"/>
      <c r="CU68" s="223"/>
      <c r="CV68" s="231"/>
      <c r="CW68" s="231"/>
      <c r="CX68" s="231"/>
      <c r="CY68" s="231"/>
      <c r="CZ68" s="231"/>
      <c r="DA68" s="231"/>
      <c r="DC68" s="223"/>
      <c r="DD68" s="231"/>
      <c r="DE68" s="231"/>
      <c r="DF68" s="231"/>
      <c r="DG68" s="231"/>
      <c r="DH68" s="231"/>
      <c r="DI68" s="231"/>
      <c r="DK68" s="223"/>
      <c r="DL68" s="231"/>
      <c r="DM68" s="231"/>
      <c r="DN68" s="231"/>
      <c r="DO68" s="231"/>
      <c r="DP68" s="231"/>
      <c r="DQ68" s="231"/>
      <c r="DS68" s="223"/>
      <c r="DT68" s="231"/>
      <c r="DU68" s="231"/>
      <c r="DV68" s="231"/>
      <c r="DW68" s="231"/>
      <c r="DX68" s="231"/>
      <c r="DY68" s="231"/>
      <c r="EA68" s="223"/>
      <c r="EB68" s="231"/>
      <c r="EC68" s="231"/>
      <c r="ED68" s="231"/>
      <c r="EE68" s="231"/>
      <c r="EF68" s="231"/>
      <c r="EG68" s="231"/>
      <c r="EI68" s="223"/>
      <c r="EJ68" s="231"/>
      <c r="EK68" s="231"/>
      <c r="EL68" s="231"/>
      <c r="EM68" s="231"/>
      <c r="EN68" s="231"/>
      <c r="EO68" s="231"/>
      <c r="EQ68" s="223"/>
      <c r="ER68" s="231"/>
      <c r="ES68" s="231"/>
      <c r="ET68" s="231"/>
      <c r="EU68" s="231"/>
      <c r="EV68" s="231"/>
      <c r="EW68" s="231"/>
      <c r="EY68" s="223"/>
      <c r="EZ68" s="231"/>
      <c r="FA68" s="231"/>
      <c r="FB68" s="231"/>
      <c r="FC68" s="231"/>
      <c r="FD68" s="231"/>
      <c r="FE68" s="231"/>
      <c r="FG68" s="223"/>
      <c r="FH68" s="231"/>
      <c r="FI68" s="231"/>
      <c r="FJ68" s="231"/>
      <c r="FK68" s="231"/>
      <c r="FL68" s="231"/>
      <c r="FM68" s="231"/>
      <c r="FO68" s="223"/>
      <c r="FP68" s="231"/>
      <c r="FQ68" s="231"/>
      <c r="FR68" s="231"/>
      <c r="FS68" s="231"/>
      <c r="FT68" s="231"/>
      <c r="FU68" s="231"/>
      <c r="FW68" s="223"/>
      <c r="FX68" s="231"/>
      <c r="FY68" s="231"/>
      <c r="FZ68" s="231"/>
      <c r="GA68" s="231"/>
      <c r="GB68" s="231"/>
      <c r="GC68" s="231"/>
      <c r="GE68" s="223"/>
      <c r="GF68" s="231"/>
      <c r="GG68" s="231"/>
      <c r="GH68" s="231"/>
      <c r="GI68" s="231"/>
      <c r="GJ68" s="231"/>
      <c r="GK68" s="231"/>
      <c r="GM68" s="223"/>
      <c r="GN68" s="231"/>
      <c r="GO68" s="231"/>
      <c r="GP68" s="231"/>
      <c r="GQ68" s="231"/>
      <c r="GR68" s="231"/>
      <c r="GS68" s="231"/>
      <c r="GU68" s="223"/>
      <c r="GV68" s="231"/>
      <c r="GW68" s="231"/>
      <c r="GX68" s="231"/>
      <c r="GY68" s="231"/>
      <c r="GZ68" s="231"/>
      <c r="HA68" s="231"/>
      <c r="HC68" s="223"/>
      <c r="HD68" s="231"/>
      <c r="HE68" s="231"/>
      <c r="HF68" s="231"/>
      <c r="HG68" s="231"/>
      <c r="HH68" s="231"/>
      <c r="HI68" s="231"/>
      <c r="HK68" s="223"/>
      <c r="HL68" s="231"/>
      <c r="HM68" s="231"/>
      <c r="HN68" s="231"/>
      <c r="HO68" s="231"/>
      <c r="HP68" s="231"/>
      <c r="HQ68" s="231"/>
      <c r="HS68" s="223"/>
      <c r="HT68" s="231"/>
      <c r="HU68" s="231"/>
      <c r="HV68" s="231"/>
      <c r="HW68" s="231"/>
      <c r="HX68" s="231"/>
      <c r="HY68" s="231"/>
      <c r="IA68" s="223"/>
      <c r="IB68" s="231"/>
      <c r="IC68" s="231"/>
      <c r="ID68" s="231"/>
      <c r="IE68" s="231"/>
      <c r="IF68" s="231"/>
      <c r="IG68" s="231"/>
      <c r="II68" s="223"/>
      <c r="IJ68" s="231"/>
      <c r="IK68" s="231"/>
      <c r="IL68" s="231"/>
      <c r="IM68" s="231"/>
      <c r="IN68" s="231"/>
      <c r="IO68" s="231"/>
      <c r="IQ68" s="223"/>
      <c r="IR68" s="231"/>
      <c r="IS68" s="231"/>
      <c r="IT68" s="231"/>
      <c r="IU68" s="231"/>
      <c r="IV68" s="231"/>
      <c r="IW68" s="231"/>
    </row>
    <row r="69" spans="1:257" x14ac:dyDescent="0.2">
      <c r="A69" s="597" t="s">
        <v>645</v>
      </c>
      <c r="B69" s="600" t="s">
        <v>449</v>
      </c>
      <c r="C69" s="2293">
        <v>279</v>
      </c>
      <c r="D69" s="2293">
        <v>277</v>
      </c>
      <c r="E69" s="2293">
        <v>277</v>
      </c>
      <c r="F69" s="2293">
        <v>382</v>
      </c>
      <c r="G69" s="2293">
        <v>382</v>
      </c>
      <c r="H69" s="2293">
        <v>382</v>
      </c>
      <c r="I69" s="2193"/>
      <c r="J69" s="589"/>
      <c r="K69" s="223"/>
      <c r="L69" s="231"/>
      <c r="M69" s="231"/>
      <c r="N69" s="231"/>
      <c r="O69" s="231"/>
      <c r="P69" s="231"/>
      <c r="Q69" s="231"/>
      <c r="S69" s="223"/>
      <c r="T69" s="231"/>
      <c r="U69" s="231"/>
      <c r="V69" s="231"/>
      <c r="W69" s="231"/>
      <c r="X69" s="231"/>
      <c r="Y69" s="231"/>
      <c r="AA69" s="223"/>
      <c r="AB69" s="231"/>
      <c r="AC69" s="231"/>
      <c r="AD69" s="231"/>
      <c r="AE69" s="231"/>
      <c r="AF69" s="231"/>
      <c r="AG69" s="231"/>
      <c r="AI69" s="223"/>
      <c r="AJ69" s="231"/>
      <c r="AK69" s="231"/>
      <c r="AL69" s="231"/>
      <c r="AM69" s="231"/>
      <c r="AN69" s="231"/>
      <c r="AO69" s="231"/>
      <c r="AQ69" s="223"/>
      <c r="AR69" s="231"/>
      <c r="AS69" s="231"/>
      <c r="AT69" s="231"/>
      <c r="AU69" s="231"/>
      <c r="AV69" s="231"/>
      <c r="AW69" s="231"/>
      <c r="AY69" s="223"/>
      <c r="AZ69" s="231"/>
      <c r="BA69" s="231"/>
      <c r="BB69" s="231"/>
      <c r="BC69" s="231"/>
      <c r="BD69" s="231"/>
      <c r="BE69" s="231"/>
      <c r="BG69" s="223"/>
      <c r="BH69" s="231"/>
      <c r="BI69" s="231"/>
      <c r="BJ69" s="231"/>
      <c r="BK69" s="231"/>
      <c r="BL69" s="231"/>
      <c r="BM69" s="231"/>
      <c r="BO69" s="223"/>
      <c r="BP69" s="231"/>
      <c r="BQ69" s="231"/>
      <c r="BR69" s="231"/>
      <c r="BS69" s="231"/>
      <c r="BT69" s="231"/>
      <c r="BU69" s="231"/>
      <c r="BW69" s="223"/>
      <c r="BX69" s="231"/>
      <c r="BY69" s="231"/>
      <c r="BZ69" s="231"/>
      <c r="CA69" s="231"/>
      <c r="CB69" s="231"/>
      <c r="CC69" s="231"/>
      <c r="CE69" s="223"/>
      <c r="CF69" s="231"/>
      <c r="CG69" s="231"/>
      <c r="CH69" s="231"/>
      <c r="CI69" s="231"/>
      <c r="CJ69" s="231"/>
      <c r="CK69" s="231"/>
      <c r="CM69" s="223"/>
      <c r="CN69" s="231"/>
      <c r="CO69" s="231"/>
      <c r="CP69" s="231"/>
      <c r="CQ69" s="231"/>
      <c r="CR69" s="231"/>
      <c r="CS69" s="231"/>
      <c r="CU69" s="223"/>
      <c r="CV69" s="231"/>
      <c r="CW69" s="231"/>
      <c r="CX69" s="231"/>
      <c r="CY69" s="231"/>
      <c r="CZ69" s="231"/>
      <c r="DA69" s="231"/>
      <c r="DC69" s="223"/>
      <c r="DD69" s="231"/>
      <c r="DE69" s="231"/>
      <c r="DF69" s="231"/>
      <c r="DG69" s="231"/>
      <c r="DH69" s="231"/>
      <c r="DI69" s="231"/>
      <c r="DK69" s="223"/>
      <c r="DL69" s="231"/>
      <c r="DM69" s="231"/>
      <c r="DN69" s="231"/>
      <c r="DO69" s="231"/>
      <c r="DP69" s="231"/>
      <c r="DQ69" s="231"/>
      <c r="DS69" s="223"/>
      <c r="DT69" s="231"/>
      <c r="DU69" s="231"/>
      <c r="DV69" s="231"/>
      <c r="DW69" s="231"/>
      <c r="DX69" s="231"/>
      <c r="DY69" s="231"/>
      <c r="EA69" s="223"/>
      <c r="EB69" s="231"/>
      <c r="EC69" s="231"/>
      <c r="ED69" s="231"/>
      <c r="EE69" s="231"/>
      <c r="EF69" s="231"/>
      <c r="EG69" s="231"/>
      <c r="EI69" s="223"/>
      <c r="EJ69" s="231"/>
      <c r="EK69" s="231"/>
      <c r="EL69" s="231"/>
      <c r="EM69" s="231"/>
      <c r="EN69" s="231"/>
      <c r="EO69" s="231"/>
      <c r="EQ69" s="223"/>
      <c r="ER69" s="231"/>
      <c r="ES69" s="231"/>
      <c r="ET69" s="231"/>
      <c r="EU69" s="231"/>
      <c r="EV69" s="231"/>
      <c r="EW69" s="231"/>
      <c r="EY69" s="223"/>
      <c r="EZ69" s="231"/>
      <c r="FA69" s="231"/>
      <c r="FB69" s="231"/>
      <c r="FC69" s="231"/>
      <c r="FD69" s="231"/>
      <c r="FE69" s="231"/>
      <c r="FG69" s="223"/>
      <c r="FH69" s="231"/>
      <c r="FI69" s="231"/>
      <c r="FJ69" s="231"/>
      <c r="FK69" s="231"/>
      <c r="FL69" s="231"/>
      <c r="FM69" s="231"/>
      <c r="FO69" s="223"/>
      <c r="FP69" s="231"/>
      <c r="FQ69" s="231"/>
      <c r="FR69" s="231"/>
      <c r="FS69" s="231"/>
      <c r="FT69" s="231"/>
      <c r="FU69" s="231"/>
      <c r="FW69" s="223"/>
      <c r="FX69" s="231"/>
      <c r="FY69" s="231"/>
      <c r="FZ69" s="231"/>
      <c r="GA69" s="231"/>
      <c r="GB69" s="231"/>
      <c r="GC69" s="231"/>
      <c r="GE69" s="223"/>
      <c r="GF69" s="231"/>
      <c r="GG69" s="231"/>
      <c r="GH69" s="231"/>
      <c r="GI69" s="231"/>
      <c r="GJ69" s="231"/>
      <c r="GK69" s="231"/>
      <c r="GM69" s="223"/>
      <c r="GN69" s="231"/>
      <c r="GO69" s="231"/>
      <c r="GP69" s="231"/>
      <c r="GQ69" s="231"/>
      <c r="GR69" s="231"/>
      <c r="GS69" s="231"/>
      <c r="GU69" s="223"/>
      <c r="GV69" s="231"/>
      <c r="GW69" s="231"/>
      <c r="GX69" s="231"/>
      <c r="GY69" s="231"/>
      <c r="GZ69" s="231"/>
      <c r="HA69" s="231"/>
      <c r="HC69" s="223"/>
      <c r="HD69" s="231"/>
      <c r="HE69" s="231"/>
      <c r="HF69" s="231"/>
      <c r="HG69" s="231"/>
      <c r="HH69" s="231"/>
      <c r="HI69" s="231"/>
      <c r="HK69" s="223"/>
      <c r="HL69" s="231"/>
      <c r="HM69" s="231"/>
      <c r="HN69" s="231"/>
      <c r="HO69" s="231"/>
      <c r="HP69" s="231"/>
      <c r="HQ69" s="231"/>
      <c r="HS69" s="223"/>
      <c r="HT69" s="231"/>
      <c r="HU69" s="231"/>
      <c r="HV69" s="231"/>
      <c r="HW69" s="231"/>
      <c r="HX69" s="231"/>
      <c r="HY69" s="231"/>
      <c r="IA69" s="223"/>
      <c r="IB69" s="231"/>
      <c r="IC69" s="231"/>
      <c r="ID69" s="231"/>
      <c r="IE69" s="231"/>
      <c r="IF69" s="231"/>
      <c r="IG69" s="231"/>
      <c r="II69" s="223"/>
      <c r="IJ69" s="231"/>
      <c r="IK69" s="231"/>
      <c r="IL69" s="231"/>
      <c r="IM69" s="231"/>
      <c r="IN69" s="231"/>
      <c r="IO69" s="231"/>
      <c r="IQ69" s="223"/>
      <c r="IR69" s="231"/>
      <c r="IS69" s="231"/>
      <c r="IT69" s="231"/>
      <c r="IU69" s="231"/>
      <c r="IV69" s="231"/>
      <c r="IW69" s="231"/>
    </row>
    <row r="70" spans="1:257" x14ac:dyDescent="0.2">
      <c r="A70" s="597" t="s">
        <v>644</v>
      </c>
      <c r="B70" s="600" t="s">
        <v>449</v>
      </c>
      <c r="C70" s="2293">
        <v>279</v>
      </c>
      <c r="D70" s="2293">
        <v>277</v>
      </c>
      <c r="E70" s="2293">
        <v>277</v>
      </c>
      <c r="F70" s="2293">
        <v>382</v>
      </c>
      <c r="G70" s="2293">
        <v>382</v>
      </c>
      <c r="H70" s="2293">
        <v>382</v>
      </c>
      <c r="I70" s="2193"/>
      <c r="J70" s="589"/>
      <c r="K70" s="223"/>
      <c r="L70" s="231"/>
      <c r="M70" s="231"/>
      <c r="N70" s="231"/>
      <c r="O70" s="231"/>
      <c r="P70" s="231"/>
      <c r="Q70" s="231"/>
      <c r="S70" s="223"/>
      <c r="T70" s="231"/>
      <c r="U70" s="231"/>
      <c r="V70" s="231"/>
      <c r="W70" s="231"/>
      <c r="X70" s="231"/>
      <c r="Y70" s="231"/>
      <c r="AA70" s="223"/>
      <c r="AB70" s="231"/>
      <c r="AC70" s="231"/>
      <c r="AD70" s="231"/>
      <c r="AE70" s="231"/>
      <c r="AF70" s="231"/>
      <c r="AG70" s="231"/>
      <c r="AI70" s="223"/>
      <c r="AJ70" s="231"/>
      <c r="AK70" s="231"/>
      <c r="AL70" s="231"/>
      <c r="AM70" s="231"/>
      <c r="AN70" s="231"/>
      <c r="AO70" s="231"/>
      <c r="AQ70" s="223"/>
      <c r="AR70" s="231"/>
      <c r="AS70" s="231"/>
      <c r="AT70" s="231"/>
      <c r="AU70" s="231"/>
      <c r="AV70" s="231"/>
      <c r="AW70" s="231"/>
      <c r="AY70" s="223"/>
      <c r="AZ70" s="231"/>
      <c r="BA70" s="231"/>
      <c r="BB70" s="231"/>
      <c r="BC70" s="231"/>
      <c r="BD70" s="231"/>
      <c r="BE70" s="231"/>
      <c r="BG70" s="223"/>
      <c r="BH70" s="231"/>
      <c r="BI70" s="231"/>
      <c r="BJ70" s="231"/>
      <c r="BK70" s="231"/>
      <c r="BL70" s="231"/>
      <c r="BM70" s="231"/>
      <c r="BO70" s="223"/>
      <c r="BP70" s="231"/>
      <c r="BQ70" s="231"/>
      <c r="BR70" s="231"/>
      <c r="BS70" s="231"/>
      <c r="BT70" s="231"/>
      <c r="BU70" s="231"/>
      <c r="BW70" s="223"/>
      <c r="BX70" s="231"/>
      <c r="BY70" s="231"/>
      <c r="BZ70" s="231"/>
      <c r="CA70" s="231"/>
      <c r="CB70" s="231"/>
      <c r="CC70" s="231"/>
      <c r="CE70" s="223"/>
      <c r="CF70" s="231"/>
      <c r="CG70" s="231"/>
      <c r="CH70" s="231"/>
      <c r="CI70" s="231"/>
      <c r="CJ70" s="231"/>
      <c r="CK70" s="231"/>
      <c r="CM70" s="223"/>
      <c r="CN70" s="231"/>
      <c r="CO70" s="231"/>
      <c r="CP70" s="231"/>
      <c r="CQ70" s="231"/>
      <c r="CR70" s="231"/>
      <c r="CS70" s="231"/>
      <c r="CU70" s="223"/>
      <c r="CV70" s="231"/>
      <c r="CW70" s="231"/>
      <c r="CX70" s="231"/>
      <c r="CY70" s="231"/>
      <c r="CZ70" s="231"/>
      <c r="DA70" s="231"/>
      <c r="DC70" s="223"/>
      <c r="DD70" s="231"/>
      <c r="DE70" s="231"/>
      <c r="DF70" s="231"/>
      <c r="DG70" s="231"/>
      <c r="DH70" s="231"/>
      <c r="DI70" s="231"/>
      <c r="DK70" s="223"/>
      <c r="DL70" s="231"/>
      <c r="DM70" s="231"/>
      <c r="DN70" s="231"/>
      <c r="DO70" s="231"/>
      <c r="DP70" s="231"/>
      <c r="DQ70" s="231"/>
      <c r="DS70" s="223"/>
      <c r="DT70" s="231"/>
      <c r="DU70" s="231"/>
      <c r="DV70" s="231"/>
      <c r="DW70" s="231"/>
      <c r="DX70" s="231"/>
      <c r="DY70" s="231"/>
      <c r="EA70" s="223"/>
      <c r="EB70" s="231"/>
      <c r="EC70" s="231"/>
      <c r="ED70" s="231"/>
      <c r="EE70" s="231"/>
      <c r="EF70" s="231"/>
      <c r="EG70" s="231"/>
      <c r="EI70" s="223"/>
      <c r="EJ70" s="231"/>
      <c r="EK70" s="231"/>
      <c r="EL70" s="231"/>
      <c r="EM70" s="231"/>
      <c r="EN70" s="231"/>
      <c r="EO70" s="231"/>
      <c r="EQ70" s="223"/>
      <c r="ER70" s="231"/>
      <c r="ES70" s="231"/>
      <c r="ET70" s="231"/>
      <c r="EU70" s="231"/>
      <c r="EV70" s="231"/>
      <c r="EW70" s="231"/>
      <c r="EY70" s="223"/>
      <c r="EZ70" s="231"/>
      <c r="FA70" s="231"/>
      <c r="FB70" s="231"/>
      <c r="FC70" s="231"/>
      <c r="FD70" s="231"/>
      <c r="FE70" s="231"/>
      <c r="FG70" s="223"/>
      <c r="FH70" s="231"/>
      <c r="FI70" s="231"/>
      <c r="FJ70" s="231"/>
      <c r="FK70" s="231"/>
      <c r="FL70" s="231"/>
      <c r="FM70" s="231"/>
      <c r="FO70" s="223"/>
      <c r="FP70" s="231"/>
      <c r="FQ70" s="231"/>
      <c r="FR70" s="231"/>
      <c r="FS70" s="231"/>
      <c r="FT70" s="231"/>
      <c r="FU70" s="231"/>
      <c r="FW70" s="223"/>
      <c r="FX70" s="231"/>
      <c r="FY70" s="231"/>
      <c r="FZ70" s="231"/>
      <c r="GA70" s="231"/>
      <c r="GB70" s="231"/>
      <c r="GC70" s="231"/>
      <c r="GE70" s="223"/>
      <c r="GF70" s="231"/>
      <c r="GG70" s="231"/>
      <c r="GH70" s="231"/>
      <c r="GI70" s="231"/>
      <c r="GJ70" s="231"/>
      <c r="GK70" s="231"/>
      <c r="GM70" s="223"/>
      <c r="GN70" s="231"/>
      <c r="GO70" s="231"/>
      <c r="GP70" s="231"/>
      <c r="GQ70" s="231"/>
      <c r="GR70" s="231"/>
      <c r="GS70" s="231"/>
      <c r="GU70" s="223"/>
      <c r="GV70" s="231"/>
      <c r="GW70" s="231"/>
      <c r="GX70" s="231"/>
      <c r="GY70" s="231"/>
      <c r="GZ70" s="231"/>
      <c r="HA70" s="231"/>
      <c r="HC70" s="223"/>
      <c r="HD70" s="231"/>
      <c r="HE70" s="231"/>
      <c r="HF70" s="231"/>
      <c r="HG70" s="231"/>
      <c r="HH70" s="231"/>
      <c r="HI70" s="231"/>
      <c r="HK70" s="223"/>
      <c r="HL70" s="231"/>
      <c r="HM70" s="231"/>
      <c r="HN70" s="231"/>
      <c r="HO70" s="231"/>
      <c r="HP70" s="231"/>
      <c r="HQ70" s="231"/>
      <c r="HS70" s="223"/>
      <c r="HT70" s="231"/>
      <c r="HU70" s="231"/>
      <c r="HV70" s="231"/>
      <c r="HW70" s="231"/>
      <c r="HX70" s="231"/>
      <c r="HY70" s="231"/>
      <c r="IA70" s="223"/>
      <c r="IB70" s="231"/>
      <c r="IC70" s="231"/>
      <c r="ID70" s="231"/>
      <c r="IE70" s="231"/>
      <c r="IF70" s="231"/>
      <c r="IG70" s="231"/>
      <c r="II70" s="223"/>
      <c r="IJ70" s="231"/>
      <c r="IK70" s="231"/>
      <c r="IL70" s="231"/>
      <c r="IM70" s="231"/>
      <c r="IN70" s="231"/>
      <c r="IO70" s="231"/>
      <c r="IQ70" s="223"/>
      <c r="IR70" s="231"/>
      <c r="IS70" s="231"/>
      <c r="IT70" s="231"/>
      <c r="IU70" s="231"/>
      <c r="IV70" s="231"/>
      <c r="IW70" s="231"/>
    </row>
    <row r="71" spans="1:257" x14ac:dyDescent="0.2">
      <c r="A71" s="597" t="s">
        <v>810</v>
      </c>
      <c r="B71" s="600" t="s">
        <v>449</v>
      </c>
      <c r="C71" s="2293">
        <v>279</v>
      </c>
      <c r="D71" s="2293">
        <v>277</v>
      </c>
      <c r="E71" s="2293">
        <v>277</v>
      </c>
      <c r="F71" s="2293">
        <v>382</v>
      </c>
      <c r="G71" s="2293">
        <v>382</v>
      </c>
      <c r="H71" s="2293">
        <v>382</v>
      </c>
      <c r="I71" s="2193"/>
      <c r="J71" s="3052"/>
      <c r="K71" s="223"/>
      <c r="L71" s="231"/>
      <c r="M71" s="231"/>
      <c r="N71" s="231"/>
      <c r="O71" s="231"/>
      <c r="P71" s="231"/>
      <c r="Q71" s="231"/>
      <c r="S71" s="223"/>
      <c r="T71" s="231"/>
      <c r="U71" s="231"/>
      <c r="V71" s="231"/>
      <c r="W71" s="231"/>
      <c r="X71" s="231"/>
      <c r="Y71" s="231"/>
      <c r="AA71" s="223"/>
      <c r="AB71" s="231"/>
      <c r="AC71" s="231"/>
      <c r="AD71" s="231"/>
      <c r="AE71" s="231"/>
      <c r="AF71" s="231"/>
      <c r="AG71" s="231"/>
      <c r="AI71" s="223"/>
      <c r="AJ71" s="231"/>
      <c r="AK71" s="231"/>
      <c r="AL71" s="231"/>
      <c r="AM71" s="231"/>
      <c r="AN71" s="231"/>
      <c r="AO71" s="231"/>
      <c r="AQ71" s="223"/>
      <c r="AR71" s="231"/>
      <c r="AS71" s="231"/>
      <c r="AT71" s="231"/>
      <c r="AU71" s="231"/>
      <c r="AV71" s="231"/>
      <c r="AW71" s="231"/>
      <c r="AY71" s="223"/>
      <c r="AZ71" s="231"/>
      <c r="BA71" s="231"/>
      <c r="BB71" s="231"/>
      <c r="BC71" s="231"/>
      <c r="BD71" s="231"/>
      <c r="BE71" s="231"/>
      <c r="BG71" s="223"/>
      <c r="BH71" s="231"/>
      <c r="BI71" s="231"/>
      <c r="BJ71" s="231"/>
      <c r="BK71" s="231"/>
      <c r="BL71" s="231"/>
      <c r="BM71" s="231"/>
      <c r="BO71" s="223"/>
      <c r="BP71" s="231"/>
      <c r="BQ71" s="231"/>
      <c r="BR71" s="231"/>
      <c r="BS71" s="231"/>
      <c r="BT71" s="231"/>
      <c r="BU71" s="231"/>
      <c r="BW71" s="223"/>
      <c r="BX71" s="231"/>
      <c r="BY71" s="231"/>
      <c r="BZ71" s="231"/>
      <c r="CA71" s="231"/>
      <c r="CB71" s="231"/>
      <c r="CC71" s="231"/>
      <c r="CE71" s="223"/>
      <c r="CF71" s="231"/>
      <c r="CG71" s="231"/>
      <c r="CH71" s="231"/>
      <c r="CI71" s="231"/>
      <c r="CJ71" s="231"/>
      <c r="CK71" s="231"/>
      <c r="CM71" s="223"/>
      <c r="CN71" s="231"/>
      <c r="CO71" s="231"/>
      <c r="CP71" s="231"/>
      <c r="CQ71" s="231"/>
      <c r="CR71" s="231"/>
      <c r="CS71" s="231"/>
      <c r="CU71" s="223"/>
      <c r="CV71" s="231"/>
      <c r="CW71" s="231"/>
      <c r="CX71" s="231"/>
      <c r="CY71" s="231"/>
      <c r="CZ71" s="231"/>
      <c r="DA71" s="231"/>
      <c r="DC71" s="223"/>
      <c r="DD71" s="231"/>
      <c r="DE71" s="231"/>
      <c r="DF71" s="231"/>
      <c r="DG71" s="231"/>
      <c r="DH71" s="231"/>
      <c r="DI71" s="231"/>
      <c r="DK71" s="223"/>
      <c r="DL71" s="231"/>
      <c r="DM71" s="231"/>
      <c r="DN71" s="231"/>
      <c r="DO71" s="231"/>
      <c r="DP71" s="231"/>
      <c r="DQ71" s="231"/>
      <c r="DS71" s="223"/>
      <c r="DT71" s="231"/>
      <c r="DU71" s="231"/>
      <c r="DV71" s="231"/>
      <c r="DW71" s="231"/>
      <c r="DX71" s="231"/>
      <c r="DY71" s="231"/>
      <c r="EA71" s="223"/>
      <c r="EB71" s="231"/>
      <c r="EC71" s="231"/>
      <c r="ED71" s="231"/>
      <c r="EE71" s="231"/>
      <c r="EF71" s="231"/>
      <c r="EG71" s="231"/>
      <c r="EI71" s="223"/>
      <c r="EJ71" s="231"/>
      <c r="EK71" s="231"/>
      <c r="EL71" s="231"/>
      <c r="EM71" s="231"/>
      <c r="EN71" s="231"/>
      <c r="EO71" s="231"/>
      <c r="EQ71" s="223"/>
      <c r="ER71" s="231"/>
      <c r="ES71" s="231"/>
      <c r="ET71" s="231"/>
      <c r="EU71" s="231"/>
      <c r="EV71" s="231"/>
      <c r="EW71" s="231"/>
      <c r="EY71" s="223"/>
      <c r="EZ71" s="231"/>
      <c r="FA71" s="231"/>
      <c r="FB71" s="231"/>
      <c r="FC71" s="231"/>
      <c r="FD71" s="231"/>
      <c r="FE71" s="231"/>
      <c r="FG71" s="223"/>
      <c r="FH71" s="231"/>
      <c r="FI71" s="231"/>
      <c r="FJ71" s="231"/>
      <c r="FK71" s="231"/>
      <c r="FL71" s="231"/>
      <c r="FM71" s="231"/>
      <c r="FO71" s="223"/>
      <c r="FP71" s="231"/>
      <c r="FQ71" s="231"/>
      <c r="FR71" s="231"/>
      <c r="FS71" s="231"/>
      <c r="FT71" s="231"/>
      <c r="FU71" s="231"/>
      <c r="FW71" s="223"/>
      <c r="FX71" s="231"/>
      <c r="FY71" s="231"/>
      <c r="FZ71" s="231"/>
      <c r="GA71" s="231"/>
      <c r="GB71" s="231"/>
      <c r="GC71" s="231"/>
      <c r="GE71" s="223"/>
      <c r="GF71" s="231"/>
      <c r="GG71" s="231"/>
      <c r="GH71" s="231"/>
      <c r="GI71" s="231"/>
      <c r="GJ71" s="231"/>
      <c r="GK71" s="231"/>
      <c r="GM71" s="223"/>
      <c r="GN71" s="231"/>
      <c r="GO71" s="231"/>
      <c r="GP71" s="231"/>
      <c r="GQ71" s="231"/>
      <c r="GR71" s="231"/>
      <c r="GS71" s="231"/>
      <c r="GU71" s="223"/>
      <c r="GV71" s="231"/>
      <c r="GW71" s="231"/>
      <c r="GX71" s="231"/>
      <c r="GY71" s="231"/>
      <c r="GZ71" s="231"/>
      <c r="HA71" s="231"/>
      <c r="HC71" s="223"/>
      <c r="HD71" s="231"/>
      <c r="HE71" s="231"/>
      <c r="HF71" s="231"/>
      <c r="HG71" s="231"/>
      <c r="HH71" s="231"/>
      <c r="HI71" s="231"/>
      <c r="HK71" s="223"/>
      <c r="HL71" s="231"/>
      <c r="HM71" s="231"/>
      <c r="HN71" s="231"/>
      <c r="HO71" s="231"/>
      <c r="HP71" s="231"/>
      <c r="HQ71" s="231"/>
      <c r="HS71" s="223"/>
      <c r="HT71" s="231"/>
      <c r="HU71" s="231"/>
      <c r="HV71" s="231"/>
      <c r="HW71" s="231"/>
      <c r="HX71" s="231"/>
      <c r="HY71" s="231"/>
      <c r="IA71" s="223"/>
      <c r="IB71" s="231"/>
      <c r="IC71" s="231"/>
      <c r="ID71" s="231"/>
      <c r="IE71" s="231"/>
      <c r="IF71" s="231"/>
      <c r="IG71" s="231"/>
      <c r="II71" s="223"/>
      <c r="IJ71" s="231"/>
      <c r="IK71" s="231"/>
      <c r="IL71" s="231"/>
      <c r="IM71" s="231"/>
      <c r="IN71" s="231"/>
      <c r="IO71" s="231"/>
      <c r="IQ71" s="223"/>
      <c r="IR71" s="231"/>
      <c r="IS71" s="231"/>
      <c r="IT71" s="231"/>
      <c r="IU71" s="231"/>
      <c r="IV71" s="231"/>
      <c r="IW71" s="231"/>
    </row>
    <row r="72" spans="1:257" x14ac:dyDescent="0.2">
      <c r="A72" s="597" t="s">
        <v>811</v>
      </c>
      <c r="B72" s="600" t="s">
        <v>449</v>
      </c>
      <c r="C72" s="2293">
        <v>279</v>
      </c>
      <c r="D72" s="2293">
        <v>277</v>
      </c>
      <c r="E72" s="2293">
        <v>277</v>
      </c>
      <c r="F72" s="2293">
        <v>382</v>
      </c>
      <c r="G72" s="2293">
        <v>382</v>
      </c>
      <c r="H72" s="2293">
        <v>382</v>
      </c>
      <c r="I72" s="2193"/>
      <c r="J72" s="3052"/>
      <c r="K72" s="223"/>
      <c r="L72" s="231"/>
      <c r="M72" s="231"/>
      <c r="N72" s="231"/>
      <c r="O72" s="231"/>
      <c r="P72" s="231"/>
      <c r="Q72" s="231"/>
      <c r="S72" s="223"/>
      <c r="T72" s="231"/>
      <c r="U72" s="231"/>
      <c r="V72" s="231"/>
      <c r="W72" s="231"/>
      <c r="X72" s="231"/>
      <c r="Y72" s="231"/>
      <c r="AA72" s="223"/>
      <c r="AB72" s="231"/>
      <c r="AC72" s="231"/>
      <c r="AD72" s="231"/>
      <c r="AE72" s="231"/>
      <c r="AF72" s="231"/>
      <c r="AG72" s="231"/>
      <c r="AI72" s="223"/>
      <c r="AJ72" s="231"/>
      <c r="AK72" s="231"/>
      <c r="AL72" s="231"/>
      <c r="AM72" s="231"/>
      <c r="AN72" s="231"/>
      <c r="AO72" s="231"/>
      <c r="AQ72" s="223"/>
      <c r="AR72" s="231"/>
      <c r="AS72" s="231"/>
      <c r="AT72" s="231"/>
      <c r="AU72" s="231"/>
      <c r="AV72" s="231"/>
      <c r="AW72" s="231"/>
      <c r="AY72" s="223"/>
      <c r="AZ72" s="231"/>
      <c r="BA72" s="231"/>
      <c r="BB72" s="231"/>
      <c r="BC72" s="231"/>
      <c r="BD72" s="231"/>
      <c r="BE72" s="231"/>
      <c r="BG72" s="223"/>
      <c r="BH72" s="231"/>
      <c r="BI72" s="231"/>
      <c r="BJ72" s="231"/>
      <c r="BK72" s="231"/>
      <c r="BL72" s="231"/>
      <c r="BM72" s="231"/>
      <c r="BO72" s="223"/>
      <c r="BP72" s="231"/>
      <c r="BQ72" s="231"/>
      <c r="BR72" s="231"/>
      <c r="BS72" s="231"/>
      <c r="BT72" s="231"/>
      <c r="BU72" s="231"/>
      <c r="BW72" s="223"/>
      <c r="BX72" s="231"/>
      <c r="BY72" s="231"/>
      <c r="BZ72" s="231"/>
      <c r="CA72" s="231"/>
      <c r="CB72" s="231"/>
      <c r="CC72" s="231"/>
      <c r="CE72" s="223"/>
      <c r="CF72" s="231"/>
      <c r="CG72" s="231"/>
      <c r="CH72" s="231"/>
      <c r="CI72" s="231"/>
      <c r="CJ72" s="231"/>
      <c r="CK72" s="231"/>
      <c r="CM72" s="223"/>
      <c r="CN72" s="231"/>
      <c r="CO72" s="231"/>
      <c r="CP72" s="231"/>
      <c r="CQ72" s="231"/>
      <c r="CR72" s="231"/>
      <c r="CS72" s="231"/>
      <c r="CU72" s="223"/>
      <c r="CV72" s="231"/>
      <c r="CW72" s="231"/>
      <c r="CX72" s="231"/>
      <c r="CY72" s="231"/>
      <c r="CZ72" s="231"/>
      <c r="DA72" s="231"/>
      <c r="DC72" s="223"/>
      <c r="DD72" s="231"/>
      <c r="DE72" s="231"/>
      <c r="DF72" s="231"/>
      <c r="DG72" s="231"/>
      <c r="DH72" s="231"/>
      <c r="DI72" s="231"/>
      <c r="DK72" s="223"/>
      <c r="DL72" s="231"/>
      <c r="DM72" s="231"/>
      <c r="DN72" s="231"/>
      <c r="DO72" s="231"/>
      <c r="DP72" s="231"/>
      <c r="DQ72" s="231"/>
      <c r="DS72" s="223"/>
      <c r="DT72" s="231"/>
      <c r="DU72" s="231"/>
      <c r="DV72" s="231"/>
      <c r="DW72" s="231"/>
      <c r="DX72" s="231"/>
      <c r="DY72" s="231"/>
      <c r="EA72" s="223"/>
      <c r="EB72" s="231"/>
      <c r="EC72" s="231"/>
      <c r="ED72" s="231"/>
      <c r="EE72" s="231"/>
      <c r="EF72" s="231"/>
      <c r="EG72" s="231"/>
      <c r="EI72" s="223"/>
      <c r="EJ72" s="231"/>
      <c r="EK72" s="231"/>
      <c r="EL72" s="231"/>
      <c r="EM72" s="231"/>
      <c r="EN72" s="231"/>
      <c r="EO72" s="231"/>
      <c r="EQ72" s="223"/>
      <c r="ER72" s="231"/>
      <c r="ES72" s="231"/>
      <c r="ET72" s="231"/>
      <c r="EU72" s="231"/>
      <c r="EV72" s="231"/>
      <c r="EW72" s="231"/>
      <c r="EY72" s="223"/>
      <c r="EZ72" s="231"/>
      <c r="FA72" s="231"/>
      <c r="FB72" s="231"/>
      <c r="FC72" s="231"/>
      <c r="FD72" s="231"/>
      <c r="FE72" s="231"/>
      <c r="FG72" s="223"/>
      <c r="FH72" s="231"/>
      <c r="FI72" s="231"/>
      <c r="FJ72" s="231"/>
      <c r="FK72" s="231"/>
      <c r="FL72" s="231"/>
      <c r="FM72" s="231"/>
      <c r="FO72" s="223"/>
      <c r="FP72" s="231"/>
      <c r="FQ72" s="231"/>
      <c r="FR72" s="231"/>
      <c r="FS72" s="231"/>
      <c r="FT72" s="231"/>
      <c r="FU72" s="231"/>
      <c r="FW72" s="223"/>
      <c r="FX72" s="231"/>
      <c r="FY72" s="231"/>
      <c r="FZ72" s="231"/>
      <c r="GA72" s="231"/>
      <c r="GB72" s="231"/>
      <c r="GC72" s="231"/>
      <c r="GE72" s="223"/>
      <c r="GF72" s="231"/>
      <c r="GG72" s="231"/>
      <c r="GH72" s="231"/>
      <c r="GI72" s="231"/>
      <c r="GJ72" s="231"/>
      <c r="GK72" s="231"/>
      <c r="GM72" s="223"/>
      <c r="GN72" s="231"/>
      <c r="GO72" s="231"/>
      <c r="GP72" s="231"/>
      <c r="GQ72" s="231"/>
      <c r="GR72" s="231"/>
      <c r="GS72" s="231"/>
      <c r="GU72" s="223"/>
      <c r="GV72" s="231"/>
      <c r="GW72" s="231"/>
      <c r="GX72" s="231"/>
      <c r="GY72" s="231"/>
      <c r="GZ72" s="231"/>
      <c r="HA72" s="231"/>
      <c r="HC72" s="223"/>
      <c r="HD72" s="231"/>
      <c r="HE72" s="231"/>
      <c r="HF72" s="231"/>
      <c r="HG72" s="231"/>
      <c r="HH72" s="231"/>
      <c r="HI72" s="231"/>
      <c r="HK72" s="223"/>
      <c r="HL72" s="231"/>
      <c r="HM72" s="231"/>
      <c r="HN72" s="231"/>
      <c r="HO72" s="231"/>
      <c r="HP72" s="231"/>
      <c r="HQ72" s="231"/>
      <c r="HS72" s="223"/>
      <c r="HT72" s="231"/>
      <c r="HU72" s="231"/>
      <c r="HV72" s="231"/>
      <c r="HW72" s="231"/>
      <c r="HX72" s="231"/>
      <c r="HY72" s="231"/>
      <c r="IA72" s="223"/>
      <c r="IB72" s="231"/>
      <c r="IC72" s="231"/>
      <c r="ID72" s="231"/>
      <c r="IE72" s="231"/>
      <c r="IF72" s="231"/>
      <c r="IG72" s="231"/>
      <c r="II72" s="223"/>
      <c r="IJ72" s="231"/>
      <c r="IK72" s="231"/>
      <c r="IL72" s="231"/>
      <c r="IM72" s="231"/>
      <c r="IN72" s="231"/>
      <c r="IO72" s="231"/>
      <c r="IQ72" s="223"/>
      <c r="IR72" s="231"/>
      <c r="IS72" s="231"/>
      <c r="IT72" s="231"/>
      <c r="IU72" s="231"/>
      <c r="IV72" s="231"/>
      <c r="IW72" s="231"/>
    </row>
    <row r="73" spans="1:257" x14ac:dyDescent="0.2">
      <c r="A73" s="596" t="s">
        <v>504</v>
      </c>
      <c r="B73" s="600" t="s">
        <v>449</v>
      </c>
      <c r="C73" s="2293">
        <v>279</v>
      </c>
      <c r="D73" s="2293">
        <v>277</v>
      </c>
      <c r="E73" s="2293">
        <v>277</v>
      </c>
      <c r="F73" s="2293">
        <v>382</v>
      </c>
      <c r="G73" s="2293">
        <v>382</v>
      </c>
      <c r="H73" s="2293">
        <v>382</v>
      </c>
      <c r="I73" s="2668"/>
      <c r="J73" s="589"/>
    </row>
    <row r="74" spans="1:257" x14ac:dyDescent="0.2">
      <c r="A74" s="596" t="s">
        <v>630</v>
      </c>
      <c r="B74" s="601" t="s">
        <v>631</v>
      </c>
      <c r="C74" s="2794">
        <v>39.26</v>
      </c>
      <c r="D74" s="2794">
        <v>38.880000000000003</v>
      </c>
      <c r="E74" s="2794">
        <v>37.94</v>
      </c>
      <c r="F74" s="2794">
        <v>38.53</v>
      </c>
      <c r="G74" s="2794">
        <v>38.06</v>
      </c>
      <c r="H74" s="2293">
        <v>39.26</v>
      </c>
      <c r="I74" s="229"/>
      <c r="J74" s="2651">
        <f>+I74-H74</f>
        <v>-39.26</v>
      </c>
      <c r="K74" s="2652" t="e">
        <f>+J74/I74</f>
        <v>#DIV/0!</v>
      </c>
    </row>
    <row r="75" spans="1:257" x14ac:dyDescent="0.2">
      <c r="A75" s="597" t="s">
        <v>1177</v>
      </c>
      <c r="B75" s="600" t="s">
        <v>449</v>
      </c>
      <c r="C75" s="2293">
        <v>177</v>
      </c>
      <c r="D75" s="2293">
        <v>168</v>
      </c>
      <c r="E75" s="2293">
        <v>168</v>
      </c>
      <c r="F75" s="2293">
        <v>168</v>
      </c>
      <c r="G75" s="2293">
        <v>168</v>
      </c>
      <c r="H75" s="2293">
        <v>168</v>
      </c>
      <c r="I75" s="2193"/>
      <c r="J75" s="228"/>
    </row>
    <row r="76" spans="1:257" x14ac:dyDescent="0.2">
      <c r="A76" s="597" t="s">
        <v>1178</v>
      </c>
      <c r="B76" s="600" t="s">
        <v>449</v>
      </c>
      <c r="C76" s="2293">
        <v>177</v>
      </c>
      <c r="D76" s="2293">
        <v>168</v>
      </c>
      <c r="E76" s="2293">
        <v>168</v>
      </c>
      <c r="F76" s="2293">
        <v>168</v>
      </c>
      <c r="G76" s="2293">
        <v>168</v>
      </c>
      <c r="H76" s="2293">
        <v>168</v>
      </c>
      <c r="I76" s="2193"/>
      <c r="J76" s="228"/>
    </row>
    <row r="77" spans="1:257" x14ac:dyDescent="0.2">
      <c r="A77" s="597" t="s">
        <v>1179</v>
      </c>
      <c r="B77" s="600" t="s">
        <v>449</v>
      </c>
      <c r="C77" s="2293">
        <v>141</v>
      </c>
      <c r="D77" s="2293">
        <v>141</v>
      </c>
      <c r="E77" s="2293">
        <v>141</v>
      </c>
      <c r="F77" s="2293">
        <v>141</v>
      </c>
      <c r="G77" s="2293">
        <v>141</v>
      </c>
      <c r="H77" s="2293">
        <v>141</v>
      </c>
      <c r="I77" s="2193"/>
      <c r="J77" s="2651">
        <f>+I77-H77</f>
        <v>-141</v>
      </c>
    </row>
    <row r="78" spans="1:257" ht="13.2" thickBot="1" x14ac:dyDescent="0.25">
      <c r="A78" s="598" t="s">
        <v>654</v>
      </c>
      <c r="B78" s="602" t="s">
        <v>449</v>
      </c>
      <c r="C78" s="2294">
        <v>177</v>
      </c>
      <c r="D78" s="2294">
        <v>168</v>
      </c>
      <c r="E78" s="2294">
        <v>168</v>
      </c>
      <c r="F78" s="2294">
        <v>168</v>
      </c>
      <c r="G78" s="2294">
        <v>168</v>
      </c>
      <c r="H78" s="2294">
        <v>168</v>
      </c>
      <c r="I78" s="2193"/>
      <c r="J78" s="2651">
        <f>+I78-H78</f>
        <v>-168</v>
      </c>
    </row>
    <row r="79" spans="1:257" x14ac:dyDescent="0.2">
      <c r="A79" s="589"/>
      <c r="B79" s="223"/>
    </row>
    <row r="80" spans="1:257" ht="15.75" customHeight="1" x14ac:dyDescent="0.2"/>
    <row r="81" spans="1:11" hidden="1" x14ac:dyDescent="0.2">
      <c r="A81" s="361" t="s">
        <v>80</v>
      </c>
      <c r="B81" s="38" t="s">
        <v>36</v>
      </c>
      <c r="C81" s="38" t="s">
        <v>619</v>
      </c>
      <c r="D81" s="38" t="s">
        <v>620</v>
      </c>
      <c r="E81" s="38" t="s">
        <v>621</v>
      </c>
      <c r="F81" s="38" t="s">
        <v>622</v>
      </c>
      <c r="G81" s="38" t="s">
        <v>623</v>
      </c>
      <c r="H81" s="39" t="s">
        <v>624</v>
      </c>
      <c r="I81" s="4"/>
      <c r="J81"/>
    </row>
    <row r="82" spans="1:11" hidden="1" x14ac:dyDescent="0.2">
      <c r="A82" s="6" t="s">
        <v>79</v>
      </c>
      <c r="B82" s="12" t="s">
        <v>448</v>
      </c>
      <c r="C82" s="54">
        <v>13.43</v>
      </c>
      <c r="D82" s="54">
        <f>C82</f>
        <v>13.43</v>
      </c>
      <c r="E82" s="54">
        <f>D82</f>
        <v>13.43</v>
      </c>
      <c r="F82" s="54">
        <f>E82</f>
        <v>13.43</v>
      </c>
      <c r="G82" s="54">
        <f>F82</f>
        <v>13.43</v>
      </c>
      <c r="H82" s="41">
        <f>G82</f>
        <v>13.43</v>
      </c>
      <c r="I82" s="1745"/>
      <c r="J82" s="310"/>
    </row>
    <row r="83" spans="1:11" hidden="1" x14ac:dyDescent="0.2">
      <c r="A83" s="6" t="s">
        <v>82</v>
      </c>
      <c r="B83" s="12" t="s">
        <v>449</v>
      </c>
      <c r="C83" s="54">
        <v>95</v>
      </c>
      <c r="D83" s="54">
        <f t="shared" ref="D83:H84" si="3">C83</f>
        <v>95</v>
      </c>
      <c r="E83" s="54">
        <f t="shared" si="3"/>
        <v>95</v>
      </c>
      <c r="F83" s="54">
        <f t="shared" si="3"/>
        <v>95</v>
      </c>
      <c r="G83" s="54">
        <f t="shared" si="3"/>
        <v>95</v>
      </c>
      <c r="H83" s="41">
        <f t="shared" si="3"/>
        <v>95</v>
      </c>
      <c r="I83" s="1745"/>
      <c r="J83"/>
    </row>
    <row r="84" spans="1:11" hidden="1" x14ac:dyDescent="0.2">
      <c r="A84" s="6" t="s">
        <v>83</v>
      </c>
      <c r="B84" s="12" t="s">
        <v>449</v>
      </c>
      <c r="C84" s="54">
        <v>80</v>
      </c>
      <c r="D84" s="54">
        <f t="shared" si="3"/>
        <v>80</v>
      </c>
      <c r="E84" s="54">
        <f t="shared" si="3"/>
        <v>80</v>
      </c>
      <c r="F84" s="54">
        <f t="shared" si="3"/>
        <v>80</v>
      </c>
      <c r="G84" s="54">
        <f t="shared" si="3"/>
        <v>80</v>
      </c>
      <c r="H84" s="41">
        <f t="shared" si="3"/>
        <v>80</v>
      </c>
      <c r="I84" s="1745"/>
      <c r="J84"/>
    </row>
    <row r="85" spans="1:11" ht="13.2" hidden="1" thickBot="1" x14ac:dyDescent="0.25">
      <c r="A85" s="13" t="s">
        <v>413</v>
      </c>
      <c r="B85" s="366" t="s">
        <v>449</v>
      </c>
      <c r="C85" s="367">
        <v>74</v>
      </c>
      <c r="D85" s="367">
        <v>74</v>
      </c>
      <c r="E85" s="367">
        <v>74</v>
      </c>
      <c r="F85" s="367">
        <v>74</v>
      </c>
      <c r="G85" s="367">
        <v>74</v>
      </c>
      <c r="H85" s="368">
        <v>74</v>
      </c>
      <c r="I85" s="1745"/>
      <c r="J85"/>
    </row>
    <row r="86" spans="1:11" hidden="1" x14ac:dyDescent="0.2">
      <c r="A86"/>
      <c r="B86"/>
      <c r="C86"/>
      <c r="D86"/>
      <c r="E86"/>
      <c r="F86"/>
      <c r="G86"/>
      <c r="H86"/>
      <c r="I86" s="415"/>
      <c r="J86" s="44"/>
    </row>
    <row r="87" spans="1:11" ht="13.2" hidden="1" thickBot="1" x14ac:dyDescent="0.25">
      <c r="A87" s="149" t="s">
        <v>94</v>
      </c>
      <c r="B87" s="369" t="s">
        <v>140</v>
      </c>
      <c r="C87" s="370">
        <v>218.6</v>
      </c>
      <c r="D87" s="370">
        <v>218.6</v>
      </c>
      <c r="E87" s="370">
        <v>218.6</v>
      </c>
      <c r="F87" s="370">
        <v>218.6</v>
      </c>
      <c r="G87" s="370">
        <v>218.6</v>
      </c>
      <c r="H87" s="371">
        <v>218.6</v>
      </c>
      <c r="I87" s="1745"/>
      <c r="J87" s="2"/>
    </row>
    <row r="88" spans="1:11" ht="13.2" hidden="1" thickBot="1" x14ac:dyDescent="0.25">
      <c r="A88" s="362" t="s">
        <v>94</v>
      </c>
      <c r="B88" s="363" t="s">
        <v>625</v>
      </c>
      <c r="C88" s="364">
        <v>218.6</v>
      </c>
      <c r="D88" s="365"/>
      <c r="E88" s="365"/>
      <c r="F88" s="365"/>
      <c r="G88" s="365"/>
      <c r="H88" s="365"/>
      <c r="I88" s="415"/>
      <c r="J88" s="2"/>
    </row>
    <row r="89" spans="1:11" x14ac:dyDescent="0.2">
      <c r="A89"/>
      <c r="B89"/>
      <c r="C89"/>
      <c r="D89"/>
      <c r="E89"/>
      <c r="F89"/>
      <c r="G89"/>
      <c r="H89"/>
      <c r="I89" s="415"/>
      <c r="J89" s="2"/>
    </row>
    <row r="90" spans="1:11" hidden="1" x14ac:dyDescent="0.2">
      <c r="A90" s="484" t="s">
        <v>656</v>
      </c>
      <c r="B90" s="591"/>
      <c r="C90" s="455">
        <v>95</v>
      </c>
      <c r="D90" s="455">
        <v>95</v>
      </c>
      <c r="E90" s="455">
        <v>95</v>
      </c>
      <c r="F90" s="455">
        <v>95</v>
      </c>
      <c r="G90" s="455">
        <v>95</v>
      </c>
      <c r="H90" s="455">
        <v>95</v>
      </c>
      <c r="I90" s="823"/>
      <c r="J90" s="590"/>
    </row>
    <row r="91" spans="1:11" hidden="1" x14ac:dyDescent="0.2">
      <c r="A91" s="594" t="s">
        <v>657</v>
      </c>
      <c r="B91" s="591"/>
      <c r="C91" s="592">
        <v>3.8319999999999999</v>
      </c>
      <c r="D91" s="592">
        <v>3.8319999999999999</v>
      </c>
      <c r="E91" s="592">
        <v>3.8319999999999999</v>
      </c>
      <c r="F91" s="592">
        <v>3.8319999999999999</v>
      </c>
      <c r="G91" s="592">
        <v>3.8319999999999999</v>
      </c>
      <c r="H91" s="592">
        <v>3.8319999999999999</v>
      </c>
    </row>
    <row r="92" spans="1:11" hidden="1" x14ac:dyDescent="0.2">
      <c r="A92" s="591" t="s">
        <v>645</v>
      </c>
      <c r="B92" s="591"/>
      <c r="C92" s="593">
        <f>C90+C91</f>
        <v>98.831999999999994</v>
      </c>
      <c r="D92" s="593">
        <f t="shared" ref="D92:H92" si="4">D90+D91</f>
        <v>98.831999999999994</v>
      </c>
      <c r="E92" s="593">
        <f t="shared" si="4"/>
        <v>98.831999999999994</v>
      </c>
      <c r="F92" s="593">
        <f t="shared" si="4"/>
        <v>98.831999999999994</v>
      </c>
      <c r="G92" s="593">
        <f t="shared" si="4"/>
        <v>98.831999999999994</v>
      </c>
      <c r="H92" s="593">
        <f t="shared" si="4"/>
        <v>98.831999999999994</v>
      </c>
      <c r="I92" s="2191"/>
    </row>
    <row r="93" spans="1:11" hidden="1" x14ac:dyDescent="0.2"/>
    <row r="94" spans="1:11" hidden="1" x14ac:dyDescent="0.2">
      <c r="C94" s="228" t="s">
        <v>733</v>
      </c>
      <c r="D94" s="228">
        <v>99.83</v>
      </c>
    </row>
    <row r="95" spans="1:11" x14ac:dyDescent="0.2">
      <c r="K95" s="218">
        <f>J89*G66</f>
        <v>0</v>
      </c>
    </row>
    <row r="96" spans="1:11" x14ac:dyDescent="0.2">
      <c r="A96" s="218" t="s">
        <v>633</v>
      </c>
    </row>
    <row r="99" spans="1:8" x14ac:dyDescent="0.2">
      <c r="A99" s="218" t="s">
        <v>1217</v>
      </c>
      <c r="B99" s="218" t="s">
        <v>449</v>
      </c>
      <c r="C99" s="218">
        <v>310</v>
      </c>
      <c r="D99" s="218">
        <v>310</v>
      </c>
      <c r="E99" s="218">
        <v>310</v>
      </c>
      <c r="F99" s="218">
        <v>310</v>
      </c>
      <c r="G99" s="218">
        <v>310</v>
      </c>
      <c r="H99" s="218">
        <v>310</v>
      </c>
    </row>
    <row r="100" spans="1:8" x14ac:dyDescent="0.2">
      <c r="C100" s="218">
        <v>310</v>
      </c>
      <c r="D100" s="218">
        <v>310</v>
      </c>
      <c r="E100" s="218">
        <v>310</v>
      </c>
      <c r="F100" s="218">
        <v>310</v>
      </c>
      <c r="G100" s="218">
        <v>310</v>
      </c>
      <c r="H100" s="218">
        <v>310</v>
      </c>
    </row>
    <row r="101" spans="1:8" x14ac:dyDescent="0.2">
      <c r="A101" s="218" t="s">
        <v>503</v>
      </c>
      <c r="B101" s="218" t="s">
        <v>449</v>
      </c>
      <c r="C101" s="218">
        <v>310</v>
      </c>
      <c r="D101" s="218">
        <v>310</v>
      </c>
      <c r="E101" s="218">
        <v>310</v>
      </c>
      <c r="F101" s="218">
        <v>310</v>
      </c>
      <c r="G101" s="218">
        <v>310</v>
      </c>
      <c r="H101" s="218">
        <v>310</v>
      </c>
    </row>
    <row r="102" spans="1:8" x14ac:dyDescent="0.2">
      <c r="A102" s="218" t="s">
        <v>645</v>
      </c>
      <c r="B102" s="218" t="s">
        <v>449</v>
      </c>
      <c r="C102" s="218">
        <v>319.55</v>
      </c>
      <c r="D102" s="218">
        <v>319.55</v>
      </c>
      <c r="E102" s="218">
        <v>319.55</v>
      </c>
      <c r="F102" s="218">
        <v>319.55</v>
      </c>
      <c r="G102" s="218">
        <v>319.55</v>
      </c>
      <c r="H102" s="218">
        <v>319.55</v>
      </c>
    </row>
    <row r="103" spans="1:8" x14ac:dyDescent="0.2">
      <c r="A103" s="218" t="s">
        <v>644</v>
      </c>
      <c r="B103" s="218" t="s">
        <v>449</v>
      </c>
      <c r="C103" s="218">
        <v>310.18</v>
      </c>
      <c r="D103" s="218">
        <v>310.18</v>
      </c>
      <c r="E103" s="218">
        <v>310.18</v>
      </c>
      <c r="F103" s="218">
        <v>310.18</v>
      </c>
      <c r="G103" s="218">
        <v>310.18</v>
      </c>
      <c r="H103" s="218">
        <v>310.18</v>
      </c>
    </row>
    <row r="104" spans="1:8" x14ac:dyDescent="0.2">
      <c r="A104" s="218" t="s">
        <v>810</v>
      </c>
      <c r="B104" s="218" t="s">
        <v>449</v>
      </c>
      <c r="C104" s="218">
        <v>317.11</v>
      </c>
      <c r="D104" s="218">
        <v>317.11</v>
      </c>
      <c r="E104" s="218">
        <v>317.11</v>
      </c>
      <c r="F104" s="218">
        <v>317.11</v>
      </c>
      <c r="G104" s="218">
        <v>317.11</v>
      </c>
      <c r="H104" s="218">
        <v>317.11</v>
      </c>
    </row>
    <row r="105" spans="1:8" x14ac:dyDescent="0.2">
      <c r="A105" s="218" t="s">
        <v>811</v>
      </c>
      <c r="B105" s="218" t="s">
        <v>449</v>
      </c>
      <c r="C105" s="218">
        <v>311.83</v>
      </c>
      <c r="D105" s="218">
        <v>311.83</v>
      </c>
      <c r="E105" s="218">
        <v>311.83</v>
      </c>
      <c r="F105" s="218">
        <v>311.83</v>
      </c>
      <c r="G105" s="218">
        <v>311.83</v>
      </c>
      <c r="H105" s="218">
        <v>311.83</v>
      </c>
    </row>
    <row r="106" spans="1:8" x14ac:dyDescent="0.2">
      <c r="A106" s="218" t="s">
        <v>504</v>
      </c>
      <c r="B106" s="218" t="s">
        <v>449</v>
      </c>
      <c r="C106" s="218">
        <v>313.83</v>
      </c>
      <c r="D106" s="218">
        <v>313.83</v>
      </c>
      <c r="E106" s="218">
        <v>313.83</v>
      </c>
      <c r="F106" s="218">
        <v>313.83</v>
      </c>
      <c r="G106" s="218">
        <v>313.83</v>
      </c>
      <c r="H106" s="218">
        <v>313.83</v>
      </c>
    </row>
    <row r="107" spans="1:8" x14ac:dyDescent="0.2">
      <c r="A107" s="218" t="s">
        <v>630</v>
      </c>
      <c r="B107" s="218" t="s">
        <v>631</v>
      </c>
      <c r="C107" s="218">
        <v>93.51</v>
      </c>
      <c r="D107" s="218">
        <v>93.51</v>
      </c>
      <c r="E107" s="218">
        <v>91.81</v>
      </c>
      <c r="F107" s="218">
        <v>68.61</v>
      </c>
      <c r="G107" s="218">
        <v>68.61</v>
      </c>
      <c r="H107" s="218">
        <v>68.61</v>
      </c>
    </row>
    <row r="108" spans="1:8" x14ac:dyDescent="0.2">
      <c r="A108" s="218" t="s">
        <v>1177</v>
      </c>
      <c r="B108" s="218" t="s">
        <v>449</v>
      </c>
      <c r="C108" s="218">
        <v>252.25</v>
      </c>
      <c r="D108" s="218">
        <v>252.25</v>
      </c>
      <c r="E108" s="218">
        <v>252.25</v>
      </c>
      <c r="F108" s="218">
        <v>252.25</v>
      </c>
      <c r="G108" s="218">
        <v>252.25</v>
      </c>
      <c r="H108" s="218">
        <v>252.25</v>
      </c>
    </row>
    <row r="109" spans="1:8" x14ac:dyDescent="0.2">
      <c r="A109" s="218" t="s">
        <v>1178</v>
      </c>
      <c r="B109" s="218" t="s">
        <v>449</v>
      </c>
      <c r="C109" s="218">
        <v>241</v>
      </c>
      <c r="D109" s="218">
        <v>241</v>
      </c>
      <c r="E109" s="218">
        <v>241</v>
      </c>
      <c r="F109" s="218">
        <v>241</v>
      </c>
      <c r="G109" s="218">
        <v>241</v>
      </c>
      <c r="H109" s="218">
        <v>241</v>
      </c>
    </row>
    <row r="110" spans="1:8" x14ac:dyDescent="0.2">
      <c r="A110" s="218" t="s">
        <v>1179</v>
      </c>
      <c r="B110" s="218" t="s">
        <v>449</v>
      </c>
      <c r="C110" s="218">
        <v>266</v>
      </c>
      <c r="D110" s="218">
        <v>266</v>
      </c>
      <c r="E110" s="218">
        <v>266</v>
      </c>
      <c r="F110" s="218">
        <v>266</v>
      </c>
      <c r="G110" s="218">
        <v>266</v>
      </c>
      <c r="H110" s="218">
        <v>266</v>
      </c>
    </row>
    <row r="111" spans="1:8" x14ac:dyDescent="0.2">
      <c r="A111" s="218" t="s">
        <v>654</v>
      </c>
      <c r="B111" s="218" t="s">
        <v>449</v>
      </c>
      <c r="C111" s="218">
        <v>241</v>
      </c>
      <c r="D111" s="218">
        <v>241</v>
      </c>
      <c r="E111" s="218">
        <v>241</v>
      </c>
      <c r="F111" s="218">
        <v>241</v>
      </c>
      <c r="G111" s="218">
        <v>241</v>
      </c>
      <c r="H111" s="218">
        <v>241</v>
      </c>
    </row>
    <row r="114" spans="3:9" x14ac:dyDescent="0.2">
      <c r="I114" s="2191"/>
    </row>
    <row r="115" spans="3:9" x14ac:dyDescent="0.2">
      <c r="C115" s="1337"/>
      <c r="D115" s="1337"/>
      <c r="E115" s="1337"/>
      <c r="F115" s="1337"/>
      <c r="G115" s="1337"/>
      <c r="H115" s="1337"/>
      <c r="I115" s="2191"/>
    </row>
    <row r="116" spans="3:9" x14ac:dyDescent="0.2">
      <c r="C116" s="1337">
        <f>+C66-C99</f>
        <v>-31</v>
      </c>
      <c r="D116" s="1337">
        <f t="shared" ref="D116:H116" si="5">+D66-D99</f>
        <v>-33</v>
      </c>
      <c r="E116" s="1337">
        <f t="shared" si="5"/>
        <v>-33</v>
      </c>
      <c r="F116" s="1337">
        <f t="shared" si="5"/>
        <v>72</v>
      </c>
      <c r="G116" s="1337">
        <f t="shared" si="5"/>
        <v>72</v>
      </c>
      <c r="H116" s="1337">
        <f t="shared" si="5"/>
        <v>72</v>
      </c>
      <c r="I116" s="2191"/>
    </row>
    <row r="117" spans="3:9" x14ac:dyDescent="0.2">
      <c r="C117" s="1337">
        <f t="shared" ref="C117:H128" si="6">+C67-C100</f>
        <v>-31</v>
      </c>
      <c r="D117" s="1337">
        <f t="shared" si="6"/>
        <v>-33</v>
      </c>
      <c r="E117" s="1337">
        <f t="shared" si="6"/>
        <v>-33</v>
      </c>
      <c r="F117" s="1337">
        <f t="shared" si="6"/>
        <v>72</v>
      </c>
      <c r="G117" s="1337">
        <f t="shared" si="6"/>
        <v>72</v>
      </c>
      <c r="H117" s="1337">
        <f t="shared" si="6"/>
        <v>72</v>
      </c>
      <c r="I117" s="2191"/>
    </row>
    <row r="118" spans="3:9" x14ac:dyDescent="0.2">
      <c r="C118" s="1337">
        <f t="shared" si="6"/>
        <v>-31</v>
      </c>
      <c r="D118" s="1337">
        <f t="shared" si="6"/>
        <v>-33</v>
      </c>
      <c r="E118" s="1337">
        <f t="shared" si="6"/>
        <v>-33</v>
      </c>
      <c r="F118" s="1337">
        <f t="shared" si="6"/>
        <v>72</v>
      </c>
      <c r="G118" s="1337">
        <f t="shared" si="6"/>
        <v>72</v>
      </c>
      <c r="H118" s="1337">
        <f t="shared" si="6"/>
        <v>72</v>
      </c>
      <c r="I118" s="2191"/>
    </row>
    <row r="119" spans="3:9" x14ac:dyDescent="0.2">
      <c r="C119" s="1337">
        <f t="shared" si="6"/>
        <v>-40.550000000000011</v>
      </c>
      <c r="D119" s="1337">
        <f t="shared" si="6"/>
        <v>-42.550000000000011</v>
      </c>
      <c r="E119" s="1337">
        <f t="shared" si="6"/>
        <v>-42.550000000000011</v>
      </c>
      <c r="F119" s="1337">
        <f t="shared" si="6"/>
        <v>62.449999999999989</v>
      </c>
      <c r="G119" s="1337">
        <f t="shared" si="6"/>
        <v>62.449999999999989</v>
      </c>
      <c r="H119" s="1337">
        <f t="shared" si="6"/>
        <v>62.449999999999989</v>
      </c>
      <c r="I119" s="2191"/>
    </row>
    <row r="120" spans="3:9" x14ac:dyDescent="0.2">
      <c r="C120" s="1337">
        <f t="shared" si="6"/>
        <v>-31.180000000000007</v>
      </c>
      <c r="D120" s="1337">
        <f t="shared" si="6"/>
        <v>-33.180000000000007</v>
      </c>
      <c r="E120" s="1337">
        <f t="shared" si="6"/>
        <v>-33.180000000000007</v>
      </c>
      <c r="F120" s="1337">
        <f t="shared" si="6"/>
        <v>71.819999999999993</v>
      </c>
      <c r="G120" s="1337">
        <f t="shared" si="6"/>
        <v>71.819999999999993</v>
      </c>
      <c r="H120" s="1337">
        <f t="shared" si="6"/>
        <v>71.819999999999993</v>
      </c>
      <c r="I120" s="2191"/>
    </row>
    <row r="121" spans="3:9" x14ac:dyDescent="0.2">
      <c r="C121" s="1337">
        <f t="shared" si="6"/>
        <v>-38.110000000000014</v>
      </c>
      <c r="D121" s="1337">
        <f t="shared" si="6"/>
        <v>-40.110000000000014</v>
      </c>
      <c r="E121" s="1337">
        <f t="shared" si="6"/>
        <v>-40.110000000000014</v>
      </c>
      <c r="F121" s="1337">
        <f t="shared" si="6"/>
        <v>64.889999999999986</v>
      </c>
      <c r="G121" s="1337">
        <f t="shared" si="6"/>
        <v>64.889999999999986</v>
      </c>
      <c r="H121" s="1337">
        <f t="shared" si="6"/>
        <v>64.889999999999986</v>
      </c>
      <c r="I121" s="2191"/>
    </row>
    <row r="122" spans="3:9" x14ac:dyDescent="0.2">
      <c r="C122" s="1337">
        <f t="shared" si="6"/>
        <v>-32.829999999999984</v>
      </c>
      <c r="D122" s="1337">
        <f t="shared" si="6"/>
        <v>-34.829999999999984</v>
      </c>
      <c r="E122" s="1337">
        <f t="shared" si="6"/>
        <v>-34.829999999999984</v>
      </c>
      <c r="F122" s="1337">
        <f t="shared" si="6"/>
        <v>70.170000000000016</v>
      </c>
      <c r="G122" s="1337">
        <f t="shared" si="6"/>
        <v>70.170000000000016</v>
      </c>
      <c r="H122" s="1337">
        <f t="shared" si="6"/>
        <v>70.170000000000016</v>
      </c>
      <c r="I122" s="2191"/>
    </row>
    <row r="123" spans="3:9" x14ac:dyDescent="0.2">
      <c r="C123" s="1337">
        <f t="shared" si="6"/>
        <v>-34.829999999999984</v>
      </c>
      <c r="D123" s="1337">
        <f t="shared" si="6"/>
        <v>-36.829999999999984</v>
      </c>
      <c r="E123" s="1337">
        <f t="shared" si="6"/>
        <v>-36.829999999999984</v>
      </c>
      <c r="F123" s="1337">
        <f t="shared" si="6"/>
        <v>68.170000000000016</v>
      </c>
      <c r="G123" s="1337">
        <f t="shared" si="6"/>
        <v>68.170000000000016</v>
      </c>
      <c r="H123" s="1337">
        <f t="shared" si="6"/>
        <v>68.170000000000016</v>
      </c>
      <c r="I123" s="2191"/>
    </row>
    <row r="124" spans="3:9" x14ac:dyDescent="0.2">
      <c r="C124" s="1337">
        <f t="shared" si="6"/>
        <v>-54.250000000000007</v>
      </c>
      <c r="D124" s="1337">
        <f t="shared" si="6"/>
        <v>-54.63</v>
      </c>
      <c r="E124" s="1337">
        <f t="shared" si="6"/>
        <v>-53.870000000000005</v>
      </c>
      <c r="F124" s="1337">
        <f t="shared" si="6"/>
        <v>-30.08</v>
      </c>
      <c r="G124" s="1337">
        <f t="shared" si="6"/>
        <v>-30.549999999999997</v>
      </c>
      <c r="H124" s="1337">
        <f t="shared" si="6"/>
        <v>-29.35</v>
      </c>
      <c r="I124" s="2191"/>
    </row>
    <row r="125" spans="3:9" x14ac:dyDescent="0.2">
      <c r="C125" s="1337">
        <f t="shared" si="6"/>
        <v>-75.25</v>
      </c>
      <c r="D125" s="1337">
        <f t="shared" si="6"/>
        <v>-84.25</v>
      </c>
      <c r="E125" s="1337">
        <f t="shared" si="6"/>
        <v>-84.25</v>
      </c>
      <c r="F125" s="1337">
        <f t="shared" si="6"/>
        <v>-84.25</v>
      </c>
      <c r="G125" s="1337">
        <f t="shared" si="6"/>
        <v>-84.25</v>
      </c>
      <c r="H125" s="1337">
        <f t="shared" si="6"/>
        <v>-84.25</v>
      </c>
      <c r="I125" s="2191"/>
    </row>
    <row r="126" spans="3:9" x14ac:dyDescent="0.2">
      <c r="C126" s="1337">
        <f t="shared" si="6"/>
        <v>-64</v>
      </c>
      <c r="D126" s="1337">
        <f t="shared" si="6"/>
        <v>-73</v>
      </c>
      <c r="E126" s="1337">
        <f t="shared" si="6"/>
        <v>-73</v>
      </c>
      <c r="F126" s="1337">
        <f t="shared" si="6"/>
        <v>-73</v>
      </c>
      <c r="G126" s="1337">
        <f t="shared" si="6"/>
        <v>-73</v>
      </c>
      <c r="H126" s="1337">
        <f t="shared" si="6"/>
        <v>-73</v>
      </c>
      <c r="I126" s="2191"/>
    </row>
    <row r="127" spans="3:9" x14ac:dyDescent="0.2">
      <c r="C127" s="1337">
        <f t="shared" si="6"/>
        <v>-125</v>
      </c>
      <c r="D127" s="1337">
        <f t="shared" si="6"/>
        <v>-125</v>
      </c>
      <c r="E127" s="1337">
        <f t="shared" si="6"/>
        <v>-125</v>
      </c>
      <c r="F127" s="1337">
        <f t="shared" si="6"/>
        <v>-125</v>
      </c>
      <c r="G127" s="1337">
        <f t="shared" si="6"/>
        <v>-125</v>
      </c>
      <c r="H127" s="1337">
        <f t="shared" si="6"/>
        <v>-125</v>
      </c>
    </row>
    <row r="128" spans="3:9" x14ac:dyDescent="0.2">
      <c r="C128" s="1337">
        <f t="shared" si="6"/>
        <v>-64</v>
      </c>
      <c r="D128" s="1337">
        <f t="shared" si="6"/>
        <v>-73</v>
      </c>
      <c r="E128" s="1337">
        <f t="shared" si="6"/>
        <v>-73</v>
      </c>
      <c r="F128" s="1337">
        <f t="shared" si="6"/>
        <v>-73</v>
      </c>
      <c r="G128" s="1337">
        <f t="shared" si="6"/>
        <v>-73</v>
      </c>
      <c r="H128" s="1337">
        <f t="shared" si="6"/>
        <v>-73</v>
      </c>
    </row>
    <row r="129" spans="3:8" x14ac:dyDescent="0.2">
      <c r="C129" s="1337"/>
      <c r="D129" s="1337"/>
      <c r="E129" s="1337"/>
      <c r="F129" s="1337"/>
      <c r="G129" s="1337"/>
      <c r="H129" s="1337"/>
    </row>
    <row r="130" spans="3:8" x14ac:dyDescent="0.2">
      <c r="C130" s="1337"/>
      <c r="D130" s="1337"/>
      <c r="E130" s="1337"/>
      <c r="F130" s="1337"/>
      <c r="G130" s="1337"/>
      <c r="H130" s="1337"/>
    </row>
  </sheetData>
  <mergeCells count="6">
    <mergeCell ref="A3:H3"/>
    <mergeCell ref="A20:H20"/>
    <mergeCell ref="A26:H26"/>
    <mergeCell ref="J71:J72"/>
    <mergeCell ref="I27:I31"/>
    <mergeCell ref="I44:I49"/>
  </mergeCells>
  <phoneticPr fontId="54" type="noConversion"/>
  <pageMargins left="0.75" right="0.75" top="1" bottom="1" header="0" footer="0"/>
  <pageSetup paperSize="9" scale="91" orientation="landscape" r:id="rId1"/>
  <headerFooter alignWithMargins="0"/>
  <colBreaks count="1" manualBreakCount="1">
    <brk id="9" max="1048575" man="1"/>
  </colBreaks>
  <drawing r:id="rId2"/>
  <legacyDrawing r:id="rId3"/>
  <controls>
    <mc:AlternateContent xmlns:mc="http://schemas.openxmlformats.org/markup-compatibility/2006">
      <mc:Choice Requires="x14">
        <control shapeId="3073" r:id="rId4" name="CommandButton1">
          <controlPr defaultSize="0" autoLine="0" autoPict="0" r:id="rId5">
            <anchor moveWithCells="1">
              <from>
                <xdr:col>0</xdr:col>
                <xdr:colOff>1188720</xdr:colOff>
                <xdr:row>0</xdr:row>
                <xdr:rowOff>30480</xdr:rowOff>
              </from>
              <to>
                <xdr:col>0</xdr:col>
                <xdr:colOff>1943100</xdr:colOff>
                <xdr:row>19</xdr:row>
                <xdr:rowOff>106680</xdr:rowOff>
              </to>
            </anchor>
          </controlPr>
        </control>
      </mc:Choice>
      <mc:Fallback>
        <control shapeId="3073" r:id="rId4" name="CommandButton1"/>
      </mc:Fallback>
    </mc:AlternateContent>
  </control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G23"/>
  <sheetViews>
    <sheetView topLeftCell="C2" workbookViewId="0">
      <selection activeCell="C20" sqref="C20"/>
    </sheetView>
  </sheetViews>
  <sheetFormatPr defaultRowHeight="12.6" x14ac:dyDescent="0.2"/>
  <cols>
    <col min="1" max="1" width="27" customWidth="1"/>
    <col min="2" max="2" width="28" customWidth="1"/>
    <col min="3" max="3" width="30.6328125" customWidth="1"/>
    <col min="5" max="5" width="21" bestFit="1" customWidth="1"/>
    <col min="6" max="6" width="21" customWidth="1"/>
    <col min="7" max="7" width="17" customWidth="1"/>
  </cols>
  <sheetData>
    <row r="1" spans="1:7" ht="13.2" thickBot="1" x14ac:dyDescent="0.25"/>
    <row r="2" spans="1:7" x14ac:dyDescent="0.2">
      <c r="A2" s="376"/>
      <c r="B2" s="2687" t="s">
        <v>36</v>
      </c>
      <c r="C2" s="841" t="s">
        <v>1324</v>
      </c>
      <c r="E2" s="415" t="s">
        <v>1326</v>
      </c>
      <c r="F2" s="415" t="s">
        <v>1328</v>
      </c>
      <c r="G2" s="415" t="s">
        <v>1327</v>
      </c>
    </row>
    <row r="3" spans="1:7" ht="13.2" x14ac:dyDescent="0.25">
      <c r="A3" s="2688" t="s">
        <v>122</v>
      </c>
      <c r="B3" s="2689"/>
      <c r="C3" s="1913"/>
      <c r="E3" s="2704">
        <v>45449</v>
      </c>
    </row>
    <row r="4" spans="1:7" ht="13.2" x14ac:dyDescent="0.25">
      <c r="A4" s="1132" t="s">
        <v>310</v>
      </c>
      <c r="B4" s="1133"/>
      <c r="C4" s="1179"/>
    </row>
    <row r="5" spans="1:7" x14ac:dyDescent="0.2">
      <c r="A5" s="47" t="s">
        <v>311</v>
      </c>
      <c r="B5" s="90" t="s">
        <v>312</v>
      </c>
      <c r="C5" s="2703">
        <f>+MAHAWELI!J6+LAXAPANA!J6+Samanala!J6+'Mannar wind'!I6+'DSP1'!I6+'GT16'!I6+'DSP2'!I6+'GT07'!I6+CCKP!I6+'CCKP 02'!I6+CPUT!I6+DNCHU!I6+'Island Gen'!I6+Barge!I6+'30MW-Hambantota'!I6+'20MW-Mathugama'!I6</f>
        <v>13981051709.244852</v>
      </c>
      <c r="E5" s="2701">
        <v>17304736584.110123</v>
      </c>
      <c r="F5" s="2701">
        <f>C5-E5</f>
        <v>-3323684874.8652706</v>
      </c>
      <c r="G5" s="1576">
        <f>(C5-E5)/E5</f>
        <v>-0.1920679265304279</v>
      </c>
    </row>
    <row r="6" spans="1:7" x14ac:dyDescent="0.2">
      <c r="A6" s="1134" t="s">
        <v>753</v>
      </c>
      <c r="B6" s="90"/>
      <c r="C6" s="1169">
        <f>+MAHAWELI!J7+LAXAPANA!J7+Samanala!J7+'Mannar wind'!I7+'DSP1'!I7+'GT16'!I7+'DSP2'!I7+'GT07'!I7+CCKP!I7+'CCKP 02'!I7+CPUT!I7+DNCHU!I7+'Island Gen'!I7+Barge!I7+'30MW-Hambantota'!I7+'20MW-Mathugama'!I7</f>
        <v>3520675542.1902938</v>
      </c>
      <c r="E6" s="2702">
        <v>4549926433.6993732</v>
      </c>
      <c r="F6" s="2702">
        <f t="shared" ref="F6:F22" si="0">C6-E6</f>
        <v>-1029250891.5090795</v>
      </c>
      <c r="G6" s="2705">
        <f t="shared" ref="G6:G23" si="1">(C6-E6)/E6</f>
        <v>-0.22621264464538485</v>
      </c>
    </row>
    <row r="7" spans="1:7" x14ac:dyDescent="0.2">
      <c r="A7" s="1134" t="s">
        <v>758</v>
      </c>
      <c r="B7" s="90"/>
      <c r="C7" s="1169">
        <f>+MAHAWELI!J8+LAXAPANA!J8+Samanala!J8+'Mannar wind'!I8+'DSP1'!I8+'GT16'!I8+'DSP2'!I8+'GT07'!I8+CCKP!I8+'CCKP 02'!I8+CPUT!I8+DNCHU!I8+'Island Gen'!I8+Barge!I8+'30MW-Hambantota'!I8+'20MW-Mathugama'!I8</f>
        <v>1462491584.04</v>
      </c>
      <c r="E7" s="2702">
        <v>4730403806.0400009</v>
      </c>
      <c r="F7" s="2702">
        <f t="shared" si="0"/>
        <v>-3267912222.000001</v>
      </c>
      <c r="G7" s="2705">
        <f t="shared" si="1"/>
        <v>-0.69083155603489443</v>
      </c>
    </row>
    <row r="8" spans="1:7" x14ac:dyDescent="0.2">
      <c r="A8" s="1134" t="s">
        <v>754</v>
      </c>
      <c r="B8" s="90"/>
      <c r="C8" s="1169">
        <f>+MAHAWELI!J9+LAXAPANA!J9+Samanala!J9+'Mannar wind'!I9+'DSP1'!I9+'GT16'!I9+'DSP2'!I9+'GT07'!I9+CCKP!I9+'CCKP 02'!I9+CPUT!I9+DNCHU!I9+'Island Gen'!I9+Barge!I9+'30MW-Hambantota'!I9+'20MW-Mathugama'!I9</f>
        <v>350539368.91411763</v>
      </c>
      <c r="E8" s="2702">
        <v>737033501.66666675</v>
      </c>
      <c r="F8" s="2702">
        <f t="shared" si="0"/>
        <v>-386494132.75254911</v>
      </c>
      <c r="G8" s="1576">
        <f t="shared" si="1"/>
        <v>-0.52439153970418328</v>
      </c>
    </row>
    <row r="9" spans="1:7" x14ac:dyDescent="0.2">
      <c r="A9" s="1134" t="s">
        <v>755</v>
      </c>
      <c r="B9" s="90"/>
      <c r="C9" s="1169">
        <f>+MAHAWELI!J10+LAXAPANA!J10+Samanala!J10+'Mannar wind'!I10+'DSP1'!I10+'GT16'!I10+'DSP2'!I10+'GT07'!I10+CCKP!I10+'CCKP 02'!I10+CPUT!I10+DNCHU!I10+'Island Gen'!I10+Barge!I10+'30MW-Hambantota'!I10+'20MW-Mathugama'!I10</f>
        <v>403053321.20117646</v>
      </c>
      <c r="E9" s="2702">
        <v>508335647.33333325</v>
      </c>
      <c r="F9" s="2702">
        <f t="shared" si="0"/>
        <v>-105282326.13215679</v>
      </c>
      <c r="G9" s="1576">
        <f t="shared" si="1"/>
        <v>-0.20711182991878499</v>
      </c>
    </row>
    <row r="10" spans="1:7" x14ac:dyDescent="0.2">
      <c r="A10" s="1134" t="s">
        <v>752</v>
      </c>
      <c r="B10" s="90"/>
      <c r="C10" s="1169">
        <f>+MAHAWELI!J11+LAXAPANA!J11+Samanala!J11+'Mannar wind'!I11+'DSP1'!I11+'GT16'!I11+'DSP2'!I11+'GT07'!I11+CCKP!I11+'CCKP 02'!I11+CPUT!I11+DNCHU!I11+'Island Gen'!I11+Barge!I11+'30MW-Hambantota'!I11+'20MW-Mathugama'!I11</f>
        <v>1576592260.4724703</v>
      </c>
      <c r="E10" s="2702">
        <v>1704414954.7373333</v>
      </c>
      <c r="F10" s="2702">
        <f t="shared" si="0"/>
        <v>-127822694.26486301</v>
      </c>
      <c r="G10" s="1576">
        <f t="shared" si="1"/>
        <v>-7.4995055581732861E-2</v>
      </c>
    </row>
    <row r="11" spans="1:7" x14ac:dyDescent="0.2">
      <c r="A11" s="1134" t="s">
        <v>757</v>
      </c>
      <c r="B11" s="90"/>
      <c r="C11" s="1169">
        <f>+MAHAWELI!J12+LAXAPANA!J12+Samanala!J12+'Mannar wind'!I12+'DSP1'!I12+'GT16'!I12+'DSP2'!I12+'GT07'!I12+CCKP!I12+'CCKP 02'!I12+CPUT!I12+DNCHU!I12+'Island Gen'!I12+Barge!I12+'30MW-Hambantota'!I12+'20MW-Mathugama'!I12</f>
        <v>3163297473.3782349</v>
      </c>
      <c r="E11" s="2702">
        <v>2756439680</v>
      </c>
      <c r="F11" s="2702">
        <f t="shared" si="0"/>
        <v>406857793.37823486</v>
      </c>
      <c r="G11" s="1576">
        <f t="shared" si="1"/>
        <v>0.14760264711406088</v>
      </c>
    </row>
    <row r="12" spans="1:7" x14ac:dyDescent="0.2">
      <c r="A12" s="1134" t="s">
        <v>756</v>
      </c>
      <c r="B12" s="90"/>
      <c r="C12" s="1169">
        <f>+MAHAWELI!J13+LAXAPANA!J13+Samanala!J13+'Mannar wind'!I13+'DSP1'!I13+'GT16'!I13+'DSP2'!I13+'GT07'!I13+CCKP!I13+'CCKP 02'!I13+CPUT!I13+DNCHU!I13+'Island Gen'!I13+Barge!I13+'30MW-Hambantota'!I13+'20MW-Mathugama'!I13</f>
        <v>2148852156.348556</v>
      </c>
      <c r="E12" s="2702">
        <v>2318072970.6334181</v>
      </c>
      <c r="F12" s="2702">
        <f t="shared" si="0"/>
        <v>-169220814.28486204</v>
      </c>
      <c r="G12" s="2705">
        <f t="shared" si="1"/>
        <v>-7.3000641666005062E-2</v>
      </c>
    </row>
    <row r="13" spans="1:7" x14ac:dyDescent="0.2">
      <c r="A13" s="1134" t="s">
        <v>814</v>
      </c>
      <c r="B13" s="90"/>
      <c r="C13" s="1169">
        <f>+MAHAWELI!J14+LAXAPANA!J14+Samanala!J14+'Mannar wind'!I14+'DSP1'!I14+'GT16'!I14+'DSP2'!I14+'GT07'!I14+CCKP!I14+'CCKP 02'!I14+CPUT!I14+DNCHU!I14+'Island Gen'!I14+Barge!I14+'30MW-Hambantota'!I14+'20MW-Mathugama'!I14</f>
        <v>1355550002.7</v>
      </c>
      <c r="E13" s="2702">
        <v>0</v>
      </c>
      <c r="F13" s="2702">
        <f t="shared" si="0"/>
        <v>1355550002.7</v>
      </c>
      <c r="G13" s="1576" t="e">
        <f t="shared" si="1"/>
        <v>#DIV/0!</v>
      </c>
    </row>
    <row r="14" spans="1:7" x14ac:dyDescent="0.2">
      <c r="A14" s="1134" t="s">
        <v>815</v>
      </c>
      <c r="B14" s="90"/>
      <c r="C14" s="1169">
        <f>+MAHAWELI!J15+LAXAPANA!J15+Samanala!J15+'Mannar wind'!I15+'DSP1'!I15+'GT16'!I15+'DSP2'!I15+'GT07'!I15+CCKP!I15+'CCKP 02'!I15+CPUT!I15+DNCHU!I15+'Island Gen'!I15+Barge!I15+'30MW-Hambantota'!I15+'20MW-Mathugama'!I15</f>
        <v>0</v>
      </c>
      <c r="E14" s="2702">
        <v>109590</v>
      </c>
      <c r="F14" s="2702">
        <f t="shared" si="0"/>
        <v>-109590</v>
      </c>
      <c r="G14" s="1576">
        <f t="shared" si="1"/>
        <v>-1</v>
      </c>
    </row>
    <row r="15" spans="1:7" x14ac:dyDescent="0.2">
      <c r="A15" s="47" t="s">
        <v>313</v>
      </c>
      <c r="B15" s="90" t="s">
        <v>312</v>
      </c>
      <c r="C15" s="1169">
        <f>+MAHAWELI!J16+LAXAPANA!J16+Samanala!J16+'Mannar wind'!I16+'DSP1'!I16+'GT16'!I16+'DSP2'!I16+'GT07'!I16+CCKP!I16+'CCKP 02'!I16+CPUT!I16+DNCHU!I16+'Island Gen'!I16+Barge!I16+'30MW-Hambantota'!I17+'20MW-Mathugama'!I17</f>
        <v>576389454.56721592</v>
      </c>
      <c r="E15" s="2702">
        <v>909119312.27999985</v>
      </c>
      <c r="F15" s="2702">
        <f t="shared" si="0"/>
        <v>-332729857.71278393</v>
      </c>
      <c r="G15" s="1576">
        <f t="shared" si="1"/>
        <v>-0.36599140862855895</v>
      </c>
    </row>
    <row r="16" spans="1:7" x14ac:dyDescent="0.2">
      <c r="A16" s="47" t="s">
        <v>314</v>
      </c>
      <c r="B16" s="90" t="s">
        <v>312</v>
      </c>
      <c r="C16" s="1169">
        <f>+MAHAWELI!J17+LAXAPANA!J17+Samanala!J17+'Mannar wind'!I17+'DSP1'!I17+'GT16'!I17+'DSP2'!I17+'GT07'!I17+CCKP!I17+'CCKP 02'!I17+CPUT!I17+DNCHU!I17+'Island Gen'!I17+Barge!I17+'30MW-Hambantota'!I18+'20MW-Mathugama'!I18</f>
        <v>870306490.53063703</v>
      </c>
      <c r="E16" s="2702">
        <v>1285462382.3399999</v>
      </c>
      <c r="F16" s="2702">
        <f t="shared" si="0"/>
        <v>-415155891.80936289</v>
      </c>
      <c r="G16" s="1576">
        <f t="shared" si="1"/>
        <v>-0.32296230330259151</v>
      </c>
    </row>
    <row r="17" spans="1:7" x14ac:dyDescent="0.2">
      <c r="A17" s="1158" t="s">
        <v>315</v>
      </c>
      <c r="B17" s="1159"/>
      <c r="C17" s="1169"/>
      <c r="E17" s="2702"/>
      <c r="F17" s="2702">
        <f t="shared" si="0"/>
        <v>0</v>
      </c>
      <c r="G17" s="1576"/>
    </row>
    <row r="18" spans="1:7" x14ac:dyDescent="0.2">
      <c r="A18" s="1158" t="s">
        <v>316</v>
      </c>
      <c r="B18" s="1159"/>
      <c r="C18" s="1169"/>
      <c r="E18" s="2702"/>
      <c r="F18" s="2702">
        <f t="shared" si="0"/>
        <v>0</v>
      </c>
      <c r="G18" s="1576"/>
    </row>
    <row r="19" spans="1:7" x14ac:dyDescent="0.2">
      <c r="A19" s="47"/>
      <c r="B19" s="90"/>
      <c r="C19" s="1169">
        <f>+MAHAWELI!J20+LAXAPANA!J20+Samanala!J20+'Mannar wind'!I20+'DSP1'!I20+'GT16'!I20+'DSP2'!I20+'GT07'!I20+CCKP!I20+'CCKP 02'!I20+CPUT!I20+DNCHU!I20+'Island Gen'!I20+Barge!I20+'30MW-Hambantota'!I20+'20MW-Mathugama'!I20</f>
        <v>0</v>
      </c>
      <c r="E19" s="2702">
        <v>0</v>
      </c>
      <c r="F19" s="2702">
        <f t="shared" si="0"/>
        <v>0</v>
      </c>
      <c r="G19" s="1576"/>
    </row>
    <row r="20" spans="1:7" ht="13.2" x14ac:dyDescent="0.25">
      <c r="A20" s="1132" t="s">
        <v>317</v>
      </c>
      <c r="B20" s="1133"/>
      <c r="C20" s="1169">
        <f>+MAHAWELI!J21+LAXAPANA!J21+Samanala!J21+'Mannar wind'!I21+'DSP1'!I21+'GT16'!I21+'DSP2'!I21+'GT07'!I21+CCKP!I21+'CCKP 02'!I21+CPUT!I21+DNCHU!I21+'Island Gen'!I21+Barge!I21+'30MW-Hambantota'!I21+'20MW-Mathugama'!I21</f>
        <v>0</v>
      </c>
      <c r="E20" s="2702">
        <v>0</v>
      </c>
      <c r="F20" s="2702">
        <f t="shared" si="0"/>
        <v>0</v>
      </c>
      <c r="G20" s="1576"/>
    </row>
    <row r="21" spans="1:7" x14ac:dyDescent="0.2">
      <c r="A21" s="47" t="s">
        <v>318</v>
      </c>
      <c r="B21" s="90" t="s">
        <v>312</v>
      </c>
      <c r="C21" s="1169">
        <f>+MAHAWELI!J22+LAXAPANA!J22+Samanala!J22+'Mannar wind'!I22+'DSP1'!I22+'GT16'!I22+'DSP2'!I22+'GT07'!I22+CCKP!I22+'CCKP 02'!I22+CPUT!I22+DNCHU!I22+'Island Gen'!I22+Barge!I22+'30MW-Hambantota'!I22+'20MW-Mathugama'!I22</f>
        <v>3518283078.0584278</v>
      </c>
      <c r="E21" s="2702">
        <v>2845295675.7623467</v>
      </c>
      <c r="F21" s="2702">
        <f t="shared" si="0"/>
        <v>672987402.29608107</v>
      </c>
      <c r="G21" s="1576">
        <f t="shared" si="1"/>
        <v>0.23652635050512491</v>
      </c>
    </row>
    <row r="22" spans="1:7" x14ac:dyDescent="0.2">
      <c r="E22" s="2702"/>
      <c r="F22" s="2702">
        <f t="shared" si="0"/>
        <v>0</v>
      </c>
      <c r="G22" s="1576"/>
    </row>
    <row r="23" spans="1:7" x14ac:dyDescent="0.2">
      <c r="A23" s="415" t="s">
        <v>23</v>
      </c>
      <c r="C23" s="2690">
        <f>+C5+C15+C16+C21</f>
        <v>18946030732.401134</v>
      </c>
      <c r="D23" s="2690"/>
      <c r="E23" s="2690">
        <f t="shared" ref="E23:F23" si="2">+E5+E15+E16+E21</f>
        <v>22344613954.49247</v>
      </c>
      <c r="F23" s="2690">
        <f t="shared" si="2"/>
        <v>-3398583222.0913363</v>
      </c>
      <c r="G23" s="1576">
        <f t="shared" si="1"/>
        <v>-0.15209854280825635</v>
      </c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4">
    <tabColor theme="5" tint="-0.249977111117893"/>
  </sheetPr>
  <dimension ref="A1:H15"/>
  <sheetViews>
    <sheetView topLeftCell="B1" workbookViewId="0">
      <selection activeCell="C15" sqref="C15"/>
    </sheetView>
  </sheetViews>
  <sheetFormatPr defaultRowHeight="12.6" x14ac:dyDescent="0.2"/>
  <cols>
    <col min="1" max="1" width="42.36328125" bestFit="1" customWidth="1"/>
    <col min="2" max="2" width="9.453125" customWidth="1"/>
    <col min="3" max="8" width="20" bestFit="1" customWidth="1"/>
  </cols>
  <sheetData>
    <row r="1" spans="1:8" x14ac:dyDescent="0.2">
      <c r="C1" s="123">
        <f>DispatchSchedule!F3</f>
        <v>46023</v>
      </c>
      <c r="D1" s="123">
        <f>DispatchSchedule!G3</f>
        <v>46054</v>
      </c>
      <c r="E1" s="123">
        <f>DispatchSchedule!H3</f>
        <v>46082</v>
      </c>
      <c r="F1" s="123">
        <f>DispatchSchedule!I3</f>
        <v>46113</v>
      </c>
      <c r="G1" s="123">
        <f>DispatchSchedule!J3</f>
        <v>46143</v>
      </c>
      <c r="H1" s="123">
        <f>DispatchSchedule!K3</f>
        <v>46174</v>
      </c>
    </row>
    <row r="2" spans="1:8" ht="14.4" x14ac:dyDescent="0.35">
      <c r="A2" s="831" t="s">
        <v>725</v>
      </c>
      <c r="B2" s="831" t="s">
        <v>94</v>
      </c>
      <c r="C2" s="832" t="e">
        <f>'Gen. Energy Cost'!C72</f>
        <v>#DIV/0!</v>
      </c>
      <c r="D2" s="832" t="e">
        <f>'Gen. Energy Cost'!D72</f>
        <v>#DIV/0!</v>
      </c>
      <c r="E2" s="832" t="e">
        <f>'Gen. Energy Cost'!E72</f>
        <v>#DIV/0!</v>
      </c>
      <c r="F2" s="832">
        <f>'Gen. Energy Cost'!F72</f>
        <v>41135637809.293495</v>
      </c>
      <c r="G2" s="832">
        <f>'Gen. Energy Cost'!G72</f>
        <v>34937319352.503914</v>
      </c>
      <c r="H2" s="832">
        <f>'Gen. Energy Cost'!H72</f>
        <v>35377841691.582596</v>
      </c>
    </row>
    <row r="3" spans="1:8" ht="14.4" x14ac:dyDescent="0.35">
      <c r="A3" s="831" t="s">
        <v>726</v>
      </c>
      <c r="B3" s="831" t="s">
        <v>94</v>
      </c>
      <c r="C3" s="832">
        <f>'Gen. Capacity'!C54*1000000</f>
        <v>6034567062.5324726</v>
      </c>
      <c r="D3" s="832">
        <f>'Gen. Capacity'!D54*1000000</f>
        <v>6215737252.4962139</v>
      </c>
      <c r="E3" s="832">
        <f>'Gen. Capacity'!E54*1000000</f>
        <v>6333151142.1898289</v>
      </c>
      <c r="F3" s="832">
        <f>'Gen. Capacity'!F54*1000000</f>
        <v>6064185129.977767</v>
      </c>
      <c r="G3" s="832">
        <f>'Gen. Capacity'!G54*1000000</f>
        <v>6167423689.0124741</v>
      </c>
      <c r="H3" s="832">
        <f>'Gen. Capacity'!H54*1000000</f>
        <v>6082123607.3186541</v>
      </c>
    </row>
    <row r="4" spans="1:8" ht="14.4" x14ac:dyDescent="0.35">
      <c r="A4" s="3058"/>
      <c r="B4" s="3059"/>
      <c r="C4" s="3059"/>
      <c r="D4" s="3059"/>
      <c r="E4" s="3059"/>
      <c r="F4" s="3059"/>
      <c r="G4" s="3059"/>
      <c r="H4" s="3060"/>
    </row>
    <row r="5" spans="1:8" ht="14.4" x14ac:dyDescent="0.35">
      <c r="A5" s="831" t="s">
        <v>41</v>
      </c>
      <c r="B5" s="831" t="s">
        <v>94</v>
      </c>
      <c r="C5" s="832">
        <f>'TR &amp; BSS, TLF'!C69</f>
        <v>1713174254.027025</v>
      </c>
      <c r="D5" s="832">
        <f>'TR &amp; BSS, TLF'!D69</f>
        <v>1713174254.027025</v>
      </c>
      <c r="E5" s="832">
        <f>'TR &amp; BSS, TLF'!E69</f>
        <v>1713174254.027025</v>
      </c>
      <c r="F5" s="832">
        <f>'TR &amp; BSS, TLF'!F69</f>
        <v>1713174254.027025</v>
      </c>
      <c r="G5" s="832">
        <f>'TR &amp; BSS, TLF'!G69</f>
        <v>1713174254.027025</v>
      </c>
      <c r="H5" s="832">
        <f>'TR &amp; BSS, TLF'!H69</f>
        <v>1713174254.027025</v>
      </c>
    </row>
    <row r="6" spans="1:8" ht="14.4" x14ac:dyDescent="0.35">
      <c r="A6" s="831" t="s">
        <v>40</v>
      </c>
      <c r="B6" s="831" t="s">
        <v>94</v>
      </c>
      <c r="C6" s="832">
        <f>'TR &amp; BSS, TLF'!C70</f>
        <v>1812241638.077323</v>
      </c>
      <c r="D6" s="832">
        <f>'TR &amp; BSS, TLF'!D70</f>
        <v>2623457643.7633324</v>
      </c>
      <c r="E6" s="832">
        <f>'TR &amp; BSS, TLF'!E70</f>
        <v>2720200635.7918591</v>
      </c>
      <c r="F6" s="832">
        <f>'TR &amp; BSS, TLF'!F70</f>
        <v>2912225236.8329382</v>
      </c>
      <c r="G6" s="832">
        <f>'TR &amp; BSS, TLF'!G70</f>
        <v>2921488446.557807</v>
      </c>
      <c r="H6" s="832">
        <f>'TR &amp; BSS, TLF'!H70</f>
        <v>2922616895.9887023</v>
      </c>
    </row>
    <row r="7" spans="1:8" ht="14.4" x14ac:dyDescent="0.35">
      <c r="A7" s="3058"/>
      <c r="B7" s="3059"/>
      <c r="C7" s="3059"/>
      <c r="D7" s="3059"/>
      <c r="E7" s="3059"/>
      <c r="F7" s="3059"/>
      <c r="G7" s="3059"/>
      <c r="H7" s="3060"/>
    </row>
    <row r="8" spans="1:8" ht="14.4" x14ac:dyDescent="0.35">
      <c r="A8" s="831" t="s">
        <v>690</v>
      </c>
      <c r="B8" s="831" t="s">
        <v>94</v>
      </c>
      <c r="C8" s="833" t="e">
        <f>C2+C3+C5+C6</f>
        <v>#DIV/0!</v>
      </c>
      <c r="D8" s="833" t="e">
        <f t="shared" ref="D8:H8" si="0">D2+D3+D5+D6</f>
        <v>#DIV/0!</v>
      </c>
      <c r="E8" s="833" t="e">
        <f t="shared" si="0"/>
        <v>#DIV/0!</v>
      </c>
      <c r="F8" s="833">
        <f t="shared" si="0"/>
        <v>51825222430.131226</v>
      </c>
      <c r="G8" s="833">
        <f t="shared" si="0"/>
        <v>45739405742.101219</v>
      </c>
      <c r="H8" s="833">
        <f t="shared" si="0"/>
        <v>46095756448.916977</v>
      </c>
    </row>
    <row r="9" spans="1:8" ht="14.4" x14ac:dyDescent="0.35">
      <c r="A9" s="3061" t="s">
        <v>727</v>
      </c>
      <c r="B9" s="831" t="s">
        <v>56</v>
      </c>
      <c r="C9" s="832">
        <f>DispatchSchedule!F38</f>
        <v>0</v>
      </c>
      <c r="D9" s="832">
        <f>DispatchSchedule!G38</f>
        <v>0</v>
      </c>
      <c r="E9" s="832">
        <f>DispatchSchedule!H38</f>
        <v>0</v>
      </c>
      <c r="F9" s="832">
        <f>DispatchSchedule!I38</f>
        <v>1505.2036644100001</v>
      </c>
      <c r="G9" s="832">
        <f>DispatchSchedule!J38</f>
        <v>1612.9662837999999</v>
      </c>
      <c r="H9" s="832">
        <f>DispatchSchedule!K38</f>
        <v>1576.3539009999997</v>
      </c>
    </row>
    <row r="10" spans="1:8" ht="14.4" x14ac:dyDescent="0.35">
      <c r="A10" s="3062"/>
      <c r="B10" s="831" t="s">
        <v>388</v>
      </c>
      <c r="C10" s="832">
        <f>C9*1000000</f>
        <v>0</v>
      </c>
      <c r="D10" s="832">
        <f t="shared" ref="D10:H10" si="1">D9*1000000</f>
        <v>0</v>
      </c>
      <c r="E10" s="832">
        <f t="shared" si="1"/>
        <v>0</v>
      </c>
      <c r="F10" s="832">
        <f t="shared" si="1"/>
        <v>1505203664.4100001</v>
      </c>
      <c r="G10" s="832">
        <f t="shared" si="1"/>
        <v>1612966283.8</v>
      </c>
      <c r="H10" s="832">
        <f t="shared" si="1"/>
        <v>1576353900.9999998</v>
      </c>
    </row>
    <row r="11" spans="1:8" ht="14.4" x14ac:dyDescent="0.35">
      <c r="A11" s="3058"/>
      <c r="B11" s="3059"/>
      <c r="C11" s="3059"/>
      <c r="D11" s="3059"/>
      <c r="E11" s="3059"/>
      <c r="F11" s="3059"/>
      <c r="G11" s="3059"/>
      <c r="H11" s="3060"/>
    </row>
    <row r="12" spans="1:8" ht="14.4" x14ac:dyDescent="0.35">
      <c r="A12" s="831" t="s">
        <v>728</v>
      </c>
      <c r="B12" s="831" t="s">
        <v>88</v>
      </c>
      <c r="C12" s="614" t="e">
        <f>C8/C10</f>
        <v>#DIV/0!</v>
      </c>
      <c r="D12" s="614" t="e">
        <f t="shared" ref="D12:H12" si="2">D8/D10</f>
        <v>#DIV/0!</v>
      </c>
      <c r="E12" s="614" t="e">
        <f t="shared" si="2"/>
        <v>#DIV/0!</v>
      </c>
      <c r="F12" s="614">
        <f t="shared" si="2"/>
        <v>34.430704399358035</v>
      </c>
      <c r="G12" s="614">
        <f t="shared" si="2"/>
        <v>28.357322903454246</v>
      </c>
      <c r="H12" s="614">
        <f t="shared" si="2"/>
        <v>29.242009944388105</v>
      </c>
    </row>
    <row r="13" spans="1:8" ht="14.4" x14ac:dyDescent="0.35">
      <c r="A13" s="3058"/>
      <c r="B13" s="3059"/>
      <c r="C13" s="3059"/>
      <c r="D13" s="3059"/>
      <c r="E13" s="3059"/>
      <c r="F13" s="3059"/>
      <c r="G13" s="3059"/>
      <c r="H13" s="3060"/>
    </row>
    <row r="14" spans="1:8" ht="14.4" x14ac:dyDescent="0.35">
      <c r="A14" s="831" t="s">
        <v>729</v>
      </c>
      <c r="B14" s="831" t="s">
        <v>37</v>
      </c>
      <c r="C14" s="3055">
        <f>'TR &amp; BSS, TLF'!F72</f>
        <v>3.3821410256410257E-2</v>
      </c>
      <c r="D14" s="3056"/>
      <c r="E14" s="3056"/>
      <c r="F14" s="3056"/>
      <c r="G14" s="3056"/>
      <c r="H14" s="3057"/>
    </row>
    <row r="15" spans="1:8" ht="14.4" x14ac:dyDescent="0.35">
      <c r="A15" s="834" t="s">
        <v>730</v>
      </c>
      <c r="B15" s="834" t="s">
        <v>88</v>
      </c>
      <c r="C15" s="835" t="e">
        <f>C12*(1+$C$14)</f>
        <v>#DIV/0!</v>
      </c>
      <c r="D15" s="835" t="e">
        <f t="shared" ref="D15:H15" si="3">D12*(1+$C$14)</f>
        <v>#DIV/0!</v>
      </c>
      <c r="E15" s="835" t="e">
        <f t="shared" si="3"/>
        <v>#DIV/0!</v>
      </c>
      <c r="F15" s="835">
        <f t="shared" si="3"/>
        <v>35.59519937826591</v>
      </c>
      <c r="G15" s="835">
        <f t="shared" si="3"/>
        <v>29.316407555145471</v>
      </c>
      <c r="H15" s="835">
        <f t="shared" si="3"/>
        <v>30.231015959439283</v>
      </c>
    </row>
  </sheetData>
  <mergeCells count="6">
    <mergeCell ref="C14:H14"/>
    <mergeCell ref="A4:H4"/>
    <mergeCell ref="A7:H7"/>
    <mergeCell ref="A9:A10"/>
    <mergeCell ref="A11:H11"/>
    <mergeCell ref="A13:H13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35"/>
  <dimension ref="A1:F17"/>
  <sheetViews>
    <sheetView showGridLines="0" workbookViewId="0">
      <selection activeCell="E26" sqref="E26"/>
    </sheetView>
  </sheetViews>
  <sheetFormatPr defaultColWidth="11" defaultRowHeight="12.6" x14ac:dyDescent="0.2"/>
  <cols>
    <col min="1" max="1" width="11" customWidth="1"/>
    <col min="2" max="2" width="22.08984375" customWidth="1"/>
    <col min="3" max="3" width="14.08984375" customWidth="1"/>
    <col min="4" max="4" width="30.36328125" customWidth="1"/>
    <col min="5" max="7" width="11" customWidth="1"/>
    <col min="8" max="8" width="10.453125" customWidth="1"/>
    <col min="9" max="9" width="17.7265625" customWidth="1"/>
  </cols>
  <sheetData>
    <row r="1" spans="1:6" ht="16.2" x14ac:dyDescent="0.3">
      <c r="A1" s="3" t="s">
        <v>104</v>
      </c>
    </row>
    <row r="3" spans="1:6" x14ac:dyDescent="0.2">
      <c r="B3" s="42" t="s">
        <v>110</v>
      </c>
      <c r="C3" s="42" t="s">
        <v>113</v>
      </c>
      <c r="D3" s="42" t="s">
        <v>80</v>
      </c>
      <c r="E3" s="42" t="s">
        <v>93</v>
      </c>
      <c r="F3" s="42" t="s">
        <v>101</v>
      </c>
    </row>
    <row r="4" spans="1:6" x14ac:dyDescent="0.2">
      <c r="B4" s="43" t="s">
        <v>57</v>
      </c>
      <c r="C4" s="43" t="s">
        <v>3</v>
      </c>
      <c r="D4" s="2" t="s">
        <v>79</v>
      </c>
      <c r="E4" s="43" t="s">
        <v>94</v>
      </c>
      <c r="F4" s="2" t="s">
        <v>98</v>
      </c>
    </row>
    <row r="5" spans="1:6" x14ac:dyDescent="0.2">
      <c r="B5" s="43" t="s">
        <v>58</v>
      </c>
      <c r="C5" s="43" t="s">
        <v>4</v>
      </c>
      <c r="D5" s="2" t="s">
        <v>81</v>
      </c>
      <c r="E5" s="2" t="s">
        <v>95</v>
      </c>
      <c r="F5" s="2" t="s">
        <v>102</v>
      </c>
    </row>
    <row r="6" spans="1:6" x14ac:dyDescent="0.2">
      <c r="B6" s="43" t="s">
        <v>59</v>
      </c>
      <c r="C6" s="43" t="s">
        <v>5</v>
      </c>
      <c r="D6" s="2" t="s">
        <v>82</v>
      </c>
      <c r="E6" s="2" t="s">
        <v>96</v>
      </c>
      <c r="F6" s="2" t="s">
        <v>103</v>
      </c>
    </row>
    <row r="7" spans="1:6" x14ac:dyDescent="0.2">
      <c r="B7" s="43" t="s">
        <v>0</v>
      </c>
      <c r="C7" s="43" t="s">
        <v>6</v>
      </c>
      <c r="D7" s="2" t="s">
        <v>83</v>
      </c>
      <c r="E7" s="2" t="s">
        <v>97</v>
      </c>
    </row>
    <row r="8" spans="1:6" x14ac:dyDescent="0.2">
      <c r="B8" s="43" t="s">
        <v>1</v>
      </c>
      <c r="C8" s="43" t="s">
        <v>7</v>
      </c>
      <c r="D8" s="2" t="s">
        <v>84</v>
      </c>
    </row>
    <row r="9" spans="1:6" x14ac:dyDescent="0.2">
      <c r="B9" s="43" t="s">
        <v>2</v>
      </c>
      <c r="C9" s="43" t="s">
        <v>8</v>
      </c>
      <c r="D9" s="43" t="s">
        <v>114</v>
      </c>
    </row>
    <row r="10" spans="1:6" x14ac:dyDescent="0.2">
      <c r="B10" s="43" t="s">
        <v>111</v>
      </c>
      <c r="C10" s="43" t="s">
        <v>9</v>
      </c>
      <c r="D10" s="2" t="s">
        <v>115</v>
      </c>
    </row>
    <row r="11" spans="1:6" x14ac:dyDescent="0.2">
      <c r="B11" s="51" t="s">
        <v>112</v>
      </c>
      <c r="C11" s="43" t="s">
        <v>10</v>
      </c>
      <c r="D11" s="2" t="s">
        <v>116</v>
      </c>
    </row>
    <row r="12" spans="1:6" x14ac:dyDescent="0.2">
      <c r="B12" s="43" t="s">
        <v>14</v>
      </c>
      <c r="C12" s="43" t="s">
        <v>11</v>
      </c>
      <c r="D12" s="2" t="s">
        <v>117</v>
      </c>
    </row>
    <row r="13" spans="1:6" x14ac:dyDescent="0.2">
      <c r="B13" s="43" t="s">
        <v>16</v>
      </c>
      <c r="C13" s="43" t="s">
        <v>12</v>
      </c>
      <c r="D13" s="2" t="s">
        <v>118</v>
      </c>
    </row>
    <row r="14" spans="1:6" x14ac:dyDescent="0.2">
      <c r="B14" s="43" t="s">
        <v>17</v>
      </c>
      <c r="C14" s="43" t="s">
        <v>13</v>
      </c>
      <c r="D14" s="2" t="s">
        <v>119</v>
      </c>
    </row>
    <row r="15" spans="1:6" x14ac:dyDescent="0.2">
      <c r="B15" s="43" t="s">
        <v>14</v>
      </c>
      <c r="C15" s="43" t="s">
        <v>15</v>
      </c>
      <c r="D15" s="2" t="s">
        <v>120</v>
      </c>
    </row>
    <row r="16" spans="1:6" x14ac:dyDescent="0.2">
      <c r="B16" s="43" t="s">
        <v>18</v>
      </c>
      <c r="C16" s="43"/>
      <c r="D16" s="2" t="s">
        <v>121</v>
      </c>
    </row>
    <row r="17" spans="3:4" x14ac:dyDescent="0.2">
      <c r="C17" s="43"/>
      <c r="D17" s="2" t="s">
        <v>109</v>
      </c>
    </row>
  </sheetData>
  <phoneticPr fontId="54" type="noConversion"/>
  <pageMargins left="0.75" right="0.75" top="1" bottom="1" header="0" footer="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9">
    <tabColor rgb="FF00B050"/>
    <pageSetUpPr fitToPage="1"/>
  </sheetPr>
  <dimension ref="A2:P175"/>
  <sheetViews>
    <sheetView showGridLines="0" topLeftCell="A135" zoomScale="80" zoomScaleNormal="80" workbookViewId="0">
      <selection activeCell="E173" sqref="E173"/>
    </sheetView>
  </sheetViews>
  <sheetFormatPr defaultColWidth="11" defaultRowHeight="12.6" x14ac:dyDescent="0.2"/>
  <cols>
    <col min="1" max="1" width="51.453125" customWidth="1"/>
    <col min="2" max="2" width="18" customWidth="1"/>
    <col min="3" max="3" width="20.08984375" bestFit="1" customWidth="1"/>
    <col min="4" max="4" width="18.90625" bestFit="1" customWidth="1"/>
    <col min="5" max="5" width="19.36328125" customWidth="1"/>
    <col min="6" max="6" width="22" customWidth="1"/>
    <col min="7" max="7" width="20.26953125" customWidth="1"/>
    <col min="8" max="8" width="18.6328125" customWidth="1"/>
    <col min="9" max="9" width="24.36328125" customWidth="1"/>
    <col min="10" max="14" width="16.7265625" bestFit="1" customWidth="1"/>
    <col min="15" max="15" width="18" bestFit="1" customWidth="1"/>
  </cols>
  <sheetData>
    <row r="2" spans="1:14" ht="19.8" x14ac:dyDescent="0.3">
      <c r="A2" s="1676" t="str">
        <f>'Bulk Supply Tariffs'!A2:B2</f>
        <v xml:space="preserve">Bulk Supply Tariff </v>
      </c>
      <c r="B2" s="1676" t="s">
        <v>995</v>
      </c>
    </row>
    <row r="3" spans="1:14" s="27" customFormat="1" ht="16.2" x14ac:dyDescent="0.3">
      <c r="A3" s="3063"/>
      <c r="B3" s="3063"/>
    </row>
    <row r="4" spans="1:14" s="27" customFormat="1" ht="15" customHeight="1" x14ac:dyDescent="0.3">
      <c r="A4" s="3"/>
    </row>
    <row r="5" spans="1:14" ht="17.399999999999999" x14ac:dyDescent="0.3">
      <c r="A5" s="1660" t="s">
        <v>23</v>
      </c>
      <c r="C5" s="2"/>
      <c r="D5" s="2"/>
      <c r="E5" s="2"/>
      <c r="F5" s="2"/>
      <c r="G5" s="2"/>
      <c r="H5" s="2"/>
      <c r="I5" s="398"/>
      <c r="J5" s="398"/>
      <c r="K5" s="398"/>
      <c r="L5" s="398"/>
      <c r="M5" s="398"/>
      <c r="N5" s="398"/>
    </row>
    <row r="6" spans="1:14" ht="17.399999999999999" x14ac:dyDescent="0.3">
      <c r="A6" s="1660"/>
      <c r="C6" s="2"/>
      <c r="D6" s="2"/>
      <c r="E6" s="2"/>
      <c r="F6" s="2"/>
      <c r="G6" s="2"/>
      <c r="H6" s="2"/>
      <c r="I6" s="398"/>
      <c r="J6" s="398"/>
      <c r="K6" s="398"/>
      <c r="L6" s="398"/>
      <c r="M6" s="398"/>
      <c r="N6" s="398"/>
    </row>
    <row r="7" spans="1:14" ht="14.4" thickBot="1" x14ac:dyDescent="0.3">
      <c r="A7" s="1661" t="s">
        <v>984</v>
      </c>
      <c r="B7" s="1662"/>
      <c r="C7" s="2"/>
      <c r="D7" s="2"/>
      <c r="E7" s="2"/>
      <c r="F7" s="2"/>
      <c r="G7" s="2"/>
      <c r="H7" s="2"/>
      <c r="I7" s="398"/>
      <c r="J7" s="398"/>
      <c r="K7" s="398"/>
      <c r="L7" s="398"/>
      <c r="M7" s="398"/>
      <c r="N7" s="398"/>
    </row>
    <row r="8" spans="1:14" ht="36" customHeight="1" thickBot="1" x14ac:dyDescent="0.25">
      <c r="A8" s="745" t="s">
        <v>44</v>
      </c>
      <c r="B8" s="220" t="s">
        <v>36</v>
      </c>
      <c r="C8" s="746">
        <f>'Gen. Capacity 220'!C4</f>
        <v>46023</v>
      </c>
      <c r="D8" s="746">
        <f>'Gen. Capacity 220'!D4</f>
        <v>46054</v>
      </c>
      <c r="E8" s="746">
        <f>'Gen. Capacity 220'!E4</f>
        <v>46082</v>
      </c>
      <c r="F8" s="746">
        <f>'Gen. Capacity 220'!F4</f>
        <v>46113</v>
      </c>
      <c r="G8" s="746">
        <f>'Gen. Capacity 220'!G4</f>
        <v>46143</v>
      </c>
      <c r="H8" s="746">
        <f>'Gen. Capacity 220'!H4</f>
        <v>46174</v>
      </c>
      <c r="I8" s="398"/>
      <c r="J8" s="398"/>
      <c r="K8" s="398"/>
      <c r="L8" s="398"/>
      <c r="M8" s="398"/>
      <c r="N8" s="398"/>
    </row>
    <row r="9" spans="1:14" x14ac:dyDescent="0.2">
      <c r="A9" s="1663" t="s">
        <v>23</v>
      </c>
      <c r="B9" s="1664"/>
      <c r="C9" s="1665"/>
      <c r="D9" s="1665"/>
      <c r="E9" s="1665"/>
      <c r="F9" s="1665"/>
      <c r="G9" s="1665"/>
      <c r="H9" s="1666"/>
      <c r="I9" s="398"/>
      <c r="J9" s="398"/>
      <c r="K9" s="398"/>
      <c r="L9" s="398"/>
      <c r="M9" s="398"/>
      <c r="N9" s="398"/>
    </row>
    <row r="10" spans="1:14" x14ac:dyDescent="0.2">
      <c r="A10" s="16" t="s">
        <v>45</v>
      </c>
      <c r="B10" s="12" t="s">
        <v>42</v>
      </c>
      <c r="C10" s="1077" t="e">
        <f>'Gen. Capacity 33'!C66</f>
        <v>#REF!</v>
      </c>
      <c r="D10" s="1077" t="e">
        <f>'Gen. Capacity 33'!D66</f>
        <v>#REF!</v>
      </c>
      <c r="E10" s="1077" t="e">
        <f>'Gen. Capacity 33'!E66</f>
        <v>#REF!</v>
      </c>
      <c r="F10" s="1077" t="e">
        <f>'Gen. Capacity 33'!F66</f>
        <v>#REF!</v>
      </c>
      <c r="G10" s="1077" t="e">
        <f>'Gen. Capacity 33'!G66</f>
        <v>#REF!</v>
      </c>
      <c r="H10" s="1077" t="e">
        <f>'Gen. Capacity 33'!H66</f>
        <v>#REF!</v>
      </c>
      <c r="I10" s="398"/>
      <c r="J10" s="398"/>
      <c r="K10" s="398"/>
      <c r="L10" s="398"/>
      <c r="M10" s="398"/>
      <c r="N10" s="398"/>
    </row>
    <row r="11" spans="1:14" x14ac:dyDescent="0.2">
      <c r="A11" s="16" t="s">
        <v>46</v>
      </c>
      <c r="B11" s="12" t="s">
        <v>42</v>
      </c>
      <c r="C11" s="1077" t="e">
        <f>'TR &amp; BSS, TLF voltage wise'!C102</f>
        <v>#DIV/0!</v>
      </c>
      <c r="D11" s="1077" t="e">
        <f>'TR &amp; BSS, TLF voltage wise'!D102</f>
        <v>#DIV/0!</v>
      </c>
      <c r="E11" s="1077" t="e">
        <f>'TR &amp; BSS, TLF voltage wise'!E102</f>
        <v>#DIV/0!</v>
      </c>
      <c r="F11" s="1077">
        <f>'TR &amp; BSS, TLF voltage wise'!F102</f>
        <v>798591.42780112487</v>
      </c>
      <c r="G11" s="1077">
        <f>'TR &amp; BSS, TLF voltage wise'!G102</f>
        <v>767263.95051911345</v>
      </c>
      <c r="H11" s="1077">
        <f>'TR &amp; BSS, TLF voltage wise'!H102</f>
        <v>807446.94077352574</v>
      </c>
      <c r="I11" s="398"/>
      <c r="J11" s="398"/>
      <c r="K11" s="398"/>
      <c r="L11" s="398"/>
      <c r="M11" s="398"/>
      <c r="N11" s="398"/>
    </row>
    <row r="12" spans="1:14" x14ac:dyDescent="0.2">
      <c r="A12" s="16" t="s">
        <v>47</v>
      </c>
      <c r="B12" s="12" t="s">
        <v>42</v>
      </c>
      <c r="C12" s="1077" t="e">
        <f>'TR &amp; BSS, TLF voltage wise'!C107</f>
        <v>#DIV/0!</v>
      </c>
      <c r="D12" s="1077" t="e">
        <f>'TR &amp; BSS, TLF voltage wise'!D107</f>
        <v>#DIV/0!</v>
      </c>
      <c r="E12" s="1077" t="e">
        <f>'TR &amp; BSS, TLF voltage wise'!E107</f>
        <v>#DIV/0!</v>
      </c>
      <c r="F12" s="1077">
        <f>'TR &amp; BSS, TLF voltage wise'!F107</f>
        <v>312627.82763977692</v>
      </c>
      <c r="G12" s="1077">
        <f>'TR &amp; BSS, TLF voltage wise'!G107</f>
        <v>299626.55317558657</v>
      </c>
      <c r="H12" s="1077">
        <f>'TR &amp; BSS, TLF voltage wise'!H107</f>
        <v>380967.28797125974</v>
      </c>
      <c r="I12" s="398"/>
      <c r="J12" s="398"/>
      <c r="K12" s="398"/>
      <c r="L12" s="398"/>
      <c r="M12" s="398"/>
      <c r="N12" s="398"/>
    </row>
    <row r="13" spans="1:14" ht="13.2" thickBot="1" x14ac:dyDescent="0.25">
      <c r="A13" s="10" t="s">
        <v>52</v>
      </c>
      <c r="B13" s="32" t="s">
        <v>42</v>
      </c>
      <c r="C13" s="1079" t="e">
        <f t="shared" ref="C13:H13" si="0">+C10+C11+C12</f>
        <v>#REF!</v>
      </c>
      <c r="D13" s="1079" t="e">
        <f t="shared" si="0"/>
        <v>#REF!</v>
      </c>
      <c r="E13" s="1079" t="e">
        <f t="shared" si="0"/>
        <v>#REF!</v>
      </c>
      <c r="F13" s="1079" t="e">
        <f t="shared" si="0"/>
        <v>#REF!</v>
      </c>
      <c r="G13" s="1079" t="e">
        <f t="shared" si="0"/>
        <v>#REF!</v>
      </c>
      <c r="H13" s="1080" t="e">
        <f t="shared" si="0"/>
        <v>#REF!</v>
      </c>
      <c r="I13" s="398"/>
      <c r="J13" s="398"/>
      <c r="K13" s="398"/>
      <c r="L13" s="398"/>
      <c r="M13" s="398"/>
      <c r="N13" s="398"/>
    </row>
    <row r="14" spans="1:14" hidden="1" x14ac:dyDescent="0.2">
      <c r="A14" s="1"/>
      <c r="B14" s="4"/>
      <c r="C14" s="1667">
        <f>'[4]TR &amp; BSS, TLF'!C27</f>
        <v>2323.7134093252698</v>
      </c>
      <c r="D14" s="1667">
        <f>'[4]TR &amp; BSS, TLF'!D27</f>
        <v>2437.3984453723001</v>
      </c>
      <c r="E14" s="1667">
        <f>'[4]TR &amp; BSS, TLF'!E27</f>
        <v>2531.7729656372999</v>
      </c>
      <c r="F14" s="1667">
        <f>'[4]TR &amp; BSS, TLF'!F27</f>
        <v>2372.6083144566201</v>
      </c>
      <c r="G14" s="1667">
        <f>'[4]TR &amp; BSS, TLF'!G27</f>
        <v>2295.1119602578201</v>
      </c>
      <c r="H14" s="1667">
        <f>'[4]TR &amp; BSS, TLF'!H27</f>
        <v>2274.9483306731099</v>
      </c>
      <c r="I14" s="398">
        <f>C14+D14+E14+F14+G14+H14</f>
        <v>14235.553425722421</v>
      </c>
      <c r="J14" s="398"/>
      <c r="K14" s="398"/>
      <c r="L14" s="398"/>
      <c r="M14" s="398"/>
      <c r="N14" s="398"/>
    </row>
    <row r="15" spans="1:14" hidden="1" x14ac:dyDescent="0.2">
      <c r="A15" s="1"/>
      <c r="B15" s="4"/>
      <c r="C15" s="1667" t="e">
        <f t="shared" ref="C15:H15" si="1">C13*C14</f>
        <v>#REF!</v>
      </c>
      <c r="D15" s="1667" t="e">
        <f t="shared" si="1"/>
        <v>#REF!</v>
      </c>
      <c r="E15" s="1667" t="e">
        <f t="shared" si="1"/>
        <v>#REF!</v>
      </c>
      <c r="F15" s="1667" t="e">
        <f t="shared" si="1"/>
        <v>#REF!</v>
      </c>
      <c r="G15" s="1667" t="e">
        <f t="shared" si="1"/>
        <v>#REF!</v>
      </c>
      <c r="H15" s="1667" t="e">
        <f t="shared" si="1"/>
        <v>#REF!</v>
      </c>
      <c r="I15" s="398" t="e">
        <f>C15+D15+E15+F15+G15+H15</f>
        <v>#REF!</v>
      </c>
      <c r="J15" s="398"/>
      <c r="K15" s="398"/>
      <c r="L15" s="398"/>
      <c r="M15" s="398"/>
      <c r="N15" s="398"/>
    </row>
    <row r="16" spans="1:14" hidden="1" x14ac:dyDescent="0.2">
      <c r="A16" s="1"/>
      <c r="B16" s="4"/>
      <c r="C16" s="1667"/>
      <c r="D16" s="1667"/>
      <c r="E16" s="1667"/>
      <c r="F16" s="1667"/>
      <c r="G16" s="1667"/>
      <c r="H16" s="1667"/>
      <c r="I16" s="398" t="e">
        <f>I15/I14</f>
        <v>#REF!</v>
      </c>
      <c r="J16" s="398"/>
      <c r="K16" s="398"/>
      <c r="L16" s="398"/>
      <c r="M16" s="398"/>
      <c r="N16" s="398"/>
    </row>
    <row r="17" spans="1:14" ht="13.2" thickBot="1" x14ac:dyDescent="0.25">
      <c r="C17" s="2"/>
      <c r="D17" s="2"/>
      <c r="E17" s="2"/>
      <c r="F17" s="2"/>
      <c r="G17" s="2"/>
      <c r="H17" s="2"/>
      <c r="I17" s="398"/>
      <c r="J17" s="398"/>
      <c r="K17" s="398"/>
      <c r="L17" s="398"/>
      <c r="M17" s="398"/>
      <c r="N17" s="398"/>
    </row>
    <row r="18" spans="1:14" ht="25.8" thickBot="1" x14ac:dyDescent="0.25">
      <c r="A18" s="96" t="s">
        <v>985</v>
      </c>
      <c r="B18" s="1668" t="s">
        <v>42</v>
      </c>
      <c r="C18" s="1669" t="e">
        <f>+SUMPRODUCT(C13:H13,'TR &amp; BSS, TLF voltage wise'!C27:H27)/SUM('TR &amp; BSS, TLF voltage wise'!C27:H27)</f>
        <v>#REF!</v>
      </c>
      <c r="D18" s="85"/>
      <c r="E18" s="1203"/>
      <c r="G18" s="2"/>
      <c r="H18" s="2"/>
      <c r="I18" s="398"/>
      <c r="J18" s="398"/>
      <c r="K18" s="398"/>
      <c r="L18" s="398"/>
      <c r="M18" s="398"/>
      <c r="N18" s="398"/>
    </row>
    <row r="19" spans="1:14" x14ac:dyDescent="0.2">
      <c r="C19" s="2"/>
      <c r="D19" s="2"/>
      <c r="E19" s="2"/>
      <c r="F19" s="2"/>
      <c r="G19" s="2"/>
      <c r="H19" s="2"/>
      <c r="I19" s="398"/>
      <c r="J19" s="398"/>
      <c r="K19" s="398"/>
      <c r="L19" s="398"/>
      <c r="M19" s="398"/>
      <c r="N19" s="398"/>
    </row>
    <row r="20" spans="1:14" ht="14.4" thickBot="1" x14ac:dyDescent="0.3">
      <c r="A20" s="1661" t="s">
        <v>986</v>
      </c>
      <c r="B20" s="106"/>
      <c r="I20" s="398"/>
      <c r="J20" s="398"/>
      <c r="K20" s="398"/>
      <c r="L20" s="398"/>
      <c r="M20" s="398"/>
      <c r="N20" s="398"/>
    </row>
    <row r="21" spans="1:14" ht="30.75" customHeight="1" thickBot="1" x14ac:dyDescent="0.25">
      <c r="A21" s="94" t="s">
        <v>44</v>
      </c>
      <c r="B21" s="95" t="s">
        <v>36</v>
      </c>
      <c r="C21" s="427">
        <f>C8</f>
        <v>46023</v>
      </c>
      <c r="D21" s="427">
        <f t="shared" ref="D21:H21" si="2">D8</f>
        <v>46054</v>
      </c>
      <c r="E21" s="427">
        <f t="shared" si="2"/>
        <v>46082</v>
      </c>
      <c r="F21" s="427">
        <f t="shared" si="2"/>
        <v>46113</v>
      </c>
      <c r="G21" s="427">
        <f t="shared" si="2"/>
        <v>46143</v>
      </c>
      <c r="H21" s="427">
        <f t="shared" si="2"/>
        <v>46174</v>
      </c>
      <c r="I21" s="398"/>
      <c r="J21" s="398"/>
      <c r="K21" s="398"/>
      <c r="L21" s="398"/>
      <c r="M21" s="398"/>
      <c r="N21" s="398"/>
    </row>
    <row r="22" spans="1:14" x14ac:dyDescent="0.2">
      <c r="A22" s="1663" t="s">
        <v>23</v>
      </c>
      <c r="B22" s="1664"/>
      <c r="C22" s="1665"/>
      <c r="D22" s="1665"/>
      <c r="E22" s="1665"/>
      <c r="F22" s="1665"/>
      <c r="G22" s="1665"/>
      <c r="H22" s="1666"/>
      <c r="I22" s="398"/>
      <c r="J22" s="398"/>
      <c r="K22" s="398"/>
      <c r="L22" s="398"/>
      <c r="M22" s="398"/>
      <c r="N22" s="398"/>
    </row>
    <row r="23" spans="1:14" x14ac:dyDescent="0.2">
      <c r="A23" s="16" t="s">
        <v>45</v>
      </c>
      <c r="B23" s="12" t="s">
        <v>42</v>
      </c>
      <c r="C23" s="1077" t="e">
        <f>'Gen. Capacity 132'!C57</f>
        <v>#REF!</v>
      </c>
      <c r="D23" s="1077" t="e">
        <f>'Gen. Capacity 132'!D57</f>
        <v>#REF!</v>
      </c>
      <c r="E23" s="1077" t="e">
        <f>'Gen. Capacity 132'!E57</f>
        <v>#REF!</v>
      </c>
      <c r="F23" s="1077" t="e">
        <f>'Gen. Capacity 132'!F57</f>
        <v>#REF!</v>
      </c>
      <c r="G23" s="1077" t="e">
        <f>'Gen. Capacity 132'!G57</f>
        <v>#REF!</v>
      </c>
      <c r="H23" s="1077" t="e">
        <f>'Gen. Capacity 132'!H57</f>
        <v>#REF!</v>
      </c>
      <c r="I23" s="398"/>
      <c r="J23" s="398"/>
      <c r="K23" s="398"/>
      <c r="L23" s="398"/>
      <c r="M23" s="398"/>
      <c r="N23" s="398"/>
    </row>
    <row r="24" spans="1:14" x14ac:dyDescent="0.2">
      <c r="A24" s="16" t="s">
        <v>46</v>
      </c>
      <c r="B24" s="12" t="s">
        <v>42</v>
      </c>
      <c r="C24" s="1077" t="e">
        <f>'TR &amp; BSS, TLF voltage wise'!C67</f>
        <v>#DIV/0!</v>
      </c>
      <c r="D24" s="1077" t="e">
        <f>'TR &amp; BSS, TLF voltage wise'!D67</f>
        <v>#DIV/0!</v>
      </c>
      <c r="E24" s="1077" t="e">
        <f>'TR &amp; BSS, TLF voltage wise'!E67</f>
        <v>#DIV/0!</v>
      </c>
      <c r="F24" s="1077">
        <f>'TR &amp; BSS, TLF voltage wise'!F67</f>
        <v>809812.05822748749</v>
      </c>
      <c r="G24" s="1077">
        <f>'TR &amp; BSS, TLF voltage wise'!G67</f>
        <v>778298.99407120317</v>
      </c>
      <c r="H24" s="1077">
        <f>'TR &amp; BSS, TLF voltage wise'!H67</f>
        <v>820570.37379537593</v>
      </c>
      <c r="I24" s="398"/>
      <c r="J24" s="398"/>
      <c r="K24" s="398"/>
      <c r="L24" s="398"/>
      <c r="M24" s="398"/>
      <c r="N24" s="398"/>
    </row>
    <row r="25" spans="1:14" x14ac:dyDescent="0.2">
      <c r="A25" s="16" t="s">
        <v>47</v>
      </c>
      <c r="B25" s="12" t="s">
        <v>42</v>
      </c>
      <c r="C25" s="1077" t="e">
        <f>'TR &amp; BSS, TLF voltage wise'!C72</f>
        <v>#DIV/0!</v>
      </c>
      <c r="D25" s="1077" t="e">
        <f>'TR &amp; BSS, TLF voltage wise'!D72</f>
        <v>#DIV/0!</v>
      </c>
      <c r="E25" s="1077" t="e">
        <f>'TR &amp; BSS, TLF voltage wise'!E72</f>
        <v>#DIV/0!</v>
      </c>
      <c r="F25" s="1077">
        <f>'TR &amp; BSS, TLF voltage wise'!F72</f>
        <v>317020.41337614186</v>
      </c>
      <c r="G25" s="1077">
        <f>'TR &amp; BSS, TLF voltage wise'!G72</f>
        <v>303935.88122549444</v>
      </c>
      <c r="H25" s="1077">
        <f>'TR &amp; BSS, TLF voltage wise'!H72</f>
        <v>387159.14830875408</v>
      </c>
      <c r="I25" s="398"/>
      <c r="J25" s="398"/>
      <c r="K25" s="398"/>
      <c r="L25" s="398"/>
      <c r="M25" s="398"/>
      <c r="N25" s="398"/>
    </row>
    <row r="26" spans="1:14" ht="13.2" thickBot="1" x14ac:dyDescent="0.25">
      <c r="A26" s="10" t="s">
        <v>52</v>
      </c>
      <c r="B26" s="32" t="s">
        <v>42</v>
      </c>
      <c r="C26" s="1079" t="e">
        <f t="shared" ref="C26:H26" si="3">+C23+C24+C25</f>
        <v>#REF!</v>
      </c>
      <c r="D26" s="1079" t="e">
        <f t="shared" si="3"/>
        <v>#REF!</v>
      </c>
      <c r="E26" s="1079" t="e">
        <f t="shared" si="3"/>
        <v>#REF!</v>
      </c>
      <c r="F26" s="1079" t="e">
        <f t="shared" si="3"/>
        <v>#REF!</v>
      </c>
      <c r="G26" s="1079" t="e">
        <f t="shared" si="3"/>
        <v>#REF!</v>
      </c>
      <c r="H26" s="1080" t="e">
        <f t="shared" si="3"/>
        <v>#REF!</v>
      </c>
      <c r="I26" s="398"/>
      <c r="J26" s="398"/>
      <c r="K26" s="398"/>
      <c r="L26" s="398"/>
      <c r="M26" s="398"/>
      <c r="N26" s="398"/>
    </row>
    <row r="27" spans="1:14" ht="13.2" hidden="1" thickBot="1" x14ac:dyDescent="0.25">
      <c r="A27" s="1662"/>
      <c r="B27" s="1670"/>
      <c r="C27" s="1671">
        <f>'[4]TR &amp; BSS, TLF'!C23</f>
        <v>2278.1212428348399</v>
      </c>
      <c r="D27" s="1671">
        <f>'[4]TR &amp; BSS, TLF'!D23</f>
        <v>2387.2653012057999</v>
      </c>
      <c r="E27" s="1671">
        <f>'[4]TR &amp; BSS, TLF'!E23</f>
        <v>2478.7495372139101</v>
      </c>
      <c r="F27" s="1671">
        <f>'[4]TR &amp; BSS, TLF'!F23</f>
        <v>2319.1934660245502</v>
      </c>
      <c r="G27" s="1671">
        <f>'[4]TR &amp; BSS, TLF'!G23</f>
        <v>2267.1779044706</v>
      </c>
      <c r="H27" s="1671">
        <f>'[4]TR &amp; BSS, TLF'!H23</f>
        <v>2266.6060409473598</v>
      </c>
      <c r="I27" s="398">
        <f>C27+D27+E27+F27+G27+H27</f>
        <v>13997.113492697059</v>
      </c>
      <c r="J27" s="398"/>
      <c r="K27" s="398"/>
      <c r="L27" s="398"/>
      <c r="M27" s="398"/>
      <c r="N27" s="398"/>
    </row>
    <row r="28" spans="1:14" ht="13.2" hidden="1" thickBot="1" x14ac:dyDescent="0.25">
      <c r="A28" s="1662"/>
      <c r="B28" s="1670"/>
      <c r="C28" s="1671" t="e">
        <f t="shared" ref="C28:H28" si="4">C26*C27</f>
        <v>#REF!</v>
      </c>
      <c r="D28" s="1671" t="e">
        <f t="shared" si="4"/>
        <v>#REF!</v>
      </c>
      <c r="E28" s="1671" t="e">
        <f t="shared" si="4"/>
        <v>#REF!</v>
      </c>
      <c r="F28" s="1671" t="e">
        <f t="shared" si="4"/>
        <v>#REF!</v>
      </c>
      <c r="G28" s="1671" t="e">
        <f t="shared" si="4"/>
        <v>#REF!</v>
      </c>
      <c r="H28" s="1671" t="e">
        <f t="shared" si="4"/>
        <v>#REF!</v>
      </c>
      <c r="I28" s="398" t="e">
        <f>C28+D28+E28+F28+G28+H28</f>
        <v>#REF!</v>
      </c>
      <c r="J28" s="398"/>
      <c r="K28" s="398"/>
      <c r="L28" s="398"/>
      <c r="M28" s="398"/>
      <c r="N28" s="398"/>
    </row>
    <row r="29" spans="1:14" ht="13.2" hidden="1" thickBot="1" x14ac:dyDescent="0.25">
      <c r="A29" s="1662"/>
      <c r="B29" s="1670"/>
      <c r="C29" s="1671"/>
      <c r="D29" s="1667"/>
      <c r="E29" s="1667"/>
      <c r="F29" s="1667"/>
      <c r="G29" s="1667"/>
      <c r="H29" s="1667"/>
      <c r="I29" s="398" t="e">
        <f>I28/I27</f>
        <v>#REF!</v>
      </c>
      <c r="J29" s="398"/>
      <c r="K29" s="398"/>
      <c r="L29" s="398"/>
      <c r="M29" s="398"/>
      <c r="N29" s="398"/>
    </row>
    <row r="30" spans="1:14" ht="13.2" thickBot="1" x14ac:dyDescent="0.25">
      <c r="A30" s="108"/>
      <c r="B30" s="109"/>
      <c r="C30" s="110"/>
      <c r="D30" s="107"/>
      <c r="E30" s="107"/>
      <c r="F30" s="107"/>
      <c r="G30" s="107"/>
      <c r="H30" s="107"/>
      <c r="I30" s="398"/>
      <c r="J30" s="398"/>
      <c r="K30" s="398"/>
      <c r="L30" s="398"/>
      <c r="M30" s="398"/>
      <c r="N30" s="398"/>
    </row>
    <row r="31" spans="1:14" ht="26.25" customHeight="1" thickBot="1" x14ac:dyDescent="0.25">
      <c r="A31" s="3064" t="s">
        <v>193</v>
      </c>
      <c r="B31" s="97" t="s">
        <v>42</v>
      </c>
      <c r="C31" s="396" t="e">
        <f>+SUMPRODUCT(C26:H26,'TR &amp; BSS, TLF voltage wise'!C23:H23)/SUM('TR &amp; BSS, TLF voltage wise'!C23:H23)</f>
        <v>#REF!</v>
      </c>
      <c r="D31" s="402"/>
      <c r="F31" s="2"/>
      <c r="G31" s="2"/>
      <c r="H31" s="2"/>
      <c r="I31" s="398"/>
      <c r="J31" s="398"/>
      <c r="K31" s="398"/>
      <c r="L31" s="398"/>
      <c r="M31" s="398"/>
      <c r="N31" s="398"/>
    </row>
    <row r="32" spans="1:14" ht="13.2" thickBot="1" x14ac:dyDescent="0.25">
      <c r="A32" s="3065"/>
      <c r="B32" s="1668" t="s">
        <v>721</v>
      </c>
      <c r="C32" s="1672" t="e">
        <f>C31/AVERAGE('tx consumer data'!B14:G14)</f>
        <v>#REF!</v>
      </c>
      <c r="D32" s="1203"/>
      <c r="E32" s="1203"/>
      <c r="F32" s="2"/>
      <c r="G32" s="2"/>
      <c r="H32" s="2"/>
      <c r="I32" s="398"/>
      <c r="J32" s="398"/>
      <c r="K32" s="398"/>
      <c r="L32" s="398"/>
      <c r="M32" s="398"/>
      <c r="N32" s="398"/>
    </row>
    <row r="33" spans="1:16" x14ac:dyDescent="0.2">
      <c r="C33" s="2"/>
      <c r="D33" s="562"/>
      <c r="E33" s="2"/>
      <c r="F33" s="2"/>
      <c r="G33" s="2"/>
      <c r="H33" s="2"/>
      <c r="I33" s="398"/>
      <c r="J33" s="398"/>
      <c r="K33" s="398"/>
      <c r="L33" s="398"/>
      <c r="M33" s="398"/>
      <c r="N33" s="398"/>
    </row>
    <row r="34" spans="1:16" ht="19.5" customHeight="1" thickBot="1" x14ac:dyDescent="0.3">
      <c r="A34" s="1083" t="s">
        <v>987</v>
      </c>
    </row>
    <row r="35" spans="1:16" ht="30" customHeight="1" x14ac:dyDescent="0.2">
      <c r="A35" s="94" t="s">
        <v>44</v>
      </c>
      <c r="B35" s="95" t="s">
        <v>36</v>
      </c>
      <c r="C35" s="427">
        <f>C21</f>
        <v>46023</v>
      </c>
      <c r="D35" s="427">
        <f t="shared" ref="D35:H35" si="5">D21</f>
        <v>46054</v>
      </c>
      <c r="E35" s="427">
        <f t="shared" si="5"/>
        <v>46082</v>
      </c>
      <c r="F35" s="427">
        <f t="shared" si="5"/>
        <v>46113</v>
      </c>
      <c r="G35" s="427">
        <f t="shared" si="5"/>
        <v>46143</v>
      </c>
      <c r="H35" s="427">
        <f t="shared" si="5"/>
        <v>46174</v>
      </c>
    </row>
    <row r="36" spans="1:16" x14ac:dyDescent="0.2">
      <c r="A36" s="14" t="s">
        <v>23</v>
      </c>
      <c r="B36" s="476"/>
      <c r="C36" s="418"/>
      <c r="D36" s="418"/>
      <c r="E36" s="418"/>
      <c r="F36" s="418"/>
      <c r="G36" s="418"/>
      <c r="H36" s="479"/>
    </row>
    <row r="37" spans="1:16" x14ac:dyDescent="0.2">
      <c r="A37" s="1076" t="s">
        <v>45</v>
      </c>
      <c r="B37" s="418" t="s">
        <v>42</v>
      </c>
      <c r="C37" s="1077" t="e">
        <f>'Gen. Capacity 220'!C51</f>
        <v>#REF!</v>
      </c>
      <c r="D37" s="1077" t="e">
        <f>'Gen. Capacity 220'!D51</f>
        <v>#REF!</v>
      </c>
      <c r="E37" s="1077" t="e">
        <f>'Gen. Capacity 220'!E51</f>
        <v>#REF!</v>
      </c>
      <c r="F37" s="1077" t="e">
        <f>'Gen. Capacity 220'!F51</f>
        <v>#REF!</v>
      </c>
      <c r="G37" s="1077" t="e">
        <f>'Gen. Capacity 220'!G51</f>
        <v>#REF!</v>
      </c>
      <c r="H37" s="1077" t="e">
        <f>'Gen. Capacity 220'!H51</f>
        <v>#REF!</v>
      </c>
      <c r="I37" s="402"/>
      <c r="J37" s="402"/>
      <c r="K37" s="402"/>
    </row>
    <row r="38" spans="1:16" x14ac:dyDescent="0.2">
      <c r="A38" s="1076" t="s">
        <v>46</v>
      </c>
      <c r="B38" s="418" t="s">
        <v>42</v>
      </c>
      <c r="C38" s="1077" t="e">
        <f>'TR &amp; BSS, TLF voltage wise'!C35</f>
        <v>#DIV/0!</v>
      </c>
      <c r="D38" s="1077" t="e">
        <f>'TR &amp; BSS, TLF voltage wise'!D35</f>
        <v>#DIV/0!</v>
      </c>
      <c r="E38" s="1077" t="e">
        <f>'TR &amp; BSS, TLF voltage wise'!E35</f>
        <v>#DIV/0!</v>
      </c>
      <c r="F38" s="1077">
        <f>'TR &amp; BSS, TLF voltage wise'!F35</f>
        <v>268305.36446887185</v>
      </c>
      <c r="G38" s="1077">
        <f>'TR &amp; BSS, TLF voltage wise'!G35</f>
        <v>266787.30029795697</v>
      </c>
      <c r="H38" s="1077">
        <f>'TR &amp; BSS, TLF voltage wise'!H35</f>
        <v>283582.00942559208</v>
      </c>
      <c r="I38" s="402"/>
      <c r="J38" s="402"/>
      <c r="K38" s="402"/>
    </row>
    <row r="39" spans="1:16" x14ac:dyDescent="0.2">
      <c r="A39" s="1076" t="s">
        <v>47</v>
      </c>
      <c r="B39" s="418" t="s">
        <v>42</v>
      </c>
      <c r="C39" s="1077" t="e">
        <f>'TR &amp; BSS, TLF voltage wise'!C38</f>
        <v>#DIV/0!</v>
      </c>
      <c r="D39" s="1077" t="e">
        <f>'TR &amp; BSS, TLF voltage wise'!D38</f>
        <v>#DIV/0!</v>
      </c>
      <c r="E39" s="1077" t="e">
        <f>'TR &amp; BSS, TLF voltage wise'!E38</f>
        <v>#DIV/0!</v>
      </c>
      <c r="F39" s="1077">
        <f>'TR &amp; BSS, TLF voltage wise'!F38</f>
        <v>105034.59005183658</v>
      </c>
      <c r="G39" s="1077">
        <f>'TR &amp; BSS, TLF voltage wise'!G38</f>
        <v>104183.91111065983</v>
      </c>
      <c r="H39" s="1077">
        <f>'TR &amp; BSS, TLF voltage wise'!H38</f>
        <v>133798.8462063045</v>
      </c>
      <c r="I39" s="402"/>
      <c r="J39" s="402"/>
      <c r="K39" s="402"/>
    </row>
    <row r="40" spans="1:16" ht="13.2" thickBot="1" x14ac:dyDescent="0.25">
      <c r="A40" s="10" t="s">
        <v>52</v>
      </c>
      <c r="B40" s="32" t="s">
        <v>42</v>
      </c>
      <c r="C40" s="1079" t="e">
        <f t="shared" ref="C40:H40" si="6">+C37+C38+C39</f>
        <v>#REF!</v>
      </c>
      <c r="D40" s="1079" t="e">
        <f t="shared" si="6"/>
        <v>#REF!</v>
      </c>
      <c r="E40" s="1079" t="e">
        <f t="shared" si="6"/>
        <v>#REF!</v>
      </c>
      <c r="F40" s="1079" t="e">
        <f t="shared" si="6"/>
        <v>#REF!</v>
      </c>
      <c r="G40" s="1079" t="e">
        <f t="shared" si="6"/>
        <v>#REF!</v>
      </c>
      <c r="H40" s="1080" t="e">
        <f t="shared" si="6"/>
        <v>#REF!</v>
      </c>
      <c r="I40" s="397"/>
      <c r="J40" s="397"/>
      <c r="K40" s="397"/>
      <c r="L40" s="397"/>
      <c r="M40" s="397"/>
      <c r="N40" s="397"/>
      <c r="O40" s="397"/>
      <c r="P40" s="397"/>
    </row>
    <row r="41" spans="1:16" ht="13.2" hidden="1" thickBot="1" x14ac:dyDescent="0.25">
      <c r="A41" s="1662"/>
      <c r="B41" s="1670"/>
      <c r="C41" s="1671">
        <f>'[4]TR &amp; BSS, TLF'!C17</f>
        <v>1599.83196835233</v>
      </c>
      <c r="D41" s="1671">
        <f>'[4]TR &amp; BSS, TLF'!D17</f>
        <v>1816.2283691289499</v>
      </c>
      <c r="E41" s="1671">
        <f>'[4]TR &amp; BSS, TLF'!E17</f>
        <v>1898.6825800311301</v>
      </c>
      <c r="F41" s="1671">
        <f>'[4]TR &amp; BSS, TLF'!F17</f>
        <v>1762.1945224713299</v>
      </c>
      <c r="G41" s="1671">
        <f>'[4]TR &amp; BSS, TLF'!G17</f>
        <v>1736.52058837803</v>
      </c>
      <c r="H41" s="1671">
        <f>'[4]TR &amp; BSS, TLF'!H17</f>
        <v>1766.90615313271</v>
      </c>
      <c r="I41" s="398">
        <f>C41+D41+E41+F41+G41+H41</f>
        <v>10580.364181494479</v>
      </c>
      <c r="J41" s="397"/>
      <c r="K41" s="397"/>
      <c r="L41" s="397"/>
      <c r="M41" s="397"/>
      <c r="N41" s="397"/>
      <c r="O41" s="397"/>
      <c r="P41" s="397"/>
    </row>
    <row r="42" spans="1:16" ht="13.2" hidden="1" thickBot="1" x14ac:dyDescent="0.25">
      <c r="A42" s="1662"/>
      <c r="B42" s="1670"/>
      <c r="C42" s="1671" t="e">
        <f t="shared" ref="C42:H42" si="7">C40*C41</f>
        <v>#REF!</v>
      </c>
      <c r="D42" s="1671" t="e">
        <f t="shared" si="7"/>
        <v>#REF!</v>
      </c>
      <c r="E42" s="1671" t="e">
        <f t="shared" si="7"/>
        <v>#REF!</v>
      </c>
      <c r="F42" s="1671" t="e">
        <f t="shared" si="7"/>
        <v>#REF!</v>
      </c>
      <c r="G42" s="1671" t="e">
        <f t="shared" si="7"/>
        <v>#REF!</v>
      </c>
      <c r="H42" s="1671" t="e">
        <f t="shared" si="7"/>
        <v>#REF!</v>
      </c>
      <c r="I42" s="398" t="e">
        <f>C42+D42+E42+F42+G42+H42</f>
        <v>#REF!</v>
      </c>
      <c r="J42" s="397"/>
      <c r="K42" s="397"/>
      <c r="L42" s="397"/>
      <c r="M42" s="397"/>
      <c r="N42" s="397"/>
      <c r="O42" s="397"/>
      <c r="P42" s="397"/>
    </row>
    <row r="43" spans="1:16" ht="13.2" hidden="1" thickBot="1" x14ac:dyDescent="0.25">
      <c r="A43" s="1662"/>
      <c r="B43" s="1670"/>
      <c r="C43" s="1671"/>
      <c r="D43" s="1667"/>
      <c r="E43" s="1667"/>
      <c r="F43" s="1667"/>
      <c r="G43" s="1667"/>
      <c r="H43" s="1667"/>
      <c r="I43" s="398" t="e">
        <f>I42/I41</f>
        <v>#REF!</v>
      </c>
      <c r="J43" s="397"/>
      <c r="K43" s="397"/>
      <c r="L43" s="397"/>
      <c r="M43" s="397"/>
      <c r="N43" s="397"/>
      <c r="O43" s="397"/>
      <c r="P43" s="397"/>
    </row>
    <row r="44" spans="1:16" ht="13.2" hidden="1" thickBot="1" x14ac:dyDescent="0.25">
      <c r="A44" s="1662"/>
      <c r="B44" s="1670"/>
      <c r="C44" s="1671"/>
      <c r="D44" s="1667"/>
      <c r="E44" s="1667"/>
      <c r="F44" s="1667"/>
      <c r="G44" s="1667"/>
      <c r="H44" s="1667"/>
      <c r="I44" s="397"/>
      <c r="J44" s="397"/>
      <c r="K44" s="397"/>
      <c r="L44" s="397"/>
      <c r="M44" s="397"/>
      <c r="N44" s="397"/>
      <c r="O44" s="397"/>
      <c r="P44" s="397"/>
    </row>
    <row r="45" spans="1:16" ht="13.2" thickBot="1" x14ac:dyDescent="0.25">
      <c r="A45" s="108"/>
      <c r="B45" s="109"/>
      <c r="C45" s="110"/>
      <c r="D45" s="107"/>
      <c r="E45" s="107"/>
      <c r="F45" s="107"/>
      <c r="G45" s="107"/>
      <c r="H45" s="107"/>
      <c r="I45" s="398"/>
      <c r="J45" s="398"/>
      <c r="K45" s="398"/>
    </row>
    <row r="46" spans="1:16" ht="26.25" customHeight="1" thickBot="1" x14ac:dyDescent="0.25">
      <c r="A46" s="3064" t="s">
        <v>193</v>
      </c>
      <c r="B46" s="97" t="s">
        <v>42</v>
      </c>
      <c r="C46" s="396" t="e">
        <f>+SUMPRODUCT(C40:H40,'TR &amp; BSS, TLF voltage wise'!C17:H17)/SUM('TR &amp; BSS, TLF voltage wise'!C17:H17)</f>
        <v>#REF!</v>
      </c>
      <c r="D46" s="1327"/>
      <c r="F46" s="2"/>
      <c r="G46" s="2"/>
      <c r="H46" s="2"/>
      <c r="I46" s="398"/>
      <c r="J46" s="398"/>
      <c r="K46" s="398"/>
      <c r="L46" s="398"/>
      <c r="M46" s="398"/>
      <c r="N46" s="398"/>
    </row>
    <row r="47" spans="1:16" ht="13.2" thickBot="1" x14ac:dyDescent="0.25">
      <c r="A47" s="3065"/>
      <c r="B47" s="1668" t="s">
        <v>721</v>
      </c>
      <c r="C47" s="1672" t="e">
        <f>C46/AVERAGE('tx consumer data'!B13:G13)</f>
        <v>#REF!</v>
      </c>
      <c r="D47" s="1203"/>
      <c r="E47" s="1203"/>
      <c r="F47" s="2"/>
      <c r="G47" s="2"/>
      <c r="H47" s="2"/>
      <c r="I47" s="398"/>
      <c r="J47" s="398"/>
      <c r="K47" s="398"/>
      <c r="L47" s="398"/>
      <c r="M47" s="398"/>
      <c r="N47" s="398"/>
    </row>
    <row r="48" spans="1:16" x14ac:dyDescent="0.2">
      <c r="C48" s="2"/>
      <c r="D48" s="2"/>
      <c r="E48" s="2"/>
      <c r="F48" s="2"/>
      <c r="G48" s="2"/>
      <c r="H48" s="2"/>
      <c r="I48" s="398"/>
      <c r="J48" s="398"/>
      <c r="K48" s="398"/>
      <c r="L48" s="398"/>
      <c r="M48" s="398"/>
      <c r="N48" s="398"/>
    </row>
    <row r="49" spans="1:14" x14ac:dyDescent="0.2">
      <c r="C49" s="2"/>
      <c r="D49" s="2"/>
      <c r="E49" s="2"/>
      <c r="F49" s="2"/>
      <c r="G49" s="2"/>
      <c r="H49" s="2"/>
      <c r="I49" s="398"/>
      <c r="J49" s="398"/>
      <c r="K49" s="398"/>
      <c r="L49" s="398"/>
      <c r="M49" s="398"/>
      <c r="N49" s="398"/>
    </row>
    <row r="50" spans="1:14" ht="17.399999999999999" x14ac:dyDescent="0.3">
      <c r="A50" s="1673" t="s">
        <v>988</v>
      </c>
      <c r="C50" s="2"/>
      <c r="D50" s="2"/>
      <c r="E50" s="2"/>
      <c r="F50" s="2"/>
      <c r="G50" s="2"/>
      <c r="H50" s="2"/>
      <c r="I50" s="398"/>
      <c r="J50" s="398"/>
      <c r="K50" s="398"/>
      <c r="L50" s="398"/>
      <c r="M50" s="398"/>
      <c r="N50" s="398"/>
    </row>
    <row r="51" spans="1:14" ht="16.2" hidden="1" x14ac:dyDescent="0.3">
      <c r="A51" s="1674" t="s">
        <v>989</v>
      </c>
      <c r="C51" s="2"/>
      <c r="D51" s="2"/>
      <c r="E51" s="2"/>
      <c r="F51" s="2"/>
      <c r="G51" s="2"/>
      <c r="H51" s="2"/>
      <c r="I51" s="398"/>
      <c r="J51" s="398"/>
      <c r="K51" s="398"/>
      <c r="L51" s="398"/>
      <c r="M51" s="398"/>
      <c r="N51" s="398"/>
    </row>
    <row r="52" spans="1:14" hidden="1" x14ac:dyDescent="0.2">
      <c r="C52" s="2"/>
      <c r="D52" s="2"/>
      <c r="E52" s="2"/>
      <c r="F52" s="2"/>
      <c r="G52" s="2"/>
      <c r="H52" s="2"/>
      <c r="I52" s="398"/>
      <c r="J52" s="398"/>
      <c r="K52" s="398"/>
      <c r="L52" s="398"/>
      <c r="M52" s="398"/>
      <c r="N52" s="398"/>
    </row>
    <row r="53" spans="1:14" ht="13.2" hidden="1" thickBot="1" x14ac:dyDescent="0.25">
      <c r="A53" s="105" t="s">
        <v>990</v>
      </c>
      <c r="B53" s="106"/>
      <c r="C53" s="52"/>
      <c r="D53" s="52"/>
      <c r="E53" s="52"/>
      <c r="F53" s="52"/>
      <c r="G53" s="52"/>
      <c r="H53" s="52"/>
      <c r="I53" s="398"/>
      <c r="J53" s="398"/>
      <c r="K53" s="398"/>
      <c r="L53" s="398"/>
      <c r="M53" s="398"/>
      <c r="N53" s="398"/>
    </row>
    <row r="54" spans="1:14" ht="30" hidden="1" customHeight="1" x14ac:dyDescent="0.2">
      <c r="A54" s="94" t="s">
        <v>44</v>
      </c>
      <c r="B54" s="95" t="s">
        <v>36</v>
      </c>
      <c r="C54" s="427">
        <f t="shared" ref="C54:H54" si="8">C35</f>
        <v>46023</v>
      </c>
      <c r="D54" s="427"/>
      <c r="E54" s="427">
        <f t="shared" si="8"/>
        <v>46082</v>
      </c>
      <c r="F54" s="427">
        <f t="shared" si="8"/>
        <v>46113</v>
      </c>
      <c r="G54" s="427">
        <f t="shared" si="8"/>
        <v>46143</v>
      </c>
      <c r="H54" s="427">
        <f t="shared" si="8"/>
        <v>46174</v>
      </c>
    </row>
    <row r="55" spans="1:14" hidden="1" x14ac:dyDescent="0.2">
      <c r="A55" s="17"/>
      <c r="B55" s="8"/>
      <c r="C55" s="12"/>
      <c r="D55" s="12"/>
      <c r="E55" s="12"/>
      <c r="F55" s="12"/>
      <c r="G55" s="12"/>
      <c r="H55" s="15"/>
    </row>
    <row r="56" spans="1:14" hidden="1" x14ac:dyDescent="0.2">
      <c r="A56" s="17" t="s">
        <v>603</v>
      </c>
      <c r="B56" s="8"/>
      <c r="C56" s="12"/>
      <c r="D56" s="12"/>
      <c r="E56" s="12"/>
      <c r="F56" s="12"/>
      <c r="G56" s="12"/>
      <c r="H56" s="15"/>
    </row>
    <row r="57" spans="1:14" hidden="1" x14ac:dyDescent="0.2">
      <c r="A57" s="16" t="s">
        <v>48</v>
      </c>
      <c r="B57" s="12" t="s">
        <v>37</v>
      </c>
      <c r="C57" s="1675">
        <f>'[4]TR &amp; BSS, TLF'!C140</f>
        <v>0</v>
      </c>
      <c r="D57" s="18"/>
      <c r="E57" s="18">
        <f>'[4]TR &amp; BSS, TLF'!E140</f>
        <v>0</v>
      </c>
      <c r="F57" s="18">
        <f>'[4]TR &amp; BSS, TLF'!F140</f>
        <v>0</v>
      </c>
      <c r="G57" s="18">
        <f>'[4]TR &amp; BSS, TLF'!G140</f>
        <v>0</v>
      </c>
      <c r="H57" s="19">
        <f>'[4]TR &amp; BSS, TLF'!H140</f>
        <v>0</v>
      </c>
    </row>
    <row r="58" spans="1:14" hidden="1" x14ac:dyDescent="0.2">
      <c r="A58" s="16" t="s">
        <v>194</v>
      </c>
      <c r="B58" s="12" t="s">
        <v>88</v>
      </c>
      <c r="C58" s="702">
        <f>'[4]Gen. Energy Cost'!E10</f>
        <v>12.2194462035571</v>
      </c>
      <c r="D58" s="702"/>
      <c r="E58" s="702">
        <f>'[4]Gen. Energy Cost'!Q10</f>
        <v>14.4563472393439</v>
      </c>
      <c r="F58" s="702">
        <f>'[4]Gen. Energy Cost'!W10</f>
        <v>14.1330496045882</v>
      </c>
      <c r="G58" s="702">
        <f>'[4]Gen. Energy Cost'!AC10</f>
        <v>12.2712774547464</v>
      </c>
      <c r="H58" s="703">
        <f>'[4]Gen. Energy Cost'!AI10</f>
        <v>11.6494474471553</v>
      </c>
    </row>
    <row r="59" spans="1:14" hidden="1" x14ac:dyDescent="0.2">
      <c r="A59" s="14" t="s">
        <v>49</v>
      </c>
      <c r="B59" s="31" t="s">
        <v>88</v>
      </c>
      <c r="C59" s="704">
        <f t="shared" ref="C59:H59" si="9">+(1+C57)*C58</f>
        <v>12.2194462035571</v>
      </c>
      <c r="D59" s="704"/>
      <c r="E59" s="704">
        <f t="shared" si="9"/>
        <v>14.4563472393439</v>
      </c>
      <c r="F59" s="704">
        <f t="shared" si="9"/>
        <v>14.1330496045882</v>
      </c>
      <c r="G59" s="704">
        <f t="shared" si="9"/>
        <v>12.2712774547464</v>
      </c>
      <c r="H59" s="705">
        <f t="shared" si="9"/>
        <v>11.6494474471553</v>
      </c>
    </row>
    <row r="60" spans="1:14" hidden="1" x14ac:dyDescent="0.2">
      <c r="A60" s="6"/>
      <c r="B60" s="8"/>
      <c r="C60" s="702"/>
      <c r="D60" s="702"/>
      <c r="E60" s="702"/>
      <c r="F60" s="702"/>
      <c r="G60" s="702"/>
      <c r="H60" s="703"/>
    </row>
    <row r="61" spans="1:14" hidden="1" x14ac:dyDescent="0.2">
      <c r="A61" s="17" t="s">
        <v>32</v>
      </c>
      <c r="B61" s="8"/>
      <c r="C61" s="702"/>
      <c r="D61" s="702"/>
      <c r="E61" s="702"/>
      <c r="F61" s="702"/>
      <c r="G61" s="702"/>
      <c r="H61" s="703"/>
    </row>
    <row r="62" spans="1:14" hidden="1" x14ac:dyDescent="0.2">
      <c r="A62" s="16" t="s">
        <v>195</v>
      </c>
      <c r="B62" s="12" t="s">
        <v>37</v>
      </c>
      <c r="C62" s="751">
        <f>'[4]TR &amp; BSS, TLF'!C146</f>
        <v>0</v>
      </c>
      <c r="D62" s="751"/>
      <c r="E62" s="751">
        <f>'[4]TR &amp; BSS, TLF'!E146</f>
        <v>0</v>
      </c>
      <c r="F62" s="751">
        <f>'[4]TR &amp; BSS, TLF'!F146</f>
        <v>0</v>
      </c>
      <c r="G62" s="751">
        <f>'[4]TR &amp; BSS, TLF'!G146</f>
        <v>0</v>
      </c>
      <c r="H62" s="752">
        <f>'[4]TR &amp; BSS, TLF'!H146</f>
        <v>0</v>
      </c>
    </row>
    <row r="63" spans="1:14" hidden="1" x14ac:dyDescent="0.2">
      <c r="A63" s="16" t="s">
        <v>196</v>
      </c>
      <c r="B63" s="12" t="s">
        <v>88</v>
      </c>
      <c r="C63" s="702">
        <f>'[4]Gen. Energy Cost'!E11</f>
        <v>15.885280064624199</v>
      </c>
      <c r="D63" s="702"/>
      <c r="E63" s="702">
        <f>'[4]Gen. Energy Cost'!Q11</f>
        <v>18.7932514111471</v>
      </c>
      <c r="F63" s="702">
        <f>'[4]Gen. Energy Cost'!W11</f>
        <v>18.372964485964602</v>
      </c>
      <c r="G63" s="702">
        <f>'[4]Gen. Energy Cost'!AC11</f>
        <v>15.9526606911703</v>
      </c>
      <c r="H63" s="703">
        <f>'[4]Gen. Energy Cost'!AI11</f>
        <v>15.1442816813019</v>
      </c>
    </row>
    <row r="64" spans="1:14" hidden="1" x14ac:dyDescent="0.2">
      <c r="A64" s="14" t="s">
        <v>50</v>
      </c>
      <c r="B64" s="31" t="s">
        <v>88</v>
      </c>
      <c r="C64" s="704">
        <f t="shared" ref="C64:H64" si="10">+(1+C62)*C63</f>
        <v>15.885280064624199</v>
      </c>
      <c r="D64" s="704"/>
      <c r="E64" s="704">
        <f t="shared" si="10"/>
        <v>18.7932514111471</v>
      </c>
      <c r="F64" s="704">
        <f t="shared" si="10"/>
        <v>18.372964485964602</v>
      </c>
      <c r="G64" s="704">
        <f t="shared" si="10"/>
        <v>15.9526606911703</v>
      </c>
      <c r="H64" s="705">
        <f t="shared" si="10"/>
        <v>15.1442816813019</v>
      </c>
    </row>
    <row r="65" spans="1:8" hidden="1" x14ac:dyDescent="0.2">
      <c r="A65" s="6"/>
      <c r="B65" s="8"/>
      <c r="C65" s="702"/>
      <c r="D65" s="702"/>
      <c r="E65" s="702"/>
      <c r="F65" s="702"/>
      <c r="G65" s="702"/>
      <c r="H65" s="703"/>
    </row>
    <row r="66" spans="1:8" hidden="1" x14ac:dyDescent="0.2">
      <c r="A66" s="17" t="s">
        <v>33</v>
      </c>
      <c r="B66" s="8"/>
      <c r="C66" s="702"/>
      <c r="D66" s="702"/>
      <c r="E66" s="702"/>
      <c r="F66" s="702"/>
      <c r="G66" s="702"/>
      <c r="H66" s="703"/>
    </row>
    <row r="67" spans="1:8" hidden="1" x14ac:dyDescent="0.2">
      <c r="A67" s="16" t="s">
        <v>197</v>
      </c>
      <c r="B67" s="12" t="s">
        <v>37</v>
      </c>
      <c r="C67" s="751">
        <f>'[4]TR &amp; BSS, TLF'!C152</f>
        <v>0</v>
      </c>
      <c r="D67" s="751"/>
      <c r="E67" s="751">
        <f>'[4]TR &amp; BSS, TLF'!E152</f>
        <v>0</v>
      </c>
      <c r="F67" s="751">
        <f>'[4]TR &amp; BSS, TLF'!F152</f>
        <v>0</v>
      </c>
      <c r="G67" s="751">
        <f>'[4]TR &amp; BSS, TLF'!G152</f>
        <v>0</v>
      </c>
      <c r="H67" s="752">
        <f>'[4]TR &amp; BSS, TLF'!H152</f>
        <v>0</v>
      </c>
    </row>
    <row r="68" spans="1:8" hidden="1" x14ac:dyDescent="0.2">
      <c r="A68" s="16" t="s">
        <v>198</v>
      </c>
      <c r="B68" s="12" t="s">
        <v>88</v>
      </c>
      <c r="C68" s="702">
        <f>'[4]Gen. Energy Cost'!E12</f>
        <v>7.3316677221342603</v>
      </c>
      <c r="D68" s="702"/>
      <c r="E68" s="702">
        <f>'[4]Gen. Energy Cost'!Q12</f>
        <v>8.6738083436063391</v>
      </c>
      <c r="F68" s="702">
        <f>'[4]Gen. Energy Cost'!W12</f>
        <v>8.4798297627528996</v>
      </c>
      <c r="G68" s="702">
        <f>'[4]Gen. Energy Cost'!AC12</f>
        <v>7.3627664728478104</v>
      </c>
      <c r="H68" s="703">
        <f>'[4]Gen. Energy Cost'!AI12</f>
        <v>6.9896684682931802</v>
      </c>
    </row>
    <row r="69" spans="1:8" ht="13.2" hidden="1" thickBot="1" x14ac:dyDescent="0.25">
      <c r="A69" s="10" t="s">
        <v>51</v>
      </c>
      <c r="B69" s="32" t="s">
        <v>88</v>
      </c>
      <c r="C69" s="706">
        <f t="shared" ref="C69:H69" si="11">+(1+C67)*C68</f>
        <v>7.3316677221342603</v>
      </c>
      <c r="D69" s="706"/>
      <c r="E69" s="706">
        <f t="shared" si="11"/>
        <v>8.6738083436063391</v>
      </c>
      <c r="F69" s="706">
        <f t="shared" si="11"/>
        <v>8.4798297627528996</v>
      </c>
      <c r="G69" s="706">
        <f t="shared" si="11"/>
        <v>7.3627664728478104</v>
      </c>
      <c r="H69" s="707">
        <f t="shared" si="11"/>
        <v>6.9896684682931802</v>
      </c>
    </row>
    <row r="70" spans="1:8" hidden="1" x14ac:dyDescent="0.2"/>
    <row r="71" spans="1:8" ht="25.2" hidden="1" x14ac:dyDescent="0.2">
      <c r="A71" s="339" t="s">
        <v>199</v>
      </c>
      <c r="B71" s="340" t="s">
        <v>88</v>
      </c>
      <c r="C71" s="393">
        <f>SUMPRODUCT(C59:H59,'[4]TR &amp; BSS, TLF'!C139:H139)/SUM('[4]TR &amp; BSS, TLF'!C139:H139)</f>
        <v>10.968483237248103</v>
      </c>
      <c r="D71" s="331"/>
      <c r="E71" s="165"/>
      <c r="F71" s="345" t="s">
        <v>602</v>
      </c>
      <c r="G71" s="165"/>
    </row>
    <row r="72" spans="1:8" ht="25.2" hidden="1" x14ac:dyDescent="0.2">
      <c r="A72" s="341" t="s">
        <v>200</v>
      </c>
      <c r="B72" s="342" t="s">
        <v>88</v>
      </c>
      <c r="C72" s="394">
        <f>SUMPRODUCT(C64:H64,'[4]TR &amp; BSS, TLF'!C145:H145)/SUM('[4]TR &amp; BSS, TLF'!C145:H145)</f>
        <v>14.259028208422526</v>
      </c>
      <c r="D72" s="331"/>
      <c r="E72" s="165"/>
      <c r="F72" s="346" t="s">
        <v>601</v>
      </c>
      <c r="G72" s="165"/>
    </row>
    <row r="73" spans="1:8" ht="25.8" hidden="1" thickBot="1" x14ac:dyDescent="0.25">
      <c r="A73" s="343" t="s">
        <v>201</v>
      </c>
      <c r="B73" s="344" t="s">
        <v>88</v>
      </c>
      <c r="C73" s="395">
        <f>SUMPRODUCT(C69:H69,'[4]TR &amp; BSS, TLF'!C151:H151)/SUM('[4]TR &amp; BSS, TLF'!C151:H151)</f>
        <v>6.5810899423488545</v>
      </c>
      <c r="D73" s="331"/>
      <c r="E73" s="165"/>
      <c r="G73" s="165"/>
      <c r="H73" s="70"/>
    </row>
    <row r="74" spans="1:8" hidden="1" x14ac:dyDescent="0.2">
      <c r="D74" s="165"/>
    </row>
    <row r="75" spans="1:8" hidden="1" x14ac:dyDescent="0.2">
      <c r="D75" s="165"/>
    </row>
    <row r="76" spans="1:8" ht="26.25" hidden="1" customHeight="1" thickBot="1" x14ac:dyDescent="0.25">
      <c r="A76" s="1" t="s">
        <v>991</v>
      </c>
    </row>
    <row r="77" spans="1:8" ht="25.2" hidden="1" x14ac:dyDescent="0.2">
      <c r="A77" s="339" t="s">
        <v>199</v>
      </c>
      <c r="B77" s="340" t="s">
        <v>88</v>
      </c>
      <c r="C77" s="393">
        <f>'[4]energy cost calc'!E12</f>
        <v>12.838471152893501</v>
      </c>
      <c r="D77" s="165"/>
    </row>
    <row r="78" spans="1:8" ht="25.2" hidden="1" x14ac:dyDescent="0.2">
      <c r="A78" s="341" t="s">
        <v>200</v>
      </c>
      <c r="B78" s="342" t="s">
        <v>88</v>
      </c>
      <c r="C78" s="394">
        <f>'[4]energy cost calc'!E13</f>
        <v>16.846442372710001</v>
      </c>
      <c r="D78" s="165"/>
    </row>
    <row r="79" spans="1:8" ht="25.8" hidden="1" thickBot="1" x14ac:dyDescent="0.25">
      <c r="A79" s="343" t="s">
        <v>201</v>
      </c>
      <c r="B79" s="344" t="s">
        <v>88</v>
      </c>
      <c r="C79" s="395">
        <f>'[4]energy cost calc'!E14</f>
        <v>7.7525940167199199</v>
      </c>
      <c r="D79" s="165"/>
    </row>
    <row r="80" spans="1:8" ht="14.25" hidden="1" customHeight="1" x14ac:dyDescent="0.2"/>
    <row r="81" spans="1:8" ht="14.25" hidden="1" customHeight="1" x14ac:dyDescent="0.2"/>
    <row r="82" spans="1:8" ht="14.25" hidden="1" customHeight="1" thickBot="1" x14ac:dyDescent="0.25">
      <c r="A82" s="1" t="s">
        <v>992</v>
      </c>
    </row>
    <row r="83" spans="1:8" ht="36.75" hidden="1" customHeight="1" x14ac:dyDescent="0.2">
      <c r="A83" s="339" t="s">
        <v>199</v>
      </c>
      <c r="B83" s="340" t="s">
        <v>88</v>
      </c>
      <c r="C83" s="393">
        <f>'[4]energy cost calc'!C12</f>
        <v>12.803171901992799</v>
      </c>
      <c r="D83" s="165"/>
    </row>
    <row r="84" spans="1:8" ht="38.25" hidden="1" customHeight="1" x14ac:dyDescent="0.2">
      <c r="A84" s="341" t="s">
        <v>200</v>
      </c>
      <c r="B84" s="342" t="s">
        <v>88</v>
      </c>
      <c r="C84" s="394">
        <f>'[4]energy cost calc'!C13</f>
        <v>16.830587174965899</v>
      </c>
      <c r="D84" s="165"/>
    </row>
    <row r="85" spans="1:8" ht="45" hidden="1" customHeight="1" thickBot="1" x14ac:dyDescent="0.25">
      <c r="A85" s="343" t="s">
        <v>201</v>
      </c>
      <c r="B85" s="344" t="s">
        <v>88</v>
      </c>
      <c r="C85" s="395">
        <f>'[4]energy cost calc'!C14</f>
        <v>7.7322532768237302</v>
      </c>
      <c r="D85" s="165"/>
    </row>
    <row r="86" spans="1:8" ht="14.25" hidden="1" customHeight="1" x14ac:dyDescent="0.2">
      <c r="D86" s="165"/>
    </row>
    <row r="87" spans="1:8" ht="14.25" customHeight="1" x14ac:dyDescent="0.2"/>
    <row r="88" spans="1:8" ht="18" hidden="1" customHeight="1" x14ac:dyDescent="0.2"/>
    <row r="89" spans="1:8" ht="14.25" hidden="1" customHeight="1" x14ac:dyDescent="0.2"/>
    <row r="90" spans="1:8" ht="14.25" customHeight="1" x14ac:dyDescent="0.2"/>
    <row r="91" spans="1:8" ht="14.25" hidden="1" customHeight="1" x14ac:dyDescent="0.3">
      <c r="A91" s="1674" t="s">
        <v>993</v>
      </c>
    </row>
    <row r="92" spans="1:8" ht="14.25" customHeight="1" x14ac:dyDescent="0.2"/>
    <row r="93" spans="1:8" ht="14.25" customHeight="1" thickBot="1" x14ac:dyDescent="0.25">
      <c r="A93" s="105" t="s">
        <v>990</v>
      </c>
      <c r="B93" s="106"/>
      <c r="C93" s="52"/>
      <c r="D93" s="52"/>
      <c r="E93" s="52"/>
      <c r="F93" s="52"/>
      <c r="G93" s="52"/>
      <c r="H93" s="52"/>
    </row>
    <row r="94" spans="1:8" ht="14.25" customHeight="1" x14ac:dyDescent="0.2">
      <c r="A94" s="94" t="s">
        <v>44</v>
      </c>
      <c r="B94" s="95" t="s">
        <v>36</v>
      </c>
      <c r="C94" s="427">
        <f>C35</f>
        <v>46023</v>
      </c>
      <c r="D94" s="427">
        <f t="shared" ref="D94:H94" si="12">D35</f>
        <v>46054</v>
      </c>
      <c r="E94" s="427">
        <f t="shared" si="12"/>
        <v>46082</v>
      </c>
      <c r="F94" s="427">
        <f t="shared" si="12"/>
        <v>46113</v>
      </c>
      <c r="G94" s="427">
        <f t="shared" si="12"/>
        <v>46143</v>
      </c>
      <c r="H94" s="427">
        <f t="shared" si="12"/>
        <v>46174</v>
      </c>
    </row>
    <row r="95" spans="1:8" ht="14.25" customHeight="1" x14ac:dyDescent="0.2">
      <c r="A95" s="17"/>
      <c r="B95" s="8"/>
      <c r="C95" s="12"/>
      <c r="D95" s="12"/>
      <c r="E95" s="12"/>
      <c r="F95" s="12"/>
      <c r="G95" s="12"/>
      <c r="H95" s="15"/>
    </row>
    <row r="96" spans="1:8" ht="14.25" customHeight="1" x14ac:dyDescent="0.2">
      <c r="A96" s="17" t="s">
        <v>603</v>
      </c>
      <c r="B96" s="8"/>
      <c r="C96" s="12"/>
      <c r="D96" s="12"/>
      <c r="E96" s="12"/>
      <c r="F96" s="12"/>
      <c r="G96" s="12"/>
      <c r="H96" s="15"/>
    </row>
    <row r="97" spans="1:8" ht="14.25" customHeight="1" x14ac:dyDescent="0.2">
      <c r="A97" s="16" t="s">
        <v>48</v>
      </c>
      <c r="B97" s="12" t="s">
        <v>37</v>
      </c>
      <c r="C97" s="1675">
        <f>'TR &amp; BSS, TLF voltage wise'!C116</f>
        <v>0</v>
      </c>
      <c r="D97" s="1675">
        <f>'TR &amp; BSS, TLF voltage wise'!D116</f>
        <v>0</v>
      </c>
      <c r="E97" s="1675">
        <f>'TR &amp; BSS, TLF voltage wise'!E116</f>
        <v>0</v>
      </c>
      <c r="F97" s="1675">
        <f>'TR &amp; BSS, TLF voltage wise'!F116</f>
        <v>0</v>
      </c>
      <c r="G97" s="1675">
        <f>'TR &amp; BSS, TLF voltage wise'!G116</f>
        <v>0</v>
      </c>
      <c r="H97" s="1681">
        <f>'TR &amp; BSS, TLF voltage wise'!H116</f>
        <v>0</v>
      </c>
    </row>
    <row r="98" spans="1:8" ht="14.25" customHeight="1" x14ac:dyDescent="0.2">
      <c r="A98" s="16" t="s">
        <v>194</v>
      </c>
      <c r="B98" s="12" t="s">
        <v>88</v>
      </c>
      <c r="C98" s="702" t="e">
        <f>'Gen. Energy Cost 33'!E10</f>
        <v>#REF!</v>
      </c>
      <c r="D98" s="702" t="e">
        <f>'Gen. Energy Cost 33'!K10</f>
        <v>#REF!</v>
      </c>
      <c r="E98" s="702" t="e">
        <f>'Gen. Energy Cost 33'!Q10</f>
        <v>#REF!</v>
      </c>
      <c r="F98" s="702" t="e">
        <f>'Gen. Energy Cost 33'!W10</f>
        <v>#REF!</v>
      </c>
      <c r="G98" s="702" t="e">
        <f>'Gen. Energy Cost 33'!AC10</f>
        <v>#REF!</v>
      </c>
      <c r="H98" s="703" t="e">
        <f>'Gen. Energy Cost 33'!AI10</f>
        <v>#REF!</v>
      </c>
    </row>
    <row r="99" spans="1:8" ht="14.25" customHeight="1" x14ac:dyDescent="0.2">
      <c r="A99" s="1076" t="s">
        <v>49</v>
      </c>
      <c r="B99" s="418" t="s">
        <v>88</v>
      </c>
      <c r="C99" s="1388" t="e">
        <f t="shared" ref="C99:H99" si="13">+(1+C97)*C98</f>
        <v>#REF!</v>
      </c>
      <c r="D99" s="1388" t="e">
        <f t="shared" si="13"/>
        <v>#REF!</v>
      </c>
      <c r="E99" s="1388" t="e">
        <f t="shared" si="13"/>
        <v>#REF!</v>
      </c>
      <c r="F99" s="1388" t="e">
        <f t="shared" si="13"/>
        <v>#REF!</v>
      </c>
      <c r="G99" s="1388" t="e">
        <f t="shared" si="13"/>
        <v>#REF!</v>
      </c>
      <c r="H99" s="1677" t="e">
        <f t="shared" si="13"/>
        <v>#REF!</v>
      </c>
    </row>
    <row r="100" spans="1:8" ht="14.25" customHeight="1" x14ac:dyDescent="0.2">
      <c r="A100" s="1076" t="s">
        <v>996</v>
      </c>
      <c r="B100" s="418" t="s">
        <v>56</v>
      </c>
      <c r="C100" s="1388">
        <f>'TR &amp; BSS, TLF voltage wise'!C115</f>
        <v>735.89994061729999</v>
      </c>
      <c r="D100" s="1388">
        <f>'TR &amp; BSS, TLF voltage wise'!D115</f>
        <v>687.64341286753199</v>
      </c>
      <c r="E100" s="1388">
        <f>'TR &amp; BSS, TLF voltage wise'!E115</f>
        <v>789.18650285225999</v>
      </c>
      <c r="F100" s="1388">
        <f>'TR &amp; BSS, TLF voltage wise'!F115</f>
        <v>734.79712329444396</v>
      </c>
      <c r="G100" s="1388">
        <f>'TR &amp; BSS, TLF voltage wise'!G115</f>
        <v>781.18956770391105</v>
      </c>
      <c r="H100" s="1677">
        <f>'TR &amp; BSS, TLF voltage wise'!H115</f>
        <v>772.73219055566301</v>
      </c>
    </row>
    <row r="101" spans="1:8" ht="14.25" customHeight="1" x14ac:dyDescent="0.2">
      <c r="A101" s="6"/>
      <c r="B101" s="8"/>
      <c r="C101" s="702"/>
      <c r="D101" s="702"/>
      <c r="E101" s="702"/>
      <c r="F101" s="702"/>
      <c r="G101" s="702"/>
      <c r="H101" s="703"/>
    </row>
    <row r="102" spans="1:8" ht="14.25" customHeight="1" x14ac:dyDescent="0.2">
      <c r="A102" s="17" t="s">
        <v>32</v>
      </c>
      <c r="B102" s="8"/>
      <c r="C102" s="702"/>
      <c r="D102" s="702"/>
      <c r="E102" s="702"/>
      <c r="F102" s="702"/>
      <c r="G102" s="702"/>
      <c r="H102" s="703"/>
    </row>
    <row r="103" spans="1:8" ht="14.25" customHeight="1" x14ac:dyDescent="0.2">
      <c r="A103" s="16" t="s">
        <v>195</v>
      </c>
      <c r="B103" s="12" t="s">
        <v>37</v>
      </c>
      <c r="C103" s="751">
        <f>'TR &amp; BSS, TLF voltage wise'!C122</f>
        <v>0</v>
      </c>
      <c r="D103" s="751">
        <f>'TR &amp; BSS, TLF voltage wise'!D122</f>
        <v>0</v>
      </c>
      <c r="E103" s="751">
        <f>'TR &amp; BSS, TLF voltage wise'!E122</f>
        <v>0</v>
      </c>
      <c r="F103" s="751">
        <f>'TR &amp; BSS, TLF voltage wise'!F122</f>
        <v>0</v>
      </c>
      <c r="G103" s="751">
        <f>'TR &amp; BSS, TLF voltage wise'!G122</f>
        <v>0</v>
      </c>
      <c r="H103" s="752">
        <f>'TR &amp; BSS, TLF voltage wise'!H122</f>
        <v>0</v>
      </c>
    </row>
    <row r="104" spans="1:8" ht="14.25" customHeight="1" x14ac:dyDescent="0.2">
      <c r="A104" s="16" t="s">
        <v>196</v>
      </c>
      <c r="B104" s="418" t="s">
        <v>88</v>
      </c>
      <c r="C104" s="1388" t="e">
        <f>'Gen. Energy Cost 33'!E11</f>
        <v>#REF!</v>
      </c>
      <c r="D104" s="1388" t="e">
        <f>'Gen. Energy Cost 33'!K11</f>
        <v>#REF!</v>
      </c>
      <c r="E104" s="1388" t="e">
        <f>'Gen. Energy Cost 33'!Q11</f>
        <v>#REF!</v>
      </c>
      <c r="F104" s="1388" t="e">
        <f>'Gen. Energy Cost 33'!W11</f>
        <v>#REF!</v>
      </c>
      <c r="G104" s="1388" t="e">
        <f>'Gen. Energy Cost 33'!AC11</f>
        <v>#REF!</v>
      </c>
      <c r="H104" s="1677" t="e">
        <f>'Gen. Energy Cost 33'!AI11</f>
        <v>#REF!</v>
      </c>
    </row>
    <row r="105" spans="1:8" ht="14.25" customHeight="1" x14ac:dyDescent="0.2">
      <c r="A105" s="1076" t="s">
        <v>50</v>
      </c>
      <c r="B105" s="418" t="s">
        <v>88</v>
      </c>
      <c r="C105" s="1388" t="e">
        <f t="shared" ref="C105:H105" si="14">+(1+C103)*C104</f>
        <v>#REF!</v>
      </c>
      <c r="D105" s="1388" t="e">
        <f t="shared" si="14"/>
        <v>#REF!</v>
      </c>
      <c r="E105" s="1388" t="e">
        <f t="shared" si="14"/>
        <v>#REF!</v>
      </c>
      <c r="F105" s="1388" t="e">
        <f t="shared" si="14"/>
        <v>#REF!</v>
      </c>
      <c r="G105" s="1388" t="e">
        <f t="shared" si="14"/>
        <v>#REF!</v>
      </c>
      <c r="H105" s="1677" t="e">
        <f t="shared" si="14"/>
        <v>#REF!</v>
      </c>
    </row>
    <row r="106" spans="1:8" ht="14.25" customHeight="1" x14ac:dyDescent="0.2">
      <c r="A106" s="1076" t="s">
        <v>996</v>
      </c>
      <c r="B106" s="418" t="s">
        <v>56</v>
      </c>
      <c r="C106" s="1388">
        <f>'TR &amp; BSS, TLF voltage wise'!C121</f>
        <v>294.10085654952002</v>
      </c>
      <c r="D106" s="1388">
        <f>'TR &amp; BSS, TLF voltage wise'!D121</f>
        <v>274.815237184735</v>
      </c>
      <c r="E106" s="1388">
        <f>'TR &amp; BSS, TLF voltage wise'!E121</f>
        <v>315.396718569477</v>
      </c>
      <c r="F106" s="1388">
        <f>'TR &amp; BSS, TLF voltage wise'!F121</f>
        <v>293.66011793633601</v>
      </c>
      <c r="G106" s="1388">
        <f>'TR &amp; BSS, TLF voltage wise'!G121</f>
        <v>312.20076033237302</v>
      </c>
      <c r="H106" s="1388">
        <f>'TR &amp; BSS, TLF voltage wise'!H121</f>
        <v>308.820787422774</v>
      </c>
    </row>
    <row r="107" spans="1:8" ht="14.25" customHeight="1" x14ac:dyDescent="0.2">
      <c r="A107" s="6"/>
      <c r="B107" s="8"/>
      <c r="C107" s="702"/>
      <c r="D107" s="702"/>
      <c r="E107" s="702"/>
      <c r="F107" s="702"/>
      <c r="G107" s="702"/>
      <c r="H107" s="703"/>
    </row>
    <row r="108" spans="1:8" ht="14.25" customHeight="1" x14ac:dyDescent="0.2">
      <c r="A108" s="17" t="s">
        <v>33</v>
      </c>
      <c r="B108" s="8"/>
      <c r="C108" s="702"/>
      <c r="D108" s="702"/>
      <c r="E108" s="702"/>
      <c r="F108" s="702"/>
      <c r="G108" s="702"/>
      <c r="H108" s="703"/>
    </row>
    <row r="109" spans="1:8" ht="14.25" customHeight="1" x14ac:dyDescent="0.2">
      <c r="A109" s="16" t="s">
        <v>197</v>
      </c>
      <c r="B109" s="418" t="s">
        <v>37</v>
      </c>
      <c r="C109" s="1678">
        <f>'TR &amp; BSS, TLF voltage wise'!C128</f>
        <v>0</v>
      </c>
      <c r="D109" s="1678">
        <f>'TR &amp; BSS, TLF voltage wise'!D128</f>
        <v>0</v>
      </c>
      <c r="E109" s="1678">
        <f>'TR &amp; BSS, TLF voltage wise'!E128</f>
        <v>0</v>
      </c>
      <c r="F109" s="1678">
        <f>'TR &amp; BSS, TLF voltage wise'!F128</f>
        <v>0</v>
      </c>
      <c r="G109" s="1678">
        <f>'TR &amp; BSS, TLF voltage wise'!G128</f>
        <v>0</v>
      </c>
      <c r="H109" s="1678">
        <f>'TR &amp; BSS, TLF voltage wise'!H128</f>
        <v>0</v>
      </c>
    </row>
    <row r="110" spans="1:8" ht="14.25" customHeight="1" x14ac:dyDescent="0.2">
      <c r="A110" s="16" t="s">
        <v>198</v>
      </c>
      <c r="B110" s="418" t="s">
        <v>88</v>
      </c>
      <c r="C110" s="1388" t="e">
        <f>'Gen. Energy Cost 33'!E12</f>
        <v>#REF!</v>
      </c>
      <c r="D110" s="1388" t="e">
        <f>'Gen. Energy Cost 33'!K12</f>
        <v>#REF!</v>
      </c>
      <c r="E110" s="1388" t="e">
        <f>'Gen. Energy Cost 33'!Q12</f>
        <v>#REF!</v>
      </c>
      <c r="F110" s="1388" t="e">
        <f>'Gen. Energy Cost 33'!W12</f>
        <v>#REF!</v>
      </c>
      <c r="G110" s="1388" t="e">
        <f>'Gen. Energy Cost 33'!AC12</f>
        <v>#REF!</v>
      </c>
      <c r="H110" s="1677" t="e">
        <f>'Gen. Energy Cost 33'!AI12</f>
        <v>#REF!</v>
      </c>
    </row>
    <row r="111" spans="1:8" ht="14.25" customHeight="1" x14ac:dyDescent="0.2">
      <c r="A111" s="1076" t="s">
        <v>51</v>
      </c>
      <c r="B111" s="418" t="s">
        <v>88</v>
      </c>
      <c r="C111" s="1388" t="e">
        <f t="shared" ref="C111:H111" si="15">+(1+C109)*C110</f>
        <v>#REF!</v>
      </c>
      <c r="D111" s="1388" t="e">
        <f t="shared" si="15"/>
        <v>#REF!</v>
      </c>
      <c r="E111" s="1388" t="e">
        <f t="shared" si="15"/>
        <v>#REF!</v>
      </c>
      <c r="F111" s="1388" t="e">
        <f t="shared" si="15"/>
        <v>#REF!</v>
      </c>
      <c r="G111" s="1388" t="e">
        <f t="shared" si="15"/>
        <v>#REF!</v>
      </c>
      <c r="H111" s="1677" t="e">
        <f t="shared" si="15"/>
        <v>#REF!</v>
      </c>
    </row>
    <row r="112" spans="1:8" ht="14.25" customHeight="1" thickBot="1" x14ac:dyDescent="0.25">
      <c r="A112" s="1682" t="s">
        <v>996</v>
      </c>
      <c r="B112" s="1679" t="s">
        <v>56</v>
      </c>
      <c r="C112" s="1680">
        <f>'TR &amp; BSS, TLF voltage wise'!C127</f>
        <v>265.597689835469</v>
      </c>
      <c r="D112" s="1680">
        <f>'TR &amp; BSS, TLF voltage wise'!D127</f>
        <v>248.181161334232</v>
      </c>
      <c r="E112" s="1680">
        <f>'TR &amp; BSS, TLF voltage wise'!E127</f>
        <v>284.82963571252299</v>
      </c>
      <c r="F112" s="1680">
        <f>'TR &amp; BSS, TLF voltage wise'!F127</f>
        <v>265.199665977748</v>
      </c>
      <c r="G112" s="1680">
        <f>'TR &amp; BSS, TLF voltage wise'!G127</f>
        <v>281.94341792130598</v>
      </c>
      <c r="H112" s="1680">
        <f>'TR &amp; BSS, TLF voltage wise'!H127</f>
        <v>278.89101947871598</v>
      </c>
    </row>
    <row r="113" spans="1:8" ht="14.25" customHeight="1" thickBot="1" x14ac:dyDescent="0.25"/>
    <row r="114" spans="1:8" ht="31.5" customHeight="1" x14ac:dyDescent="0.2">
      <c r="A114" s="339" t="s">
        <v>199</v>
      </c>
      <c r="B114" s="340" t="s">
        <v>88</v>
      </c>
      <c r="C114" s="393" t="e">
        <f>SUMPRODUCT(C99:H99,C100:H100)/SUM(C100:H100)</f>
        <v>#REF!</v>
      </c>
      <c r="D114" s="331"/>
      <c r="E114" s="165">
        <v>10.714665716128788</v>
      </c>
      <c r="F114" s="345" t="s">
        <v>602</v>
      </c>
      <c r="G114" s="165"/>
    </row>
    <row r="115" spans="1:8" ht="28.5" customHeight="1" x14ac:dyDescent="0.2">
      <c r="A115" s="341" t="s">
        <v>200</v>
      </c>
      <c r="B115" s="342" t="s">
        <v>88</v>
      </c>
      <c r="C115" s="394" t="e">
        <f>SUMPRODUCT(C105:H105,C106:H106)/SUM(C106:H106)</f>
        <v>#REF!</v>
      </c>
      <c r="D115" s="331"/>
      <c r="E115" s="165">
        <v>13.929065430967425</v>
      </c>
      <c r="F115" s="346" t="s">
        <v>601</v>
      </c>
      <c r="G115" s="165"/>
    </row>
    <row r="116" spans="1:8" ht="35.25" customHeight="1" thickBot="1" x14ac:dyDescent="0.25">
      <c r="A116" s="343" t="s">
        <v>201</v>
      </c>
      <c r="B116" s="344" t="s">
        <v>88</v>
      </c>
      <c r="C116" s="395" t="e">
        <f>SUMPRODUCT(C111:H111,C112:H112/SUM(C112:H112))</f>
        <v>#REF!</v>
      </c>
      <c r="D116" s="331"/>
      <c r="E116" s="165">
        <v>6.4287994296772712</v>
      </c>
      <c r="G116" s="165"/>
      <c r="H116" s="70"/>
    </row>
    <row r="117" spans="1:8" ht="14.25" customHeight="1" x14ac:dyDescent="0.2"/>
    <row r="118" spans="1:8" ht="14.25" customHeight="1" x14ac:dyDescent="0.2"/>
    <row r="119" spans="1:8" ht="14.25" customHeight="1" x14ac:dyDescent="0.2"/>
    <row r="120" spans="1:8" ht="13.2" thickBot="1" x14ac:dyDescent="0.25">
      <c r="A120" s="105" t="s">
        <v>991</v>
      </c>
      <c r="B120" s="106"/>
      <c r="C120" s="52"/>
      <c r="D120" s="52"/>
      <c r="E120" s="52"/>
      <c r="F120" s="52"/>
      <c r="G120" s="52"/>
      <c r="H120" s="52"/>
    </row>
    <row r="121" spans="1:8" x14ac:dyDescent="0.2">
      <c r="A121" s="94" t="s">
        <v>44</v>
      </c>
      <c r="B121" s="95" t="s">
        <v>36</v>
      </c>
      <c r="C121" s="427">
        <f>C94</f>
        <v>46023</v>
      </c>
      <c r="D121" s="427">
        <f t="shared" ref="D121:H121" si="16">D94</f>
        <v>46054</v>
      </c>
      <c r="E121" s="427">
        <f t="shared" si="16"/>
        <v>46082</v>
      </c>
      <c r="F121" s="427">
        <f t="shared" si="16"/>
        <v>46113</v>
      </c>
      <c r="G121" s="427">
        <f t="shared" si="16"/>
        <v>46143</v>
      </c>
      <c r="H121" s="427">
        <f t="shared" si="16"/>
        <v>46174</v>
      </c>
    </row>
    <row r="122" spans="1:8" x14ac:dyDescent="0.2">
      <c r="A122" s="17"/>
      <c r="B122" s="8"/>
      <c r="C122" s="12"/>
      <c r="D122" s="12"/>
      <c r="E122" s="12"/>
      <c r="F122" s="12"/>
      <c r="G122" s="12"/>
      <c r="H122" s="15"/>
    </row>
    <row r="123" spans="1:8" x14ac:dyDescent="0.2">
      <c r="A123" s="17" t="s">
        <v>603</v>
      </c>
      <c r="B123" s="8"/>
      <c r="C123" s="12"/>
      <c r="D123" s="12"/>
      <c r="E123" s="12"/>
      <c r="F123" s="12"/>
      <c r="G123" s="12"/>
      <c r="H123" s="15"/>
    </row>
    <row r="124" spans="1:8" x14ac:dyDescent="0.2">
      <c r="A124" s="16" t="s">
        <v>48</v>
      </c>
      <c r="B124" s="12" t="s">
        <v>37</v>
      </c>
      <c r="C124" s="1675">
        <f>'TR &amp; BSS, TLF voltage wise'!C79</f>
        <v>2.7004477913294706E-2</v>
      </c>
      <c r="D124" s="1675">
        <f>'TR &amp; BSS, TLF voltage wise'!D79</f>
        <v>2.7004477913294706E-2</v>
      </c>
      <c r="E124" s="1675">
        <f>'TR &amp; BSS, TLF voltage wise'!E79</f>
        <v>2.7004477913294713E-2</v>
      </c>
      <c r="F124" s="1675">
        <f>'TR &amp; BSS, TLF voltage wise'!F79</f>
        <v>2.700447791329471E-2</v>
      </c>
      <c r="G124" s="1675">
        <f>'TR &amp; BSS, TLF voltage wise'!G79</f>
        <v>2.7004477913294713E-2</v>
      </c>
      <c r="H124" s="1675">
        <f>'TR &amp; BSS, TLF voltage wise'!H79</f>
        <v>2.7004477913294717E-2</v>
      </c>
    </row>
    <row r="125" spans="1:8" x14ac:dyDescent="0.2">
      <c r="A125" s="16" t="s">
        <v>194</v>
      </c>
      <c r="B125" s="12" t="s">
        <v>88</v>
      </c>
      <c r="C125" s="702" t="e">
        <f>'Gen. Energy Cost 132'!E10</f>
        <v>#REF!</v>
      </c>
      <c r="D125" s="702" t="e">
        <f>'Gen. Energy Cost 132'!K10</f>
        <v>#REF!</v>
      </c>
      <c r="E125" s="702" t="e">
        <f>'Gen. Energy Cost 132'!Q10</f>
        <v>#REF!</v>
      </c>
      <c r="F125" s="702" t="e">
        <f>'Gen. Energy Cost 132'!W10</f>
        <v>#REF!</v>
      </c>
      <c r="G125" s="702" t="e">
        <f>'Gen. Energy Cost 132'!AC10</f>
        <v>#REF!</v>
      </c>
      <c r="H125" s="703" t="e">
        <f>'Gen. Energy Cost 132'!AI10</f>
        <v>#REF!</v>
      </c>
    </row>
    <row r="126" spans="1:8" x14ac:dyDescent="0.2">
      <c r="A126" s="1076" t="s">
        <v>49</v>
      </c>
      <c r="B126" s="418" t="s">
        <v>88</v>
      </c>
      <c r="C126" s="1388" t="e">
        <f t="shared" ref="C126:H126" si="17">+(1+C124)*C125</f>
        <v>#REF!</v>
      </c>
      <c r="D126" s="1388" t="e">
        <f t="shared" si="17"/>
        <v>#REF!</v>
      </c>
      <c r="E126" s="1388" t="e">
        <f t="shared" si="17"/>
        <v>#REF!</v>
      </c>
      <c r="F126" s="1388" t="e">
        <f t="shared" si="17"/>
        <v>#REF!</v>
      </c>
      <c r="G126" s="1388" t="e">
        <f t="shared" si="17"/>
        <v>#REF!</v>
      </c>
      <c r="H126" s="1677" t="e">
        <f t="shared" si="17"/>
        <v>#REF!</v>
      </c>
    </row>
    <row r="127" spans="1:8" x14ac:dyDescent="0.2">
      <c r="A127" s="1076" t="s">
        <v>996</v>
      </c>
      <c r="B127" s="418" t="s">
        <v>56</v>
      </c>
      <c r="C127" s="1388">
        <f>'TR &amp; BSS, TLF voltage wise'!C78</f>
        <v>661.49876922741498</v>
      </c>
      <c r="D127" s="1388">
        <f>'TR &amp; BSS, TLF voltage wise'!D78</f>
        <v>625.450960778065</v>
      </c>
      <c r="E127" s="1388">
        <f>'TR &amp; BSS, TLF voltage wise'!E78</f>
        <v>719.196209778303</v>
      </c>
      <c r="F127" s="1388">
        <f>'TR &amp; BSS, TLF voltage wise'!F78</f>
        <v>652.10494830072003</v>
      </c>
      <c r="G127" s="1388">
        <f>'TR &amp; BSS, TLF voltage wise'!G78</f>
        <v>163.16693057260699</v>
      </c>
      <c r="H127" s="1388">
        <f>'TR &amp; BSS, TLF voltage wise'!H78</f>
        <v>636.68499759382303</v>
      </c>
    </row>
    <row r="128" spans="1:8" x14ac:dyDescent="0.2">
      <c r="A128" s="6"/>
      <c r="B128" s="8"/>
      <c r="C128" s="702"/>
      <c r="D128" s="702"/>
      <c r="E128" s="702"/>
      <c r="F128" s="702"/>
      <c r="G128" s="702"/>
      <c r="H128" s="703"/>
    </row>
    <row r="129" spans="1:8" x14ac:dyDescent="0.2">
      <c r="A129" s="17" t="s">
        <v>32</v>
      </c>
      <c r="B129" s="8"/>
      <c r="C129" s="702"/>
      <c r="D129" s="702"/>
      <c r="E129" s="702"/>
      <c r="F129" s="702"/>
      <c r="G129" s="702"/>
      <c r="H129" s="703"/>
    </row>
    <row r="130" spans="1:8" x14ac:dyDescent="0.2">
      <c r="A130" s="16" t="s">
        <v>195</v>
      </c>
      <c r="B130" s="12" t="s">
        <v>37</v>
      </c>
      <c r="C130" s="751">
        <f>'TR &amp; BSS, TLF voltage wise'!C85</f>
        <v>3.4488865050312713E-2</v>
      </c>
      <c r="D130" s="751">
        <f>'TR &amp; BSS, TLF voltage wise'!D85</f>
        <v>3.4488865050312713E-2</v>
      </c>
      <c r="E130" s="751">
        <f>'TR &amp; BSS, TLF voltage wise'!E85</f>
        <v>3.448886505031272E-2</v>
      </c>
      <c r="F130" s="751">
        <f>'TR &amp; BSS, TLF voltage wise'!F85</f>
        <v>3.448886505031272E-2</v>
      </c>
      <c r="G130" s="751">
        <f>'TR &amp; BSS, TLF voltage wise'!G85</f>
        <v>3.4488865050312713E-2</v>
      </c>
      <c r="H130" s="751">
        <f>'TR &amp; BSS, TLF voltage wise'!H85</f>
        <v>3.4488865050312713E-2</v>
      </c>
    </row>
    <row r="131" spans="1:8" x14ac:dyDescent="0.2">
      <c r="A131" s="16" t="s">
        <v>196</v>
      </c>
      <c r="B131" s="418" t="s">
        <v>88</v>
      </c>
      <c r="C131" s="1388" t="e">
        <f>'Gen. Energy Cost 132'!E11</f>
        <v>#REF!</v>
      </c>
      <c r="D131" s="702" t="e">
        <f>'Gen. Energy Cost 132'!K11</f>
        <v>#REF!</v>
      </c>
      <c r="E131" s="702" t="e">
        <f>'Gen. Energy Cost 132'!Q11</f>
        <v>#REF!</v>
      </c>
      <c r="F131" s="702" t="e">
        <f>'Gen. Energy Cost 132'!W11</f>
        <v>#REF!</v>
      </c>
      <c r="G131" s="702" t="e">
        <f>'Gen. Energy Cost 132'!AC11</f>
        <v>#REF!</v>
      </c>
      <c r="H131" s="703" t="e">
        <f>'Gen. Energy Cost 132'!AI11</f>
        <v>#REF!</v>
      </c>
    </row>
    <row r="132" spans="1:8" x14ac:dyDescent="0.2">
      <c r="A132" s="1076" t="s">
        <v>50</v>
      </c>
      <c r="B132" s="418" t="s">
        <v>88</v>
      </c>
      <c r="C132" s="1388" t="e">
        <f t="shared" ref="C132:H132" si="18">+(1+C130)*C131</f>
        <v>#REF!</v>
      </c>
      <c r="D132" s="1388" t="e">
        <f t="shared" si="18"/>
        <v>#REF!</v>
      </c>
      <c r="E132" s="1388" t="e">
        <f t="shared" si="18"/>
        <v>#REF!</v>
      </c>
      <c r="F132" s="1388" t="e">
        <f t="shared" si="18"/>
        <v>#REF!</v>
      </c>
      <c r="G132" s="1388" t="e">
        <f t="shared" si="18"/>
        <v>#REF!</v>
      </c>
      <c r="H132" s="1677" t="e">
        <f t="shared" si="18"/>
        <v>#REF!</v>
      </c>
    </row>
    <row r="133" spans="1:8" x14ac:dyDescent="0.2">
      <c r="A133" s="1076" t="s">
        <v>996</v>
      </c>
      <c r="B133" s="418" t="s">
        <v>56</v>
      </c>
      <c r="C133" s="1388">
        <f>'TR &amp; BSS, TLF voltage wise'!C84</f>
        <v>167.73529737018001</v>
      </c>
      <c r="D133" s="1388">
        <f>'TR &amp; BSS, TLF voltage wise'!D84</f>
        <v>158.59470610822399</v>
      </c>
      <c r="E133" s="1388">
        <f>'TR &amp; BSS, TLF voltage wise'!E84</f>
        <v>182.365554898255</v>
      </c>
      <c r="F133" s="1388">
        <f>'TR &amp; BSS, TLF voltage wise'!F84</f>
        <v>165.35331962527599</v>
      </c>
      <c r="G133" s="1388">
        <f>'TR &amp; BSS, TLF voltage wise'!G84</f>
        <v>41.374005355354903</v>
      </c>
      <c r="H133" s="1388">
        <f>'TR &amp; BSS, TLF voltage wise'!H84</f>
        <v>161.44330476572301</v>
      </c>
    </row>
    <row r="134" spans="1:8" x14ac:dyDescent="0.2">
      <c r="A134" s="6"/>
      <c r="B134" s="8"/>
      <c r="C134" s="702"/>
      <c r="D134" s="702"/>
      <c r="E134" s="702"/>
      <c r="F134" s="702"/>
      <c r="G134" s="702"/>
      <c r="H134" s="703"/>
    </row>
    <row r="135" spans="1:8" x14ac:dyDescent="0.2">
      <c r="A135" s="17" t="s">
        <v>33</v>
      </c>
      <c r="B135" s="8"/>
      <c r="C135" s="702"/>
      <c r="D135" s="702"/>
      <c r="E135" s="702"/>
      <c r="F135" s="702"/>
      <c r="G135" s="702"/>
      <c r="H135" s="703"/>
    </row>
    <row r="136" spans="1:8" x14ac:dyDescent="0.2">
      <c r="A136" s="16" t="s">
        <v>197</v>
      </c>
      <c r="B136" s="418" t="s">
        <v>37</v>
      </c>
      <c r="C136" s="1678">
        <f>'TR &amp; BSS, TLF voltage wise'!C91</f>
        <v>1.9115529309410857E-2</v>
      </c>
      <c r="D136" s="1678">
        <f>'TR &amp; BSS, TLF voltage wise'!D91</f>
        <v>1.9115529309410861E-2</v>
      </c>
      <c r="E136" s="1678">
        <f>'TR &amp; BSS, TLF voltage wise'!E91</f>
        <v>1.9115529309410861E-2</v>
      </c>
      <c r="F136" s="1678">
        <f>'TR &amp; BSS, TLF voltage wise'!F91</f>
        <v>1.9115529309410861E-2</v>
      </c>
      <c r="G136" s="1678">
        <f>'TR &amp; BSS, TLF voltage wise'!G91</f>
        <v>1.9115529309410864E-2</v>
      </c>
      <c r="H136" s="1678">
        <f>'TR &amp; BSS, TLF voltage wise'!H91</f>
        <v>1.9115529309410857E-2</v>
      </c>
    </row>
    <row r="137" spans="1:8" x14ac:dyDescent="0.2">
      <c r="A137" s="16" t="s">
        <v>198</v>
      </c>
      <c r="B137" s="418" t="s">
        <v>88</v>
      </c>
      <c r="C137" s="1388" t="e">
        <f>'Gen. Energy Cost 132'!E12</f>
        <v>#REF!</v>
      </c>
      <c r="D137" s="702" t="e">
        <f>'Gen. Energy Cost 132'!K12</f>
        <v>#REF!</v>
      </c>
      <c r="E137" s="702" t="e">
        <f>'Gen. Energy Cost 132'!Q12</f>
        <v>#REF!</v>
      </c>
      <c r="F137" s="702" t="e">
        <f>'Gen. Energy Cost 132'!W12</f>
        <v>#REF!</v>
      </c>
      <c r="G137" s="702" t="e">
        <f>'Gen. Energy Cost 132'!AC12</f>
        <v>#REF!</v>
      </c>
      <c r="H137" s="703" t="e">
        <f>'Gen. Energy Cost 132'!AI12</f>
        <v>#REF!</v>
      </c>
    </row>
    <row r="138" spans="1:8" x14ac:dyDescent="0.2">
      <c r="A138" s="1076" t="s">
        <v>51</v>
      </c>
      <c r="B138" s="418" t="s">
        <v>88</v>
      </c>
      <c r="C138" s="1388" t="e">
        <f t="shared" ref="C138:H138" si="19">+(1+C136)*C137</f>
        <v>#REF!</v>
      </c>
      <c r="D138" s="1388" t="e">
        <f t="shared" si="19"/>
        <v>#REF!</v>
      </c>
      <c r="E138" s="1388" t="e">
        <f t="shared" si="19"/>
        <v>#REF!</v>
      </c>
      <c r="F138" s="1388" t="e">
        <f t="shared" si="19"/>
        <v>#REF!</v>
      </c>
      <c r="G138" s="1388" t="e">
        <f t="shared" si="19"/>
        <v>#REF!</v>
      </c>
      <c r="H138" s="1677" t="e">
        <f t="shared" si="19"/>
        <v>#REF!</v>
      </c>
    </row>
    <row r="139" spans="1:8" ht="13.2" thickBot="1" x14ac:dyDescent="0.25">
      <c r="A139" s="1682" t="s">
        <v>996</v>
      </c>
      <c r="B139" s="1679" t="s">
        <v>56</v>
      </c>
      <c r="C139" s="1680">
        <f>'TR &amp; BSS, TLF voltage wise'!C90</f>
        <v>322.89178372262501</v>
      </c>
      <c r="D139" s="1680">
        <f>'TR &amp; BSS, TLF voltage wise'!D90</f>
        <v>305.296072723652</v>
      </c>
      <c r="E139" s="1680">
        <f>'TR &amp; BSS, TLF voltage wise'!E90</f>
        <v>351.05514601801599</v>
      </c>
      <c r="F139" s="1680">
        <f>'TR &amp; BSS, TLF voltage wise'!F90</f>
        <v>318.30645758734897</v>
      </c>
      <c r="G139" s="1680">
        <f>'TR &amp; BSS, TLF voltage wise'!G90</f>
        <v>79.645289920444597</v>
      </c>
      <c r="H139" s="1680">
        <f>'TR &amp; BSS, TLF voltage wise'!H90</f>
        <v>310.77964783306999</v>
      </c>
    </row>
    <row r="140" spans="1:8" x14ac:dyDescent="0.2">
      <c r="D140" s="165"/>
      <c r="E140" s="184"/>
    </row>
    <row r="141" spans="1:8" ht="13.2" thickBot="1" x14ac:dyDescent="0.25">
      <c r="D141" s="165"/>
      <c r="E141" s="184"/>
    </row>
    <row r="142" spans="1:8" ht="25.2" x14ac:dyDescent="0.2">
      <c r="A142" s="339" t="s">
        <v>199</v>
      </c>
      <c r="B142" s="340" t="s">
        <v>88</v>
      </c>
      <c r="C142" s="393" t="e">
        <f>SUMPRODUCT(C126:H126,C127:H127)/SUM(C127:H127)</f>
        <v>#REF!</v>
      </c>
      <c r="D142" s="165"/>
      <c r="E142" s="184">
        <v>8.8405809712749619</v>
      </c>
    </row>
    <row r="143" spans="1:8" ht="25.2" x14ac:dyDescent="0.2">
      <c r="A143" s="341" t="s">
        <v>200</v>
      </c>
      <c r="B143" s="342" t="s">
        <v>88</v>
      </c>
      <c r="C143" s="394" t="e">
        <f>SUMPRODUCT(C132:H132,C133:H133)/SUM(C133:H133)</f>
        <v>#REF!</v>
      </c>
      <c r="D143" s="165"/>
      <c r="E143" s="184">
        <v>11.545868516115819</v>
      </c>
    </row>
    <row r="144" spans="1:8" ht="25.8" thickBot="1" x14ac:dyDescent="0.25">
      <c r="A144" s="343" t="s">
        <v>201</v>
      </c>
      <c r="B144" s="344" t="s">
        <v>88</v>
      </c>
      <c r="C144" s="395" t="e">
        <f>SUMPRODUCT(C138:H138,C139:H139)/SUM(C139:H139)</f>
        <v>#REF!</v>
      </c>
      <c r="D144" s="165"/>
      <c r="E144" s="184">
        <v>5.2785097027041514</v>
      </c>
    </row>
    <row r="145" spans="1:8" x14ac:dyDescent="0.2">
      <c r="D145" s="165"/>
      <c r="E145" s="184"/>
    </row>
    <row r="146" spans="1:8" ht="13.2" thickBot="1" x14ac:dyDescent="0.25">
      <c r="A146" s="105" t="s">
        <v>994</v>
      </c>
      <c r="B146" s="106"/>
      <c r="C146" s="52"/>
      <c r="D146" s="52"/>
      <c r="E146" s="52"/>
      <c r="F146" s="52"/>
      <c r="G146" s="52"/>
      <c r="H146" s="52"/>
    </row>
    <row r="147" spans="1:8" x14ac:dyDescent="0.2">
      <c r="A147" s="94" t="s">
        <v>44</v>
      </c>
      <c r="B147" s="95" t="s">
        <v>36</v>
      </c>
      <c r="C147" s="427">
        <f>C121</f>
        <v>46023</v>
      </c>
      <c r="D147" s="427">
        <f t="shared" ref="D147:H147" si="20">D121</f>
        <v>46054</v>
      </c>
      <c r="E147" s="427">
        <f t="shared" si="20"/>
        <v>46082</v>
      </c>
      <c r="F147" s="427">
        <f t="shared" si="20"/>
        <v>46113</v>
      </c>
      <c r="G147" s="427">
        <f t="shared" si="20"/>
        <v>46143</v>
      </c>
      <c r="H147" s="427">
        <f t="shared" si="20"/>
        <v>46174</v>
      </c>
    </row>
    <row r="148" spans="1:8" x14ac:dyDescent="0.2">
      <c r="A148" s="17"/>
      <c r="B148" s="8"/>
      <c r="C148" s="12"/>
      <c r="D148" s="12"/>
      <c r="E148" s="12"/>
      <c r="F148" s="12"/>
      <c r="G148" s="12"/>
      <c r="H148" s="15"/>
    </row>
    <row r="149" spans="1:8" x14ac:dyDescent="0.2">
      <c r="A149" s="17" t="s">
        <v>603</v>
      </c>
      <c r="B149" s="8"/>
      <c r="C149" s="12"/>
      <c r="D149" s="12"/>
      <c r="E149" s="12"/>
      <c r="F149" s="12"/>
      <c r="G149" s="12"/>
      <c r="H149" s="15"/>
    </row>
    <row r="150" spans="1:8" x14ac:dyDescent="0.2">
      <c r="A150" s="16" t="s">
        <v>48</v>
      </c>
      <c r="B150" s="12" t="s">
        <v>37</v>
      </c>
      <c r="C150" s="1675">
        <f>'TR &amp; BSS, TLF voltage wise'!C45</f>
        <v>9.3485990097822193E-3</v>
      </c>
      <c r="D150" s="1675">
        <f>'TR &amp; BSS, TLF voltage wise'!D45</f>
        <v>9.3485990097822193E-3</v>
      </c>
      <c r="E150" s="1675">
        <f>'TR &amp; BSS, TLF voltage wise'!E45</f>
        <v>9.3485990097822193E-3</v>
      </c>
      <c r="F150" s="1675">
        <f>'TR &amp; BSS, TLF voltage wise'!F45</f>
        <v>9.348599009782221E-3</v>
      </c>
      <c r="G150" s="1675">
        <f>'TR &amp; BSS, TLF voltage wise'!G45</f>
        <v>9.3485990097822193E-3</v>
      </c>
      <c r="H150" s="1675">
        <f>'TR &amp; BSS, TLF voltage wise'!H45</f>
        <v>9.3485990097822193E-3</v>
      </c>
    </row>
    <row r="151" spans="1:8" x14ac:dyDescent="0.2">
      <c r="A151" s="16" t="s">
        <v>194</v>
      </c>
      <c r="B151" s="12" t="s">
        <v>88</v>
      </c>
      <c r="C151" s="702" t="e">
        <f>'Gen. Energy Cost 220'!E10</f>
        <v>#REF!</v>
      </c>
      <c r="D151" s="702" t="e">
        <f>'Gen. Energy Cost 220'!K10</f>
        <v>#REF!</v>
      </c>
      <c r="E151" s="702" t="e">
        <f>'Gen. Energy Cost 220'!Q10</f>
        <v>#REF!</v>
      </c>
      <c r="F151" s="702" t="e">
        <f>'Gen. Energy Cost 220'!W10</f>
        <v>#REF!</v>
      </c>
      <c r="G151" s="702" t="e">
        <f>'Gen. Energy Cost 220'!AC10</f>
        <v>#REF!</v>
      </c>
      <c r="H151" s="703" t="e">
        <f>'Gen. Energy Cost 220'!AI10</f>
        <v>#REF!</v>
      </c>
    </row>
    <row r="152" spans="1:8" x14ac:dyDescent="0.2">
      <c r="A152" s="1076" t="s">
        <v>49</v>
      </c>
      <c r="B152" s="418" t="s">
        <v>88</v>
      </c>
      <c r="C152" s="1388" t="e">
        <f t="shared" ref="C152:H152" si="21">+(1+C150)*C151</f>
        <v>#REF!</v>
      </c>
      <c r="D152" s="1388" t="e">
        <f t="shared" si="21"/>
        <v>#REF!</v>
      </c>
      <c r="E152" s="1388" t="e">
        <f t="shared" si="21"/>
        <v>#REF!</v>
      </c>
      <c r="F152" s="1388" t="e">
        <f t="shared" si="21"/>
        <v>#REF!</v>
      </c>
      <c r="G152" s="1388" t="e">
        <f t="shared" si="21"/>
        <v>#REF!</v>
      </c>
      <c r="H152" s="1677" t="e">
        <f t="shared" si="21"/>
        <v>#REF!</v>
      </c>
    </row>
    <row r="153" spans="1:8" x14ac:dyDescent="0.2">
      <c r="A153" s="1076" t="s">
        <v>996</v>
      </c>
      <c r="B153" s="418" t="s">
        <v>56</v>
      </c>
      <c r="C153" s="1388">
        <f>'TR &amp; BSS, TLF voltage wise'!C44</f>
        <v>346.77433784283397</v>
      </c>
      <c r="D153" s="1388">
        <f>'TR &amp; BSS, TLF voltage wise'!D44</f>
        <v>355.581676216787</v>
      </c>
      <c r="E153" s="1388">
        <f>'TR &amp; BSS, TLF voltage wise'!E44</f>
        <v>411.55221766328299</v>
      </c>
      <c r="F153" s="1388">
        <f>'TR &amp; BSS, TLF voltage wise'!F44</f>
        <v>369.64598063158201</v>
      </c>
      <c r="G153" s="1388">
        <f>'TR &amp; BSS, TLF voltage wise'!G44</f>
        <v>376.40251545005901</v>
      </c>
      <c r="H153" s="1388">
        <f>'TR &amp; BSS, TLF voltage wise'!H44</f>
        <v>370.63431382294698</v>
      </c>
    </row>
    <row r="154" spans="1:8" x14ac:dyDescent="0.2">
      <c r="A154" s="6"/>
      <c r="B154" s="8"/>
      <c r="C154" s="702"/>
      <c r="D154" s="702"/>
      <c r="E154" s="702"/>
      <c r="F154" s="702"/>
      <c r="G154" s="702"/>
      <c r="H154" s="703"/>
    </row>
    <row r="155" spans="1:8" x14ac:dyDescent="0.2">
      <c r="A155" s="17" t="s">
        <v>32</v>
      </c>
      <c r="B155" s="8"/>
      <c r="C155" s="702"/>
      <c r="D155" s="702"/>
      <c r="E155" s="702"/>
      <c r="F155" s="702"/>
      <c r="G155" s="702"/>
      <c r="H155" s="703"/>
    </row>
    <row r="156" spans="1:8" x14ac:dyDescent="0.2">
      <c r="A156" s="16" t="s">
        <v>195</v>
      </c>
      <c r="B156" s="12" t="s">
        <v>37</v>
      </c>
      <c r="C156" s="751">
        <f>'TR &amp; BSS, TLF voltage wise'!C51</f>
        <v>1.1939596488148825E-2</v>
      </c>
      <c r="D156" s="751">
        <f>'TR &amp; BSS, TLF voltage wise'!D51</f>
        <v>1.1939596488148827E-2</v>
      </c>
      <c r="E156" s="751">
        <f>'TR &amp; BSS, TLF voltage wise'!E51</f>
        <v>1.1939596488148825E-2</v>
      </c>
      <c r="F156" s="751">
        <f>'TR &amp; BSS, TLF voltage wise'!F51</f>
        <v>1.1939596488148827E-2</v>
      </c>
      <c r="G156" s="751">
        <f>'TR &amp; BSS, TLF voltage wise'!G51</f>
        <v>1.1939596488148825E-2</v>
      </c>
      <c r="H156" s="751">
        <f>'TR &amp; BSS, TLF voltage wise'!H51</f>
        <v>1.1939596488148825E-2</v>
      </c>
    </row>
    <row r="157" spans="1:8" x14ac:dyDescent="0.2">
      <c r="A157" s="16" t="s">
        <v>196</v>
      </c>
      <c r="B157" s="418" t="s">
        <v>88</v>
      </c>
      <c r="C157" s="1388" t="e">
        <f>'Gen. Energy Cost 220'!E11</f>
        <v>#REF!</v>
      </c>
      <c r="D157" s="702" t="e">
        <f>'Gen. Energy Cost 220'!K11</f>
        <v>#REF!</v>
      </c>
      <c r="E157" s="702" t="e">
        <f>'Gen. Energy Cost 220'!Q11</f>
        <v>#REF!</v>
      </c>
      <c r="F157" s="702" t="e">
        <f>'Gen. Energy Cost 220'!W11</f>
        <v>#REF!</v>
      </c>
      <c r="G157" s="702" t="e">
        <f>'Gen. Energy Cost 220'!AC11</f>
        <v>#REF!</v>
      </c>
      <c r="H157" s="703" t="e">
        <f>'Gen. Energy Cost 220'!AI11</f>
        <v>#REF!</v>
      </c>
    </row>
    <row r="158" spans="1:8" x14ac:dyDescent="0.2">
      <c r="A158" s="1076" t="s">
        <v>50</v>
      </c>
      <c r="B158" s="418" t="s">
        <v>88</v>
      </c>
      <c r="C158" s="1388" t="e">
        <f t="shared" ref="C158:H158" si="22">+(1+C156)*C157</f>
        <v>#REF!</v>
      </c>
      <c r="D158" s="1388" t="e">
        <f t="shared" si="22"/>
        <v>#REF!</v>
      </c>
      <c r="E158" s="1388" t="e">
        <f t="shared" si="22"/>
        <v>#REF!</v>
      </c>
      <c r="F158" s="1388" t="e">
        <f t="shared" si="22"/>
        <v>#REF!</v>
      </c>
      <c r="G158" s="1388" t="e">
        <f t="shared" si="22"/>
        <v>#REF!</v>
      </c>
      <c r="H158" s="1677" t="e">
        <f t="shared" si="22"/>
        <v>#REF!</v>
      </c>
    </row>
    <row r="159" spans="1:8" x14ac:dyDescent="0.2">
      <c r="A159" s="1076" t="s">
        <v>996</v>
      </c>
      <c r="B159" s="418" t="s">
        <v>56</v>
      </c>
      <c r="C159" s="1388">
        <f>'TR &amp; BSS, TLF voltage wise'!C50</f>
        <v>119.814608368211</v>
      </c>
      <c r="D159" s="1388">
        <f>'TR &amp; BSS, TLF voltage wise'!D50</f>
        <v>122.857647263781</v>
      </c>
      <c r="E159" s="1388">
        <f>'TR &amp; BSS, TLF voltage wise'!E50</f>
        <v>142.196126994678</v>
      </c>
      <c r="F159" s="1388">
        <f>'TR &amp; BSS, TLF voltage wise'!F50</f>
        <v>127.71702969649699</v>
      </c>
      <c r="G159" s="1388">
        <f>'TR &amp; BSS, TLF voltage wise'!G50</f>
        <v>130.05149186644201</v>
      </c>
      <c r="H159" s="1388">
        <f>'TR &amp; BSS, TLF voltage wise'!H50</f>
        <v>128.05851042715699</v>
      </c>
    </row>
    <row r="160" spans="1:8" x14ac:dyDescent="0.2">
      <c r="A160" s="6"/>
      <c r="B160" s="8"/>
      <c r="C160" s="702"/>
      <c r="D160" s="702"/>
      <c r="E160" s="702"/>
      <c r="F160" s="702"/>
      <c r="G160" s="702"/>
      <c r="H160" s="703"/>
    </row>
    <row r="161" spans="1:8" x14ac:dyDescent="0.2">
      <c r="A161" s="17" t="s">
        <v>33</v>
      </c>
      <c r="B161" s="8"/>
      <c r="C161" s="702"/>
      <c r="D161" s="702"/>
      <c r="E161" s="702"/>
      <c r="F161" s="702"/>
      <c r="G161" s="702"/>
      <c r="H161" s="703"/>
    </row>
    <row r="162" spans="1:8" x14ac:dyDescent="0.2">
      <c r="A162" s="16" t="s">
        <v>197</v>
      </c>
      <c r="B162" s="418" t="s">
        <v>37</v>
      </c>
      <c r="C162" s="1678">
        <f>'TR &amp; BSS, TLF voltage wise'!C57</f>
        <v>6.6175476136660655E-3</v>
      </c>
      <c r="D162" s="1678">
        <f>'TR &amp; BSS, TLF voltage wise'!D57</f>
        <v>6.6175476136660655E-3</v>
      </c>
      <c r="E162" s="1678">
        <f>'TR &amp; BSS, TLF voltage wise'!E57</f>
        <v>6.6175476136660655E-3</v>
      </c>
      <c r="F162" s="1678">
        <f>'TR &amp; BSS, TLF voltage wise'!F57</f>
        <v>6.6175476136660647E-3</v>
      </c>
      <c r="G162" s="1678">
        <f>'TR &amp; BSS, TLF voltage wise'!G57</f>
        <v>6.6175476136660655E-3</v>
      </c>
      <c r="H162" s="1678">
        <f>'TR &amp; BSS, TLF voltage wise'!H57</f>
        <v>6.6175476136660647E-3</v>
      </c>
    </row>
    <row r="163" spans="1:8" x14ac:dyDescent="0.2">
      <c r="A163" s="16" t="s">
        <v>198</v>
      </c>
      <c r="B163" s="418" t="s">
        <v>88</v>
      </c>
      <c r="C163" s="1388" t="e">
        <f>'Gen. Energy Cost 220'!E12</f>
        <v>#REF!</v>
      </c>
      <c r="D163" s="702" t="e">
        <f>'Gen. Energy Cost 220'!K12</f>
        <v>#REF!</v>
      </c>
      <c r="E163" s="702" t="e">
        <f>'Gen. Energy Cost 220'!Q12</f>
        <v>#REF!</v>
      </c>
      <c r="F163" s="702" t="e">
        <f>'Gen. Energy Cost 220'!W12</f>
        <v>#REF!</v>
      </c>
      <c r="G163" s="702" t="e">
        <f>'Gen. Energy Cost 220'!AC12</f>
        <v>#REF!</v>
      </c>
      <c r="H163" s="703" t="e">
        <f>'Gen. Energy Cost 220'!AI12</f>
        <v>#REF!</v>
      </c>
    </row>
    <row r="164" spans="1:8" x14ac:dyDescent="0.2">
      <c r="A164" s="1076" t="s">
        <v>51</v>
      </c>
      <c r="B164" s="418" t="s">
        <v>88</v>
      </c>
      <c r="C164" s="1388" t="e">
        <f t="shared" ref="C164:H164" si="23">+(1+C162)*C163</f>
        <v>#REF!</v>
      </c>
      <c r="D164" s="1388" t="e">
        <f t="shared" si="23"/>
        <v>#REF!</v>
      </c>
      <c r="E164" s="1388" t="e">
        <f t="shared" si="23"/>
        <v>#REF!</v>
      </c>
      <c r="F164" s="1388" t="e">
        <f t="shared" si="23"/>
        <v>#REF!</v>
      </c>
      <c r="G164" s="1388" t="e">
        <f t="shared" si="23"/>
        <v>#REF!</v>
      </c>
      <c r="H164" s="1677" t="e">
        <f t="shared" si="23"/>
        <v>#REF!</v>
      </c>
    </row>
    <row r="165" spans="1:8" ht="13.2" thickBot="1" x14ac:dyDescent="0.25">
      <c r="A165" s="1682" t="s">
        <v>996</v>
      </c>
      <c r="B165" s="1679" t="s">
        <v>56</v>
      </c>
      <c r="C165" s="1680">
        <f>'TR &amp; BSS, TLF voltage wise'!C56</f>
        <v>333.04042950582999</v>
      </c>
      <c r="D165" s="1680">
        <f>'TR &amp; BSS, TLF voltage wise'!D56</f>
        <v>341.49895551185199</v>
      </c>
      <c r="E165" s="1680">
        <f>'TR &amp; BSS, TLF voltage wise'!E56</f>
        <v>395.25279807982002</v>
      </c>
      <c r="F165" s="1680">
        <f>'TR &amp; BSS, TLF voltage wise'!F56</f>
        <v>355.006246772623</v>
      </c>
      <c r="G165" s="1680">
        <f>'TR &amp; BSS, TLF voltage wise'!G56</f>
        <v>361.49519076978902</v>
      </c>
      <c r="H165" s="1680">
        <f>'TR &amp; BSS, TLF voltage wise'!H56</f>
        <v>355.95543728249299</v>
      </c>
    </row>
    <row r="166" spans="1:8" x14ac:dyDescent="0.2">
      <c r="D166" s="165"/>
      <c r="E166" s="184"/>
    </row>
    <row r="167" spans="1:8" ht="13.2" thickBot="1" x14ac:dyDescent="0.25">
      <c r="D167" s="165"/>
      <c r="E167" s="184"/>
    </row>
    <row r="168" spans="1:8" ht="25.2" x14ac:dyDescent="0.2">
      <c r="A168" s="339" t="s">
        <v>199</v>
      </c>
      <c r="B168" s="340" t="s">
        <v>88</v>
      </c>
      <c r="C168" s="393" t="e">
        <f>SUMPRODUCT(C152:H152,C153:H153)/SUM(C153:H153)</f>
        <v>#REF!</v>
      </c>
      <c r="D168" s="165"/>
      <c r="E168" s="184"/>
    </row>
    <row r="169" spans="1:8" ht="25.2" x14ac:dyDescent="0.2">
      <c r="A169" s="341" t="s">
        <v>200</v>
      </c>
      <c r="B169" s="342" t="s">
        <v>88</v>
      </c>
      <c r="C169" s="394" t="e">
        <f>SUMPRODUCT(C158:H158,C159:H159)/SUM(C159:H159)</f>
        <v>#REF!</v>
      </c>
      <c r="D169" s="165"/>
      <c r="E169" s="184"/>
    </row>
    <row r="170" spans="1:8" ht="25.8" thickBot="1" x14ac:dyDescent="0.25">
      <c r="A170" s="343" t="s">
        <v>201</v>
      </c>
      <c r="B170" s="344" t="s">
        <v>88</v>
      </c>
      <c r="C170" s="395" t="e">
        <f>SUMPRODUCT(C164:H164,C165:H165)/SUM(C165:H165)</f>
        <v>#REF!</v>
      </c>
      <c r="D170" s="165"/>
      <c r="E170" s="184"/>
    </row>
    <row r="173" spans="1:8" x14ac:dyDescent="0.2">
      <c r="C173" s="165">
        <v>10.748219990176135</v>
      </c>
    </row>
    <row r="174" spans="1:8" x14ac:dyDescent="0.2">
      <c r="C174" s="165">
        <v>13.991630421996192</v>
      </c>
    </row>
    <row r="175" spans="1:8" x14ac:dyDescent="0.2">
      <c r="C175" s="165">
        <v>6.4397157825973101</v>
      </c>
    </row>
  </sheetData>
  <mergeCells count="3">
    <mergeCell ref="A3:B3"/>
    <mergeCell ref="A31:A32"/>
    <mergeCell ref="A46:A47"/>
  </mergeCells>
  <pageMargins left="0.87" right="0.19" top="1" bottom="0.33" header="0" footer="0"/>
  <pageSetup paperSize="9" scale="25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25281" r:id="rId4" name="CommandButton1">
          <controlPr defaultSize="0" autoLine="0" r:id="rId5">
            <anchor moveWithCells="1">
              <from>
                <xdr:col>2</xdr:col>
                <xdr:colOff>30480</xdr:colOff>
                <xdr:row>2</xdr:row>
                <xdr:rowOff>30480</xdr:rowOff>
              </from>
              <to>
                <xdr:col>2</xdr:col>
                <xdr:colOff>784860</xdr:colOff>
                <xdr:row>3</xdr:row>
                <xdr:rowOff>99060</xdr:rowOff>
              </to>
            </anchor>
          </controlPr>
        </control>
      </mc:Choice>
      <mc:Fallback>
        <control shapeId="225281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O115"/>
  <sheetViews>
    <sheetView showGridLines="0" view="pageBreakPreview" zoomScaleNormal="100" zoomScaleSheetLayoutView="100" workbookViewId="0">
      <selection activeCell="I7" sqref="I7:I15"/>
    </sheetView>
  </sheetViews>
  <sheetFormatPr defaultColWidth="11" defaultRowHeight="12.6" x14ac:dyDescent="0.2"/>
  <cols>
    <col min="1" max="1" width="52" customWidth="1"/>
    <col min="2" max="2" width="18.453125" bestFit="1" customWidth="1"/>
    <col min="3" max="3" width="19.90625" hidden="1" customWidth="1"/>
    <col min="4" max="5" width="19" hidden="1" customWidth="1"/>
    <col min="6" max="8" width="19" bestFit="1" customWidth="1"/>
    <col min="9" max="9" width="36.08984375" customWidth="1"/>
    <col min="10" max="10" width="15.7265625" customWidth="1"/>
    <col min="11" max="11" width="16.08984375" customWidth="1"/>
    <col min="15" max="15" width="11.90625" bestFit="1" customWidth="1"/>
  </cols>
  <sheetData>
    <row r="1" spans="1:15" s="27" customFormat="1" ht="16.8" thickBot="1" x14ac:dyDescent="0.35">
      <c r="A1" s="3" t="s">
        <v>34</v>
      </c>
      <c r="I1" s="586"/>
      <c r="J1" s="2820" t="e">
        <f>+J4/12+#REF!+C22+C23</f>
        <v>#REF!</v>
      </c>
      <c r="K1" s="27">
        <f>(19740/12)*3</f>
        <v>4935</v>
      </c>
      <c r="L1" s="27">
        <f>639/7</f>
        <v>91.285714285714292</v>
      </c>
    </row>
    <row r="2" spans="1:15" ht="36" customHeight="1" thickBot="1" x14ac:dyDescent="0.45">
      <c r="A2" s="462"/>
      <c r="C2" s="415"/>
      <c r="D2" s="414">
        <f>+SUM(C7:E28)</f>
        <v>6627.2616869848043</v>
      </c>
      <c r="E2" s="70">
        <f>+SUM(C4:E5)</f>
        <v>5668.1609927287845</v>
      </c>
      <c r="G2" s="2277"/>
      <c r="I2" s="241"/>
      <c r="J2" s="2949">
        <v>2026</v>
      </c>
      <c r="K2" s="2950"/>
    </row>
    <row r="3" spans="1:15" ht="27.75" customHeight="1" thickBot="1" x14ac:dyDescent="0.25">
      <c r="A3" s="323" t="s">
        <v>43</v>
      </c>
      <c r="B3" s="1061" t="s">
        <v>36</v>
      </c>
      <c r="C3" s="1063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1069">
        <f>DispatchSchedule!K3</f>
        <v>46174</v>
      </c>
      <c r="I3" s="1"/>
      <c r="J3" s="584" t="s">
        <v>1307</v>
      </c>
      <c r="K3" s="1048" t="s">
        <v>787</v>
      </c>
    </row>
    <row r="4" spans="1:15" x14ac:dyDescent="0.2">
      <c r="A4" s="468" t="s">
        <v>1255</v>
      </c>
      <c r="B4" s="160" t="s">
        <v>60</v>
      </c>
      <c r="C4" s="1064">
        <f>$K$4</f>
        <v>1713.174254027025</v>
      </c>
      <c r="D4" s="1081">
        <f t="shared" ref="D4" si="0">$K$4</f>
        <v>1713.174254027025</v>
      </c>
      <c r="E4" s="1081">
        <f>$K$4</f>
        <v>1713.174254027025</v>
      </c>
      <c r="F4" s="2823">
        <f t="shared" ref="F4:H4" si="1">$K$4</f>
        <v>1713.174254027025</v>
      </c>
      <c r="G4" s="2823">
        <f t="shared" si="1"/>
        <v>1713.174254027025</v>
      </c>
      <c r="H4" s="2824">
        <f t="shared" si="1"/>
        <v>1713.174254027025</v>
      </c>
      <c r="I4" s="1722" t="s">
        <v>1417</v>
      </c>
      <c r="J4" s="1102">
        <v>20558.091048324299</v>
      </c>
      <c r="K4" s="661">
        <f>+J4/12</f>
        <v>1713.174254027025</v>
      </c>
      <c r="L4" s="689"/>
    </row>
    <row r="5" spans="1:15" ht="12" customHeight="1" x14ac:dyDescent="0.2">
      <c r="A5" s="468" t="s">
        <v>1256</v>
      </c>
      <c r="B5" s="160" t="s">
        <v>60</v>
      </c>
      <c r="C5" s="1064">
        <f t="shared" ref="C5:H5" si="2">$K$5</f>
        <v>176.21274354923665</v>
      </c>
      <c r="D5" s="1081">
        <f t="shared" si="2"/>
        <v>176.21274354923665</v>
      </c>
      <c r="E5" s="1081">
        <f t="shared" si="2"/>
        <v>176.21274354923665</v>
      </c>
      <c r="F5" s="2823">
        <f t="shared" si="2"/>
        <v>176.21274354923665</v>
      </c>
      <c r="G5" s="2823">
        <f t="shared" si="2"/>
        <v>176.21274354923665</v>
      </c>
      <c r="H5" s="2824">
        <f t="shared" si="2"/>
        <v>176.21274354923665</v>
      </c>
      <c r="I5" s="1722" t="s">
        <v>1418</v>
      </c>
      <c r="J5" s="1102">
        <v>2114.5529225908399</v>
      </c>
      <c r="K5" s="661">
        <f>+J5/12</f>
        <v>176.21274354923665</v>
      </c>
      <c r="L5" s="2803"/>
    </row>
    <row r="6" spans="1:15" s="2518" customFormat="1" ht="22.35" customHeight="1" x14ac:dyDescent="0.2">
      <c r="A6" s="2951" t="s">
        <v>1257</v>
      </c>
      <c r="B6" s="2952"/>
      <c r="C6" s="2952"/>
      <c r="D6" s="2952"/>
      <c r="E6" s="2952"/>
      <c r="F6" s="2952"/>
      <c r="G6" s="2952"/>
      <c r="H6" s="2953"/>
      <c r="I6" s="2844"/>
      <c r="J6" s="2515"/>
      <c r="K6" s="2516"/>
      <c r="L6" s="2517"/>
    </row>
    <row r="7" spans="1:15" x14ac:dyDescent="0.2">
      <c r="A7" s="6" t="s">
        <v>1223</v>
      </c>
      <c r="B7" s="160" t="s">
        <v>60</v>
      </c>
      <c r="C7" s="2866">
        <v>422.73156150209502</v>
      </c>
      <c r="D7" s="2866">
        <v>406.44756718810402</v>
      </c>
      <c r="E7" s="2866">
        <v>407.24117565498699</v>
      </c>
      <c r="F7" s="2866">
        <v>494.45053526853002</v>
      </c>
      <c r="G7" s="2866">
        <v>492.80408745915202</v>
      </c>
      <c r="H7" s="2867">
        <v>632.09219442429401</v>
      </c>
      <c r="I7" s="2956" t="s">
        <v>1419</v>
      </c>
      <c r="J7" s="2295"/>
      <c r="K7" s="661"/>
      <c r="L7" s="2955"/>
      <c r="M7" s="2804"/>
      <c r="N7" s="2804"/>
      <c r="O7" s="2804"/>
    </row>
    <row r="8" spans="1:15" x14ac:dyDescent="0.2">
      <c r="A8" s="6" t="s">
        <v>1224</v>
      </c>
      <c r="B8" s="160" t="s">
        <v>60</v>
      </c>
      <c r="C8" s="2866">
        <v>1.5</v>
      </c>
      <c r="D8" s="2866">
        <v>1.5</v>
      </c>
      <c r="E8" s="2866">
        <v>373.07438356164403</v>
      </c>
      <c r="F8" s="2866">
        <v>361.03972602739702</v>
      </c>
      <c r="G8" s="2866">
        <v>373.07438356164403</v>
      </c>
      <c r="H8" s="2867">
        <v>361.03972602739702</v>
      </c>
      <c r="I8" s="2956"/>
      <c r="J8" s="2295"/>
      <c r="K8" s="661"/>
      <c r="L8" s="2955"/>
      <c r="M8" s="2804"/>
      <c r="N8" s="2804"/>
      <c r="O8" s="2804"/>
    </row>
    <row r="9" spans="1:15" x14ac:dyDescent="0.2">
      <c r="A9" s="468" t="s">
        <v>1253</v>
      </c>
      <c r="B9" s="160" t="s">
        <v>60</v>
      </c>
      <c r="C9" s="2866">
        <v>158.82191780821901</v>
      </c>
      <c r="D9" s="2866">
        <v>158.82191780821901</v>
      </c>
      <c r="E9" s="2866">
        <v>158.82191780821901</v>
      </c>
      <c r="F9" s="2866">
        <v>0</v>
      </c>
      <c r="G9" s="2866">
        <v>0</v>
      </c>
      <c r="H9" s="2867">
        <v>0</v>
      </c>
      <c r="I9" s="2956"/>
      <c r="J9" s="2295"/>
      <c r="K9" s="661"/>
      <c r="L9" s="2955"/>
      <c r="M9" s="2804"/>
      <c r="N9" s="2804"/>
      <c r="O9" s="2804"/>
    </row>
    <row r="10" spans="1:15" hidden="1" x14ac:dyDescent="0.2">
      <c r="A10" s="468" t="s">
        <v>1254</v>
      </c>
      <c r="B10" s="160" t="s">
        <v>60</v>
      </c>
      <c r="C10" s="2866"/>
      <c r="D10" s="2866"/>
      <c r="E10" s="2866"/>
      <c r="F10" s="2866"/>
      <c r="G10" s="2866"/>
      <c r="H10" s="2867"/>
      <c r="I10" s="2956"/>
      <c r="J10" s="2295"/>
      <c r="K10" s="661"/>
      <c r="L10" s="2955"/>
      <c r="M10" s="2804"/>
      <c r="N10" s="2804"/>
      <c r="O10" s="2804"/>
    </row>
    <row r="11" spans="1:15" x14ac:dyDescent="0.2">
      <c r="A11" s="468" t="s">
        <v>1305</v>
      </c>
      <c r="B11" s="160" t="s">
        <v>60</v>
      </c>
      <c r="C11" s="2866">
        <v>35</v>
      </c>
      <c r="D11" s="2868">
        <v>249</v>
      </c>
      <c r="E11" s="2866">
        <v>39</v>
      </c>
      <c r="F11" s="2866">
        <v>40</v>
      </c>
      <c r="G11" s="2866">
        <v>42</v>
      </c>
      <c r="H11" s="2867">
        <v>44</v>
      </c>
      <c r="I11" s="2956"/>
      <c r="J11" s="2295"/>
      <c r="K11" s="661"/>
      <c r="L11" s="2955"/>
      <c r="M11" s="2804"/>
      <c r="N11" s="2804"/>
      <c r="O11" s="2804"/>
    </row>
    <row r="12" spans="1:15" x14ac:dyDescent="0.2">
      <c r="A12" s="468" t="s">
        <v>1306</v>
      </c>
      <c r="B12" s="160" t="s">
        <v>60</v>
      </c>
      <c r="C12" s="2866">
        <v>5</v>
      </c>
      <c r="D12" s="2866">
        <v>6</v>
      </c>
      <c r="E12" s="2866">
        <v>6</v>
      </c>
      <c r="F12" s="2866">
        <v>6</v>
      </c>
      <c r="G12" s="2866">
        <v>6</v>
      </c>
      <c r="H12" s="2867">
        <v>6</v>
      </c>
      <c r="I12" s="2956"/>
      <c r="J12" s="2295"/>
      <c r="K12" s="661"/>
      <c r="L12" s="2955"/>
      <c r="M12" s="2804"/>
      <c r="N12" s="2804"/>
      <c r="O12" s="2804"/>
    </row>
    <row r="13" spans="1:15" ht="12.6" hidden="1" customHeight="1" x14ac:dyDescent="0.2">
      <c r="A13" s="468" t="s">
        <v>1323</v>
      </c>
      <c r="B13" s="463" t="s">
        <v>60</v>
      </c>
      <c r="C13" s="2866"/>
      <c r="D13" s="2866"/>
      <c r="E13" s="2866"/>
      <c r="F13" s="2866"/>
      <c r="G13" s="2866"/>
      <c r="H13" s="2867"/>
      <c r="I13" s="2956"/>
      <c r="J13" s="2295"/>
      <c r="K13" s="661"/>
      <c r="L13" s="2666"/>
      <c r="M13" s="2667"/>
      <c r="N13" s="2667"/>
      <c r="O13" s="2667"/>
    </row>
    <row r="14" spans="1:15" x14ac:dyDescent="0.2">
      <c r="A14" s="468" t="s">
        <v>1387</v>
      </c>
      <c r="B14" s="160" t="s">
        <v>60</v>
      </c>
      <c r="C14" s="2866">
        <v>937.758771263158</v>
      </c>
      <c r="D14" s="2866">
        <v>937.758771263158</v>
      </c>
      <c r="E14" s="2866">
        <v>875.258771263158</v>
      </c>
      <c r="F14" s="2866">
        <v>1079.25877126316</v>
      </c>
      <c r="G14" s="2866">
        <v>1079.25877126316</v>
      </c>
      <c r="H14" s="2867">
        <v>1579.25877126316</v>
      </c>
      <c r="I14" s="2956"/>
      <c r="J14" s="2295"/>
      <c r="K14" s="661"/>
      <c r="L14" s="2666"/>
      <c r="M14" s="2667"/>
      <c r="N14" s="2667"/>
      <c r="O14" s="2667"/>
    </row>
    <row r="15" spans="1:15" x14ac:dyDescent="0.2">
      <c r="A15" s="14" t="s">
        <v>1309</v>
      </c>
      <c r="B15" s="463"/>
      <c r="C15" s="2866"/>
      <c r="D15" s="2866"/>
      <c r="E15" s="2866"/>
      <c r="F15" s="2866"/>
      <c r="G15" s="2866"/>
      <c r="H15" s="2867"/>
      <c r="I15" s="2956"/>
      <c r="J15" s="2295"/>
      <c r="K15" s="661"/>
      <c r="L15" s="2666"/>
      <c r="M15" s="2667"/>
      <c r="N15" s="2667"/>
      <c r="O15" s="2667"/>
    </row>
    <row r="16" spans="1:15" ht="19.2" customHeight="1" x14ac:dyDescent="0.2">
      <c r="A16" s="2845" t="s">
        <v>1438</v>
      </c>
      <c r="B16" s="2723" t="s">
        <v>60</v>
      </c>
      <c r="C16" s="2869">
        <v>25</v>
      </c>
      <c r="D16" s="2869">
        <v>637.5</v>
      </c>
      <c r="E16" s="2869">
        <v>634.375</v>
      </c>
      <c r="F16" s="2869">
        <v>631.25</v>
      </c>
      <c r="G16" s="2869">
        <v>628.125</v>
      </c>
      <c r="H16" s="2870">
        <v>0</v>
      </c>
      <c r="I16" s="1722" t="s">
        <v>1420</v>
      </c>
      <c r="J16" s="2295"/>
      <c r="K16" s="661">
        <f>+J16/3</f>
        <v>0</v>
      </c>
      <c r="L16" s="689"/>
      <c r="M16" s="2667"/>
      <c r="N16" s="2667"/>
      <c r="O16" s="2667"/>
    </row>
    <row r="17" spans="1:15" s="2670" customFormat="1" ht="27.6" customHeight="1" x14ac:dyDescent="0.2">
      <c r="A17" s="2899" t="s">
        <v>1468</v>
      </c>
      <c r="B17" s="2900" t="s">
        <v>60</v>
      </c>
      <c r="C17" s="2869">
        <v>0</v>
      </c>
      <c r="D17" s="2869">
        <v>0</v>
      </c>
      <c r="E17" s="2869">
        <v>0</v>
      </c>
      <c r="F17" s="2869">
        <f>+K17</f>
        <v>51.01335010333333</v>
      </c>
      <c r="G17" s="2869">
        <f>+K17</f>
        <v>51.01335010333333</v>
      </c>
      <c r="H17" s="2870">
        <f>+K17</f>
        <v>51.01335010333333</v>
      </c>
      <c r="I17" s="2843" t="s">
        <v>1421</v>
      </c>
      <c r="J17" s="2671">
        <f>+B99</f>
        <v>153.04005031</v>
      </c>
      <c r="K17" s="2669">
        <f>J17/3</f>
        <v>51.01335010333333</v>
      </c>
      <c r="L17" s="2954"/>
      <c r="M17" s="2802"/>
      <c r="N17" s="2838" t="s">
        <v>1388</v>
      </c>
      <c r="O17" s="2837" t="s">
        <v>1388</v>
      </c>
    </row>
    <row r="18" spans="1:15" s="2670" customFormat="1" x14ac:dyDescent="0.2">
      <c r="A18" s="2859" t="s">
        <v>1440</v>
      </c>
      <c r="B18" s="2860" t="s">
        <v>60</v>
      </c>
      <c r="C18" s="2872">
        <f>+$K$18</f>
        <v>50.216643954614277</v>
      </c>
      <c r="D18" s="2872">
        <f t="shared" ref="D18:H18" si="3">+$K$18</f>
        <v>50.216643954614277</v>
      </c>
      <c r="E18" s="2872">
        <f t="shared" si="3"/>
        <v>50.216643954614277</v>
      </c>
      <c r="F18" s="2872">
        <f t="shared" si="3"/>
        <v>50.216643954614277</v>
      </c>
      <c r="G18" s="2872">
        <f t="shared" si="3"/>
        <v>50.216643954614277</v>
      </c>
      <c r="H18" s="2873">
        <f t="shared" si="3"/>
        <v>50.216643954614277</v>
      </c>
      <c r="I18" s="2843" t="s">
        <v>1439</v>
      </c>
      <c r="J18" s="2671">
        <f>+B113/10^6</f>
        <v>301.29986372768565</v>
      </c>
      <c r="K18" s="2669">
        <f>J18/6</f>
        <v>50.216643954614277</v>
      </c>
      <c r="L18" s="2954"/>
      <c r="M18" s="2802"/>
      <c r="N18" s="2838"/>
      <c r="O18" s="2837"/>
    </row>
    <row r="19" spans="1:15" s="2670" customFormat="1" hidden="1" x14ac:dyDescent="0.2">
      <c r="A19" s="2816" t="s">
        <v>1311</v>
      </c>
      <c r="B19" s="160" t="s">
        <v>60</v>
      </c>
      <c r="C19" s="2874">
        <f>+$K$19*0</f>
        <v>0</v>
      </c>
      <c r="D19" s="2874">
        <f>+$K$19*0</f>
        <v>0</v>
      </c>
      <c r="E19" s="2874">
        <f>+$K$19*0</f>
        <v>0</v>
      </c>
      <c r="F19" s="2874">
        <f t="shared" ref="F19:H19" si="4">+$K$19*0</f>
        <v>0</v>
      </c>
      <c r="G19" s="2874">
        <f t="shared" si="4"/>
        <v>0</v>
      </c>
      <c r="H19" s="2875">
        <f t="shared" si="4"/>
        <v>0</v>
      </c>
      <c r="I19" s="2842"/>
      <c r="J19" s="2671"/>
      <c r="K19" s="2669">
        <f>J19/3</f>
        <v>0</v>
      </c>
      <c r="L19" s="2954"/>
      <c r="M19" s="2802"/>
      <c r="N19" s="2838" t="s">
        <v>1389</v>
      </c>
      <c r="O19" s="2837" t="s">
        <v>1389</v>
      </c>
    </row>
    <row r="20" spans="1:15" s="2670" customFormat="1" hidden="1" x14ac:dyDescent="0.2">
      <c r="A20" s="2816" t="s">
        <v>1312</v>
      </c>
      <c r="B20" s="160" t="s">
        <v>60</v>
      </c>
      <c r="C20" s="2874">
        <f>+$K$20*0</f>
        <v>0</v>
      </c>
      <c r="D20" s="2874">
        <f>+$K$20*0</f>
        <v>0</v>
      </c>
      <c r="E20" s="2874">
        <f>+$K$20*0</f>
        <v>0</v>
      </c>
      <c r="F20" s="2874">
        <f t="shared" ref="F20:H20" si="5">+$K$20*0</f>
        <v>0</v>
      </c>
      <c r="G20" s="2874">
        <f t="shared" si="5"/>
        <v>0</v>
      </c>
      <c r="H20" s="2875">
        <f t="shared" si="5"/>
        <v>0</v>
      </c>
      <c r="I20" s="2842"/>
      <c r="J20" s="2672"/>
      <c r="K20" s="2669">
        <f>J20/3</f>
        <v>0</v>
      </c>
      <c r="L20" s="2954"/>
      <c r="M20" s="2802"/>
      <c r="N20" s="2838" t="s">
        <v>1390</v>
      </c>
      <c r="O20" s="2837" t="s">
        <v>1390</v>
      </c>
    </row>
    <row r="21" spans="1:15" s="2670" customFormat="1" ht="13.8" hidden="1" x14ac:dyDescent="0.2">
      <c r="A21" s="468" t="s">
        <v>1437</v>
      </c>
      <c r="B21" s="160" t="s">
        <v>60</v>
      </c>
      <c r="C21" s="2868">
        <f>+$K$21</f>
        <v>0</v>
      </c>
      <c r="D21" s="2868">
        <f t="shared" ref="D21:H21" si="6">+$K$21</f>
        <v>0</v>
      </c>
      <c r="E21" s="2868">
        <f t="shared" si="6"/>
        <v>0</v>
      </c>
      <c r="F21" s="2868">
        <f t="shared" si="6"/>
        <v>0</v>
      </c>
      <c r="G21" s="2868">
        <f t="shared" si="6"/>
        <v>0</v>
      </c>
      <c r="H21" s="2876">
        <f t="shared" si="6"/>
        <v>0</v>
      </c>
      <c r="I21" s="2842"/>
      <c r="J21" s="2672"/>
      <c r="K21" s="2669">
        <f>J21/6</f>
        <v>0</v>
      </c>
      <c r="L21" s="2954"/>
      <c r="M21" s="2802"/>
    </row>
    <row r="22" spans="1:15" hidden="1" x14ac:dyDescent="0.2">
      <c r="A22" s="2816" t="s">
        <v>1308</v>
      </c>
      <c r="B22" s="2819" t="s">
        <v>60</v>
      </c>
      <c r="C22" s="2874">
        <f>+$K$22*0</f>
        <v>0</v>
      </c>
      <c r="D22" s="2874">
        <f>+$K$22*0</f>
        <v>0</v>
      </c>
      <c r="E22" s="2874">
        <f>+$K$22*0</f>
        <v>0</v>
      </c>
      <c r="F22" s="2874">
        <f t="shared" ref="F22:H22" si="7">+$K$22*0</f>
        <v>0</v>
      </c>
      <c r="G22" s="2874">
        <f t="shared" si="7"/>
        <v>0</v>
      </c>
      <c r="H22" s="2875">
        <f t="shared" si="7"/>
        <v>0</v>
      </c>
      <c r="I22" s="689"/>
      <c r="J22" s="2295">
        <v>309.69350894999997</v>
      </c>
      <c r="K22" s="2796">
        <f>+J22/6</f>
        <v>51.615584824999992</v>
      </c>
      <c r="L22" s="689"/>
    </row>
    <row r="23" spans="1:15" ht="25.2" hidden="1" x14ac:dyDescent="0.2">
      <c r="A23" s="2817" t="s">
        <v>1379</v>
      </c>
      <c r="B23" s="2818" t="s">
        <v>60</v>
      </c>
      <c r="C23" s="2871">
        <f>+$K$23*0</f>
        <v>0</v>
      </c>
      <c r="D23" s="2871">
        <f>+$K$23*0</f>
        <v>0</v>
      </c>
      <c r="E23" s="2871">
        <f>+$K$23*0</f>
        <v>0</v>
      </c>
      <c r="F23" s="2871">
        <f t="shared" ref="F23:H23" si="8">+$K$23*0</f>
        <v>0</v>
      </c>
      <c r="G23" s="2871">
        <f t="shared" si="8"/>
        <v>0</v>
      </c>
      <c r="H23" s="2877">
        <f t="shared" si="8"/>
        <v>0</v>
      </c>
      <c r="I23" s="2519"/>
      <c r="J23" s="2795">
        <v>7.3</v>
      </c>
      <c r="K23" s="2796">
        <f>+J23/6</f>
        <v>1.2166666666666666</v>
      </c>
      <c r="L23" s="415"/>
    </row>
    <row r="24" spans="1:15" hidden="1" x14ac:dyDescent="0.2">
      <c r="A24" s="2863" t="s">
        <v>1310</v>
      </c>
      <c r="B24" s="160"/>
      <c r="C24" s="2878"/>
      <c r="D24" s="2878"/>
      <c r="E24" s="2878"/>
      <c r="F24" s="2878"/>
      <c r="G24" s="2878"/>
      <c r="H24" s="2879"/>
      <c r="I24" s="2519"/>
      <c r="J24" s="2665"/>
      <c r="K24" s="2664"/>
      <c r="L24" s="415"/>
    </row>
    <row r="25" spans="1:15" hidden="1" x14ac:dyDescent="0.2">
      <c r="A25" s="2817" t="s">
        <v>1340</v>
      </c>
      <c r="B25" s="718" t="s">
        <v>60</v>
      </c>
      <c r="C25" s="2871">
        <f>+$K$25</f>
        <v>0</v>
      </c>
      <c r="D25" s="2871">
        <f>+$K$25</f>
        <v>0</v>
      </c>
      <c r="E25" s="2871">
        <f t="shared" ref="E25" si="9">+$K$25</f>
        <v>0</v>
      </c>
      <c r="F25" s="2871" t="e">
        <f>+#REF!</f>
        <v>#REF!</v>
      </c>
      <c r="G25" s="2871" t="e">
        <f>+#REF!</f>
        <v>#REF!</v>
      </c>
      <c r="H25" s="2877" t="e">
        <f>+#REF!</f>
        <v>#REF!</v>
      </c>
      <c r="I25" s="2519"/>
      <c r="J25" s="2665">
        <f>2119.337756*0</f>
        <v>0</v>
      </c>
      <c r="K25" s="2664">
        <f>+J25/12</f>
        <v>0</v>
      </c>
    </row>
    <row r="26" spans="1:15" hidden="1" x14ac:dyDescent="0.2">
      <c r="A26" s="2815" t="s">
        <v>1373</v>
      </c>
      <c r="B26" s="718" t="s">
        <v>60</v>
      </c>
      <c r="C26" s="2871">
        <f>+$K$26</f>
        <v>0</v>
      </c>
      <c r="D26" s="2871">
        <f t="shared" ref="D26:E26" si="10">+$K$26</f>
        <v>0</v>
      </c>
      <c r="E26" s="2871">
        <f t="shared" si="10"/>
        <v>0</v>
      </c>
      <c r="F26" s="2871" t="e">
        <f>+#REF!</f>
        <v>#REF!</v>
      </c>
      <c r="G26" s="2871" t="e">
        <f>+#REF!</f>
        <v>#REF!</v>
      </c>
      <c r="H26" s="2877" t="e">
        <f>+#REF!</f>
        <v>#REF!</v>
      </c>
      <c r="I26" s="2519"/>
      <c r="J26" s="2665">
        <f>4398852480/10^6*0</f>
        <v>0</v>
      </c>
      <c r="K26" s="2664">
        <f>+J26/6</f>
        <v>0</v>
      </c>
      <c r="L26" s="415"/>
    </row>
    <row r="27" spans="1:15" hidden="1" x14ac:dyDescent="0.2">
      <c r="A27" s="2815" t="s">
        <v>1372</v>
      </c>
      <c r="B27" s="718" t="s">
        <v>60</v>
      </c>
      <c r="C27" s="2871">
        <f>$K$27</f>
        <v>0</v>
      </c>
      <c r="D27" s="2871">
        <f t="shared" ref="D27:H27" si="11">$K$27</f>
        <v>0</v>
      </c>
      <c r="E27" s="2871">
        <f t="shared" si="11"/>
        <v>0</v>
      </c>
      <c r="F27" s="2871">
        <f t="shared" si="11"/>
        <v>0</v>
      </c>
      <c r="G27" s="2871">
        <f t="shared" si="11"/>
        <v>0</v>
      </c>
      <c r="H27" s="2871">
        <f t="shared" si="11"/>
        <v>0</v>
      </c>
      <c r="I27" s="2519"/>
      <c r="J27" s="2665"/>
      <c r="K27" s="2664"/>
      <c r="L27" s="415"/>
    </row>
    <row r="28" spans="1:15" ht="25.2" x14ac:dyDescent="0.2">
      <c r="A28" s="2862" t="s">
        <v>1441</v>
      </c>
      <c r="B28" s="2861" t="s">
        <v>60</v>
      </c>
      <c r="C28" s="2880">
        <f>+$K$28*0</f>
        <v>0</v>
      </c>
      <c r="D28" s="2880">
        <f>+$K$28*0</f>
        <v>0</v>
      </c>
      <c r="E28" s="2880">
        <f>+$K$28*0</f>
        <v>0</v>
      </c>
      <c r="F28" s="2880">
        <f t="shared" ref="F28:H28" si="12">+$K$28</f>
        <v>22.783466666666666</v>
      </c>
      <c r="G28" s="2880">
        <f t="shared" si="12"/>
        <v>22.783466666666666</v>
      </c>
      <c r="H28" s="2881">
        <f t="shared" si="12"/>
        <v>22.783466666666666</v>
      </c>
      <c r="I28" s="2519"/>
      <c r="J28" s="2665">
        <f>68350400/10^6</f>
        <v>68.350399999999993</v>
      </c>
      <c r="K28" s="2664">
        <f>J28/3</f>
        <v>22.783466666666666</v>
      </c>
      <c r="L28" s="415"/>
    </row>
    <row r="29" spans="1:15" ht="13.2" thickBot="1" x14ac:dyDescent="0.25">
      <c r="A29" s="13" t="s">
        <v>35</v>
      </c>
      <c r="B29" s="1062" t="s">
        <v>39</v>
      </c>
      <c r="C29" s="539">
        <f>+DispatchSchedule!F66*'Gen. Capacity'!$D1</f>
        <v>0</v>
      </c>
      <c r="D29" s="539">
        <f>+DispatchSchedule!G66*'Gen. Capacity'!$D1</f>
        <v>0</v>
      </c>
      <c r="E29" s="539">
        <f>+DispatchSchedule!H66*'Gen. Capacity'!$D1</f>
        <v>0</v>
      </c>
      <c r="F29" s="539">
        <f>+DispatchSchedule!I66*'Gen. Capacity'!$D1</f>
        <v>2834.8154617842506</v>
      </c>
      <c r="G29" s="539">
        <f>+DispatchSchedule!J66*'Gen. Capacity'!$D1</f>
        <v>2729.7789003212042</v>
      </c>
      <c r="H29" s="1070">
        <f>+DispatchSchedule!K66*'Gen. Capacity'!$D1</f>
        <v>2650.6740556204618</v>
      </c>
      <c r="I29" s="402">
        <f>SUM(C4:H5)</f>
        <v>11336.321985457569</v>
      </c>
      <c r="J29" s="360"/>
      <c r="K29" s="360"/>
    </row>
    <row r="30" spans="1:15" hidden="1" x14ac:dyDescent="0.2">
      <c r="B30" s="2"/>
      <c r="C30" s="322"/>
      <c r="D30" s="322"/>
      <c r="E30" s="322"/>
      <c r="F30" s="322"/>
      <c r="G30" s="322"/>
      <c r="H30" s="322"/>
    </row>
    <row r="31" spans="1:15" hidden="1" x14ac:dyDescent="0.2">
      <c r="A31" s="725" t="s">
        <v>715</v>
      </c>
      <c r="B31" s="2"/>
      <c r="C31" s="322"/>
      <c r="D31" s="322"/>
      <c r="E31" s="322"/>
      <c r="F31" s="322"/>
      <c r="G31" s="322"/>
      <c r="H31" s="322"/>
    </row>
    <row r="32" spans="1:15" ht="13.2" hidden="1" thickBot="1" x14ac:dyDescent="0.25">
      <c r="A32" s="323" t="s">
        <v>43</v>
      </c>
      <c r="B32" s="175" t="s">
        <v>36</v>
      </c>
      <c r="C32" s="425">
        <f t="shared" ref="C32:H32" si="13">C3</f>
        <v>46023</v>
      </c>
      <c r="D32" s="425">
        <f t="shared" si="13"/>
        <v>46054</v>
      </c>
      <c r="E32" s="425">
        <f t="shared" si="13"/>
        <v>46082</v>
      </c>
      <c r="F32" s="425">
        <f t="shared" si="13"/>
        <v>46113</v>
      </c>
      <c r="G32" s="425">
        <f t="shared" si="13"/>
        <v>46143</v>
      </c>
      <c r="H32" s="425">
        <f t="shared" si="13"/>
        <v>46174</v>
      </c>
      <c r="J32" s="150">
        <f>J4+J5</f>
        <v>22672.643970915138</v>
      </c>
    </row>
    <row r="33" spans="1:15" hidden="1" x14ac:dyDescent="0.2">
      <c r="A33" s="717" t="s">
        <v>63</v>
      </c>
      <c r="B33" s="718" t="s">
        <v>60</v>
      </c>
      <c r="C33" s="719" t="e">
        <f>'Transmission Tariff_2'!D98</f>
        <v>#DIV/0!</v>
      </c>
      <c r="D33" s="719" t="e">
        <f>'Transmission Tariff_2'!E98</f>
        <v>#DIV/0!</v>
      </c>
      <c r="E33" s="719" t="e">
        <f>'Transmission Tariff_2'!F98</f>
        <v>#DIV/0!</v>
      </c>
      <c r="F33" s="719">
        <f>'Transmission Tariff_2'!G98</f>
        <v>1727.8940385671153</v>
      </c>
      <c r="G33" s="719">
        <f>'Transmission Tariff_2'!H98</f>
        <v>1709.7208903752594</v>
      </c>
      <c r="H33" s="726">
        <f>'Transmission Tariff_2'!I98</f>
        <v>1709.884952990943</v>
      </c>
      <c r="J33" s="150"/>
    </row>
    <row r="34" spans="1:15" hidden="1" x14ac:dyDescent="0.2">
      <c r="A34" s="717" t="s">
        <v>64</v>
      </c>
      <c r="B34" s="721" t="s">
        <v>60</v>
      </c>
      <c r="C34" s="720" t="e">
        <f>'Transmission Tariff_2'!D99</f>
        <v>#DIV/0!</v>
      </c>
      <c r="D34" s="720" t="e">
        <f>'Transmission Tariff_2'!E99</f>
        <v>#DIV/0!</v>
      </c>
      <c r="E34" s="720" t="e">
        <f>'Transmission Tariff_2'!F99</f>
        <v>#DIV/0!</v>
      </c>
      <c r="F34" s="720">
        <f>'Transmission Tariff_2'!G99</f>
        <v>669.71905982955263</v>
      </c>
      <c r="G34" s="720">
        <f>'Transmission Tariff_2'!H99</f>
        <v>667.66824758134214</v>
      </c>
      <c r="H34" s="727">
        <f>'Transmission Tariff_2'!I99</f>
        <v>806.75298944074325</v>
      </c>
      <c r="J34" s="150"/>
    </row>
    <row r="35" spans="1:15" ht="13.2" hidden="1" thickBot="1" x14ac:dyDescent="0.25">
      <c r="A35" s="722" t="s">
        <v>35</v>
      </c>
      <c r="B35" s="723" t="s">
        <v>39</v>
      </c>
      <c r="C35" s="724">
        <f>'Transmission Tariff_2'!E10</f>
        <v>-8.6739900000000016</v>
      </c>
      <c r="D35" s="724">
        <f>'Transmission Tariff_2'!F10</f>
        <v>-8.1382274999999993</v>
      </c>
      <c r="E35" s="724">
        <f>'Transmission Tariff_2'!G10</f>
        <v>-10.43835</v>
      </c>
      <c r="F35" s="724">
        <f>'Transmission Tariff_2'!H10</f>
        <v>2830.0551006481478</v>
      </c>
      <c r="G35" s="724">
        <f>'Transmission Tariff_2'!I10</f>
        <v>2721.0388095385301</v>
      </c>
      <c r="H35" s="724">
        <f>'Transmission Tariff_2'!J10</f>
        <v>2642.823017860449</v>
      </c>
      <c r="J35" s="150"/>
    </row>
    <row r="36" spans="1:15" s="2513" customFormat="1" x14ac:dyDescent="0.2">
      <c r="B36" s="2514"/>
      <c r="C36" s="2822"/>
      <c r="D36" s="2822"/>
      <c r="E36" s="2822"/>
      <c r="F36" s="2822"/>
      <c r="G36" s="2822"/>
      <c r="H36" s="2822"/>
      <c r="I36" s="2864">
        <f>SUM(C7:H18)</f>
        <v>14786.603635716541</v>
      </c>
      <c r="J36" s="2825"/>
    </row>
    <row r="37" spans="1:15" ht="13.2" thickBot="1" x14ac:dyDescent="0.25">
      <c r="B37" s="2"/>
      <c r="C37" s="1253"/>
      <c r="D37" s="2261"/>
      <c r="E37" s="1253"/>
      <c r="F37" s="1253"/>
      <c r="G37" s="1253"/>
      <c r="H37" s="1253"/>
      <c r="I37" s="2865">
        <f>I29+I36</f>
        <v>26122.925621174109</v>
      </c>
      <c r="J37" s="2825"/>
    </row>
    <row r="38" spans="1:15" ht="13.2" thickBot="1" x14ac:dyDescent="0.25">
      <c r="A38" s="24" t="s">
        <v>27</v>
      </c>
      <c r="B38" s="23" t="s">
        <v>36</v>
      </c>
      <c r="C38" s="425">
        <f>C3</f>
        <v>46023</v>
      </c>
      <c r="D38" s="425">
        <f>+D3</f>
        <v>46054</v>
      </c>
      <c r="E38" s="425">
        <f>+E3</f>
        <v>46082</v>
      </c>
      <c r="F38" s="425">
        <f>+F3</f>
        <v>46113</v>
      </c>
      <c r="G38" s="425">
        <f>+G3</f>
        <v>46143</v>
      </c>
      <c r="H38" s="425">
        <f>+H3</f>
        <v>46174</v>
      </c>
      <c r="I38" s="2513"/>
      <c r="J38" s="2825"/>
    </row>
    <row r="39" spans="1:15" x14ac:dyDescent="0.2">
      <c r="A39" s="14" t="s">
        <v>41</v>
      </c>
      <c r="B39" s="31" t="str">
        <f>B40</f>
        <v>SLR/MW</v>
      </c>
      <c r="C39" s="389" t="e">
        <f>((C4)*1000000/(C29))*0</f>
        <v>#DIV/0!</v>
      </c>
      <c r="D39" s="389" t="e">
        <f t="shared" ref="D39:H39" si="14">(D4)*1000000/(D29)</f>
        <v>#DIV/0!</v>
      </c>
      <c r="E39" s="389" t="e">
        <f t="shared" si="14"/>
        <v>#DIV/0!</v>
      </c>
      <c r="F39" s="389">
        <f>(F4)*1000000/(F29)</f>
        <v>604333.60729193373</v>
      </c>
      <c r="G39" s="389">
        <f t="shared" si="14"/>
        <v>627587.18437798799</v>
      </c>
      <c r="H39" s="389">
        <f t="shared" si="14"/>
        <v>646316.45312799898</v>
      </c>
      <c r="I39" s="2513"/>
      <c r="J39" s="2825"/>
    </row>
    <row r="40" spans="1:15" ht="13.2" thickBot="1" x14ac:dyDescent="0.25">
      <c r="A40" s="10" t="s">
        <v>40</v>
      </c>
      <c r="B40" s="32" t="s">
        <v>42</v>
      </c>
      <c r="C40" s="391" t="e">
        <f>(C5+C7+C8+C9+C11+C12+C14+C16+C17+C18+C28)*1000000/(C29)</f>
        <v>#DIV/0!</v>
      </c>
      <c r="D40" s="391" t="e">
        <f t="shared" ref="D40:H40" si="15">(D5+D7+D8+D9+D11+D12+D14+D16+D17+D18+D28)*1000000/(D29)</f>
        <v>#DIV/0!</v>
      </c>
      <c r="E40" s="391" t="e">
        <f t="shared" si="15"/>
        <v>#DIV/0!</v>
      </c>
      <c r="F40" s="391">
        <f>(F5+F7+F8+F9+F11+F12+F14+F16+F17+F18+F28)*1000000/(F29)</f>
        <v>1027306.812768675</v>
      </c>
      <c r="G40" s="391">
        <f t="shared" si="15"/>
        <v>1070228.9647758817</v>
      </c>
      <c r="H40" s="391">
        <f t="shared" si="15"/>
        <v>1102593.8439287229</v>
      </c>
      <c r="I40" s="2513">
        <v>0</v>
      </c>
      <c r="J40" s="183"/>
      <c r="K40" s="415"/>
    </row>
    <row r="41" spans="1:15" hidden="1" x14ac:dyDescent="0.2">
      <c r="C41" s="70"/>
      <c r="D41" s="70"/>
      <c r="E41" s="70"/>
      <c r="F41" s="70"/>
      <c r="G41" s="70"/>
      <c r="I41" s="2513"/>
    </row>
    <row r="42" spans="1:15" ht="13.2" hidden="1" thickBot="1" x14ac:dyDescent="0.25">
      <c r="A42" s="24" t="s">
        <v>27</v>
      </c>
      <c r="B42" s="23" t="s">
        <v>36</v>
      </c>
      <c r="C42" s="425">
        <f t="shared" ref="C42:H42" si="16">C3</f>
        <v>46023</v>
      </c>
      <c r="D42" s="425">
        <f t="shared" si="16"/>
        <v>46054</v>
      </c>
      <c r="E42" s="425">
        <f t="shared" si="16"/>
        <v>46082</v>
      </c>
      <c r="F42" s="425">
        <f t="shared" si="16"/>
        <v>46113</v>
      </c>
      <c r="G42" s="425">
        <f t="shared" si="16"/>
        <v>46143</v>
      </c>
      <c r="H42" s="425">
        <f t="shared" si="16"/>
        <v>46174</v>
      </c>
      <c r="I42" s="2513"/>
    </row>
    <row r="43" spans="1:15" hidden="1" x14ac:dyDescent="0.2">
      <c r="A43" s="711" t="s">
        <v>713</v>
      </c>
      <c r="B43" s="712" t="str">
        <f>B44</f>
        <v>SLR/MW</v>
      </c>
      <c r="C43" s="713" t="e">
        <f t="shared" ref="C43:H43" si="17">C33*1000000/(C35)</f>
        <v>#DIV/0!</v>
      </c>
      <c r="D43" s="713" t="e">
        <f t="shared" si="17"/>
        <v>#DIV/0!</v>
      </c>
      <c r="E43" s="713" t="e">
        <f t="shared" si="17"/>
        <v>#DIV/0!</v>
      </c>
      <c r="F43" s="713">
        <f t="shared" si="17"/>
        <v>610551.37695777998</v>
      </c>
      <c r="G43" s="713">
        <f t="shared" si="17"/>
        <v>628333.88644876273</v>
      </c>
      <c r="H43" s="713">
        <f t="shared" si="17"/>
        <v>646991.84978917544</v>
      </c>
      <c r="I43" s="2513"/>
    </row>
    <row r="44" spans="1:15" ht="13.2" hidden="1" thickBot="1" x14ac:dyDescent="0.25">
      <c r="A44" s="714" t="s">
        <v>714</v>
      </c>
      <c r="B44" s="715" t="s">
        <v>42</v>
      </c>
      <c r="C44" s="716" t="e">
        <f t="shared" ref="C44:H44" si="18">(C34)*1000000/(C35)</f>
        <v>#DIV/0!</v>
      </c>
      <c r="D44" s="716" t="e">
        <f t="shared" si="18"/>
        <v>#DIV/0!</v>
      </c>
      <c r="E44" s="716" t="e">
        <f t="shared" si="18"/>
        <v>#DIV/0!</v>
      </c>
      <c r="F44" s="716">
        <f t="shared" si="18"/>
        <v>236645.23693414009</v>
      </c>
      <c r="G44" s="716">
        <f t="shared" si="18"/>
        <v>245372.55596680523</v>
      </c>
      <c r="H44" s="716">
        <f t="shared" si="18"/>
        <v>305261.82948635978</v>
      </c>
      <c r="I44" s="2513"/>
    </row>
    <row r="45" spans="1:15" x14ac:dyDescent="0.2">
      <c r="K45" s="2261"/>
      <c r="L45" s="2261"/>
      <c r="M45" s="2261"/>
      <c r="N45" s="2261"/>
      <c r="O45" s="2261"/>
    </row>
    <row r="46" spans="1:15" x14ac:dyDescent="0.2">
      <c r="A46" s="1" t="s">
        <v>26</v>
      </c>
      <c r="B46" s="1"/>
      <c r="J46" s="2568"/>
      <c r="K46" s="2568"/>
      <c r="L46" s="2568"/>
      <c r="M46" s="2568"/>
      <c r="N46" s="2568"/>
      <c r="O46" s="2568"/>
    </row>
    <row r="47" spans="1:15" ht="13.2" thickBot="1" x14ac:dyDescent="0.25">
      <c r="A47" s="1" t="s">
        <v>29</v>
      </c>
      <c r="B47" s="1"/>
    </row>
    <row r="48" spans="1:15" ht="13.2" thickBot="1" x14ac:dyDescent="0.25">
      <c r="A48" s="46" t="s">
        <v>27</v>
      </c>
      <c r="B48" s="66" t="s">
        <v>36</v>
      </c>
      <c r="C48" s="425">
        <f t="shared" ref="C48:H48" si="19">C3</f>
        <v>46023</v>
      </c>
      <c r="D48" s="425">
        <f t="shared" si="19"/>
        <v>46054</v>
      </c>
      <c r="E48" s="425">
        <f t="shared" si="19"/>
        <v>46082</v>
      </c>
      <c r="F48" s="425">
        <f t="shared" si="19"/>
        <v>46113</v>
      </c>
      <c r="G48" s="425">
        <f t="shared" si="19"/>
        <v>46143</v>
      </c>
      <c r="H48" s="425">
        <f t="shared" si="19"/>
        <v>46174</v>
      </c>
      <c r="I48" s="2821"/>
    </row>
    <row r="49" spans="1:9" x14ac:dyDescent="0.2">
      <c r="A49" s="45" t="s">
        <v>28</v>
      </c>
      <c r="B49" s="91" t="s">
        <v>56</v>
      </c>
      <c r="C49" s="92">
        <f>+C50*0.0267*3.31/2.6</f>
        <v>0</v>
      </c>
      <c r="D49" s="92">
        <f t="shared" ref="D49:H49" si="20">+D50*0.0267*3.31/2.6</f>
        <v>0</v>
      </c>
      <c r="E49" s="92">
        <f t="shared" si="20"/>
        <v>0</v>
      </c>
      <c r="F49" s="92">
        <f>+F50*0.0267*3.31/2.6</f>
        <v>29.674893409517814</v>
      </c>
      <c r="G49" s="92">
        <f t="shared" si="20"/>
        <v>31.799419358756804</v>
      </c>
      <c r="H49" s="92">
        <f t="shared" si="20"/>
        <v>31.077611019627941</v>
      </c>
      <c r="I49" s="563"/>
    </row>
    <row r="50" spans="1:9" x14ac:dyDescent="0.2">
      <c r="A50" s="7" t="s">
        <v>30</v>
      </c>
      <c r="B50" s="20" t="s">
        <v>56</v>
      </c>
      <c r="C50" s="540">
        <f>'Gen. Energy Cost'!B10</f>
        <v>0</v>
      </c>
      <c r="D50" s="540">
        <f>'Gen. Energy Cost'!H10</f>
        <v>0</v>
      </c>
      <c r="E50" s="540">
        <f>'Gen. Energy Cost'!Q10</f>
        <v>0</v>
      </c>
      <c r="F50" s="540">
        <f>'Gen. Energy Cost'!W10</f>
        <v>873.01812535780016</v>
      </c>
      <c r="G50" s="540">
        <f>'Gen. Energy Cost'!AC10</f>
        <v>935.52044460399986</v>
      </c>
      <c r="H50" s="541">
        <f>'Gen. Energy Cost'!AI10</f>
        <v>914.28526257999988</v>
      </c>
    </row>
    <row r="51" spans="1:9" ht="13.2" thickBot="1" x14ac:dyDescent="0.25">
      <c r="A51" s="10" t="s">
        <v>38</v>
      </c>
      <c r="B51" s="11" t="s">
        <v>37</v>
      </c>
      <c r="C51" s="28" t="e">
        <f>C49/C50</f>
        <v>#DIV/0!</v>
      </c>
      <c r="D51" s="28" t="e">
        <f t="shared" ref="D51:H51" si="21">D49/D50</f>
        <v>#DIV/0!</v>
      </c>
      <c r="E51" s="28" t="e">
        <f t="shared" si="21"/>
        <v>#DIV/0!</v>
      </c>
      <c r="F51" s="28">
        <f>F49/F50</f>
        <v>3.3991153846153851E-2</v>
      </c>
      <c r="G51" s="28">
        <f t="shared" si="21"/>
        <v>3.3991153846153845E-2</v>
      </c>
      <c r="H51" s="29">
        <f t="shared" si="21"/>
        <v>3.3991153846153845E-2</v>
      </c>
    </row>
    <row r="52" spans="1:9" x14ac:dyDescent="0.2">
      <c r="C52" s="2"/>
      <c r="D52" s="2"/>
      <c r="E52" s="2"/>
      <c r="F52" s="2"/>
      <c r="G52" s="2"/>
      <c r="H52" s="2"/>
    </row>
    <row r="53" spans="1:9" ht="13.2" thickBot="1" x14ac:dyDescent="0.25">
      <c r="A53" s="1" t="s">
        <v>32</v>
      </c>
      <c r="B53" s="1"/>
    </row>
    <row r="54" spans="1:9" ht="13.2" thickBot="1" x14ac:dyDescent="0.25">
      <c r="A54" s="22" t="s">
        <v>27</v>
      </c>
      <c r="B54" s="25" t="s">
        <v>36</v>
      </c>
      <c r="C54" s="425">
        <f t="shared" ref="C54:H54" si="22">+C3</f>
        <v>46023</v>
      </c>
      <c r="D54" s="425">
        <f t="shared" si="22"/>
        <v>46054</v>
      </c>
      <c r="E54" s="425">
        <f t="shared" si="22"/>
        <v>46082</v>
      </c>
      <c r="F54" s="425">
        <f t="shared" si="22"/>
        <v>46113</v>
      </c>
      <c r="G54" s="425">
        <f t="shared" si="22"/>
        <v>46143</v>
      </c>
      <c r="H54" s="425">
        <f t="shared" si="22"/>
        <v>46174</v>
      </c>
    </row>
    <row r="55" spans="1:9" x14ac:dyDescent="0.2">
      <c r="A55" s="6" t="s">
        <v>28</v>
      </c>
      <c r="B55" s="20" t="s">
        <v>56</v>
      </c>
      <c r="C55" s="540">
        <f>+C56*0.0341*3.31/2.6</f>
        <v>0</v>
      </c>
      <c r="D55" s="540">
        <f t="shared" ref="D55:H55" si="23">+D56*0.0341*3.31/2.6</f>
        <v>0</v>
      </c>
      <c r="E55" s="540">
        <f t="shared" si="23"/>
        <v>0</v>
      </c>
      <c r="F55" s="540">
        <f t="shared" si="23"/>
        <v>12.872725781810525</v>
      </c>
      <c r="G55" s="540">
        <f t="shared" si="23"/>
        <v>13.794327742885228</v>
      </c>
      <c r="H55" s="540">
        <f t="shared" si="23"/>
        <v>13.481213195567262</v>
      </c>
    </row>
    <row r="56" spans="1:9" x14ac:dyDescent="0.2">
      <c r="A56" s="7" t="s">
        <v>30</v>
      </c>
      <c r="B56" s="20" t="s">
        <v>56</v>
      </c>
      <c r="C56" s="540">
        <f>'Gen. Energy Cost'!B11</f>
        <v>0</v>
      </c>
      <c r="D56" s="540">
        <f>'Gen. Energy Cost'!H11</f>
        <v>0</v>
      </c>
      <c r="E56" s="540">
        <f>'Gen. Energy Cost'!Q11</f>
        <v>0</v>
      </c>
      <c r="F56" s="540">
        <f>'Gen. Energy Cost'!W11</f>
        <v>296.52512188877006</v>
      </c>
      <c r="G56" s="540">
        <f>'Gen. Energy Cost'!AC11</f>
        <v>317.75435790860001</v>
      </c>
      <c r="H56" s="541">
        <f>'Gen. Energy Cost'!AI11</f>
        <v>310.54171849699998</v>
      </c>
    </row>
    <row r="57" spans="1:9" ht="13.2" thickBot="1" x14ac:dyDescent="0.25">
      <c r="A57" s="10" t="s">
        <v>38</v>
      </c>
      <c r="B57" s="11" t="s">
        <v>37</v>
      </c>
      <c r="C57" s="28" t="e">
        <f t="shared" ref="C57:H57" si="24">C55/C56</f>
        <v>#DIV/0!</v>
      </c>
      <c r="D57" s="28" t="e">
        <f t="shared" si="24"/>
        <v>#DIV/0!</v>
      </c>
      <c r="E57" s="28" t="e">
        <f t="shared" si="24"/>
        <v>#DIV/0!</v>
      </c>
      <c r="F57" s="28">
        <f t="shared" si="24"/>
        <v>4.3411923076923077E-2</v>
      </c>
      <c r="G57" s="28">
        <f t="shared" si="24"/>
        <v>4.3411923076923077E-2</v>
      </c>
      <c r="H57" s="29">
        <f t="shared" si="24"/>
        <v>4.3411923076923077E-2</v>
      </c>
    </row>
    <row r="59" spans="1:9" ht="13.2" thickBot="1" x14ac:dyDescent="0.25">
      <c r="A59" s="1" t="s">
        <v>33</v>
      </c>
      <c r="B59" s="1"/>
    </row>
    <row r="60" spans="1:9" ht="13.2" thickBot="1" x14ac:dyDescent="0.25">
      <c r="A60" s="22" t="s">
        <v>27</v>
      </c>
      <c r="B60" s="25" t="s">
        <v>36</v>
      </c>
      <c r="C60" s="425">
        <f t="shared" ref="C60:H60" si="25">+C3</f>
        <v>46023</v>
      </c>
      <c r="D60" s="425">
        <f t="shared" si="25"/>
        <v>46054</v>
      </c>
      <c r="E60" s="425">
        <f t="shared" si="25"/>
        <v>46082</v>
      </c>
      <c r="F60" s="425">
        <f t="shared" si="25"/>
        <v>46113</v>
      </c>
      <c r="G60" s="425">
        <f t="shared" si="25"/>
        <v>46143</v>
      </c>
      <c r="H60" s="425">
        <f t="shared" si="25"/>
        <v>46174</v>
      </c>
    </row>
    <row r="61" spans="1:9" x14ac:dyDescent="0.2">
      <c r="A61" s="6" t="s">
        <v>28</v>
      </c>
      <c r="B61" s="20" t="s">
        <v>56</v>
      </c>
      <c r="C61" s="540">
        <f>+C62*0.0189*3.31/2.6</f>
        <v>0</v>
      </c>
      <c r="D61" s="540">
        <f t="shared" ref="D61:H61" si="26">+D62*0.0189*3.31/2.6</f>
        <v>0</v>
      </c>
      <c r="E61" s="540">
        <f t="shared" si="26"/>
        <v>0</v>
      </c>
      <c r="F61" s="540">
        <f t="shared" si="26"/>
        <v>8.0763769374334693</v>
      </c>
      <c r="G61" s="540">
        <f t="shared" si="26"/>
        <v>8.6545920684070978</v>
      </c>
      <c r="H61" s="540">
        <f t="shared" si="26"/>
        <v>8.458143301331905</v>
      </c>
    </row>
    <row r="62" spans="1:9" x14ac:dyDescent="0.2">
      <c r="A62" s="7" t="s">
        <v>30</v>
      </c>
      <c r="B62" s="20" t="s">
        <v>56</v>
      </c>
      <c r="C62" s="540">
        <f>'Gen. Energy Cost'!B12</f>
        <v>0</v>
      </c>
      <c r="D62" s="540">
        <f>'Gen. Energy Cost'!H12</f>
        <v>0</v>
      </c>
      <c r="E62" s="540">
        <f>'Gen. Energy Cost'!Q12</f>
        <v>0</v>
      </c>
      <c r="F62" s="540">
        <f>'Gen. Energy Cost'!W12</f>
        <v>335.66041716343005</v>
      </c>
      <c r="G62" s="540">
        <f>'Gen. Energy Cost'!AC12</f>
        <v>359.69148128739999</v>
      </c>
      <c r="H62" s="541">
        <f>'Gen. Energy Cost'!AI12</f>
        <v>351.52691992299998</v>
      </c>
    </row>
    <row r="63" spans="1:9" ht="13.2" thickBot="1" x14ac:dyDescent="0.25">
      <c r="A63" s="10" t="s">
        <v>38</v>
      </c>
      <c r="B63" s="11" t="s">
        <v>37</v>
      </c>
      <c r="C63" s="28" t="e">
        <f t="shared" ref="C63:H63" si="27">C61/C62</f>
        <v>#DIV/0!</v>
      </c>
      <c r="D63" s="28" t="e">
        <f t="shared" si="27"/>
        <v>#DIV/0!</v>
      </c>
      <c r="E63" s="28" t="e">
        <f t="shared" si="27"/>
        <v>#DIV/0!</v>
      </c>
      <c r="F63" s="28">
        <f t="shared" si="27"/>
        <v>2.4061153846153847E-2</v>
      </c>
      <c r="G63" s="28">
        <f t="shared" si="27"/>
        <v>2.4061153846153843E-2</v>
      </c>
      <c r="H63" s="29">
        <f t="shared" si="27"/>
        <v>2.4061153846153843E-2</v>
      </c>
    </row>
    <row r="65" spans="1:10" hidden="1" x14ac:dyDescent="0.2">
      <c r="A65" s="36" t="s">
        <v>605</v>
      </c>
      <c r="B65" t="s">
        <v>56</v>
      </c>
      <c r="C65" s="70">
        <f t="shared" ref="C65:H65" si="28">+C50+C56+C62</f>
        <v>0</v>
      </c>
      <c r="D65" s="70">
        <f t="shared" si="28"/>
        <v>0</v>
      </c>
      <c r="E65" s="70">
        <f t="shared" si="28"/>
        <v>0</v>
      </c>
      <c r="F65" s="70">
        <f t="shared" si="28"/>
        <v>1505.2036644100003</v>
      </c>
      <c r="G65" s="70">
        <f t="shared" si="28"/>
        <v>1612.9662837999997</v>
      </c>
      <c r="H65" s="70">
        <f t="shared" si="28"/>
        <v>1576.3539009999997</v>
      </c>
      <c r="I65" s="70">
        <f>SUM(C65:H65)</f>
        <v>4694.5238492099998</v>
      </c>
    </row>
    <row r="66" spans="1:10" hidden="1" x14ac:dyDescent="0.2">
      <c r="A66" s="36" t="s">
        <v>606</v>
      </c>
      <c r="B66" t="s">
        <v>56</v>
      </c>
      <c r="C66" s="70">
        <f t="shared" ref="C66:H66" si="29">+C49+C55+C61</f>
        <v>0</v>
      </c>
      <c r="D66" s="70">
        <f t="shared" si="29"/>
        <v>0</v>
      </c>
      <c r="E66" s="70">
        <f t="shared" si="29"/>
        <v>0</v>
      </c>
      <c r="F66" s="70">
        <f t="shared" si="29"/>
        <v>50.623996128761803</v>
      </c>
      <c r="G66" s="70">
        <f t="shared" si="29"/>
        <v>54.248339170049128</v>
      </c>
      <c r="H66" s="70">
        <f t="shared" si="29"/>
        <v>53.016967516527103</v>
      </c>
      <c r="I66" s="70">
        <f>SUM(C66:H66)</f>
        <v>157.88930281533803</v>
      </c>
    </row>
    <row r="67" spans="1:10" hidden="1" x14ac:dyDescent="0.2">
      <c r="A67" t="s">
        <v>465</v>
      </c>
      <c r="B67" t="s">
        <v>56</v>
      </c>
      <c r="C67" s="70">
        <f t="shared" ref="C67:H67" si="30">+C65-C66</f>
        <v>0</v>
      </c>
      <c r="D67" s="70">
        <f t="shared" si="30"/>
        <v>0</v>
      </c>
      <c r="E67" s="70">
        <f t="shared" si="30"/>
        <v>0</v>
      </c>
      <c r="F67" s="70">
        <f t="shared" si="30"/>
        <v>1454.5796682812386</v>
      </c>
      <c r="G67" s="70">
        <f t="shared" si="30"/>
        <v>1558.7179446299506</v>
      </c>
      <c r="H67" s="70">
        <f t="shared" si="30"/>
        <v>1523.3369334834726</v>
      </c>
      <c r="I67" s="70">
        <f>SUM(C67:H67)</f>
        <v>4536.6345463946618</v>
      </c>
    </row>
    <row r="69" spans="1:10" x14ac:dyDescent="0.2">
      <c r="A69" s="484" t="s">
        <v>41</v>
      </c>
      <c r="B69" s="47" t="s">
        <v>94</v>
      </c>
      <c r="C69" s="832">
        <f t="shared" ref="C69:H69" si="31">(C4)*1000000</f>
        <v>1713174254.027025</v>
      </c>
      <c r="D69" s="832">
        <f t="shared" si="31"/>
        <v>1713174254.027025</v>
      </c>
      <c r="E69" s="832">
        <f t="shared" si="31"/>
        <v>1713174254.027025</v>
      </c>
      <c r="F69" s="832">
        <f>(F4)*1000000</f>
        <v>1713174254.027025</v>
      </c>
      <c r="G69" s="832">
        <f t="shared" si="31"/>
        <v>1713174254.027025</v>
      </c>
      <c r="H69" s="832">
        <f t="shared" si="31"/>
        <v>1713174254.027025</v>
      </c>
      <c r="I69" s="414">
        <f>SUM(C69:H69)</f>
        <v>10279045524.162149</v>
      </c>
      <c r="J69" s="414"/>
    </row>
    <row r="70" spans="1:10" x14ac:dyDescent="0.2">
      <c r="A70" s="484" t="s">
        <v>40</v>
      </c>
      <c r="B70" s="47" t="s">
        <v>94</v>
      </c>
      <c r="C70" s="832">
        <f>(C5+C7+C8+C9+C11+C12+C14+C16+C17+C18+C28)*1000000</f>
        <v>1812241638.077323</v>
      </c>
      <c r="D70" s="832">
        <f t="shared" ref="D70:H70" si="32">(D5+D7+D8+D9+D11+D12+D14+D16+D17+D18+D28)*1000000</f>
        <v>2623457643.7633324</v>
      </c>
      <c r="E70" s="832">
        <f t="shared" si="32"/>
        <v>2720200635.7918591</v>
      </c>
      <c r="F70" s="832">
        <f>(F5+F7+F8+F9+F11+F12+F14+F16+F17+F18+F28)*1000000</f>
        <v>2912225236.8329382</v>
      </c>
      <c r="G70" s="832">
        <f t="shared" si="32"/>
        <v>2921488446.557807</v>
      </c>
      <c r="H70" s="832">
        <f t="shared" si="32"/>
        <v>2922616895.9887023</v>
      </c>
      <c r="I70" s="414">
        <f>SUM(C70:H70)</f>
        <v>15912230497.011965</v>
      </c>
    </row>
    <row r="71" spans="1:10" x14ac:dyDescent="0.2">
      <c r="C71" s="402"/>
      <c r="D71" s="402"/>
      <c r="E71" s="402"/>
      <c r="F71" s="402"/>
      <c r="G71" s="402"/>
      <c r="H71" s="402"/>
      <c r="I71" s="241">
        <f>I69+I70</f>
        <v>26191276021.174114</v>
      </c>
      <c r="J71" s="241">
        <f>+SUM(C4:H5)</f>
        <v>11336.321985457569</v>
      </c>
    </row>
    <row r="72" spans="1:10" x14ac:dyDescent="0.2">
      <c r="A72" s="47" t="s">
        <v>731</v>
      </c>
      <c r="B72" s="484" t="s">
        <v>37</v>
      </c>
      <c r="F72" s="2281">
        <f>(F51+F57+F63)/3</f>
        <v>3.3821410256410257E-2</v>
      </c>
      <c r="I72" s="241">
        <f>+J71+J72</f>
        <v>26191.276021174108</v>
      </c>
      <c r="J72" s="414">
        <f>+C7+C8+C9+C11+C12+C14+C16+C18+D7+D8+D9+D11+D12+D14+D16+D18+E7+E8+E9+E11+E12+E14+E16+E18+F7+F8+F11+F12+F14+F16+F17+F18+F28+G7+G8+G11+G12+G14+G16+G17+G18+G28+H7+H8+H11+H12+H14+H17+H18+H28</f>
        <v>14854.954035716539</v>
      </c>
    </row>
    <row r="73" spans="1:10" x14ac:dyDescent="0.2">
      <c r="I73" s="402"/>
    </row>
    <row r="74" spans="1:10" x14ac:dyDescent="0.2">
      <c r="C74" s="70"/>
      <c r="D74" s="70"/>
      <c r="E74" s="70"/>
      <c r="F74" s="70"/>
      <c r="G74" s="70"/>
      <c r="H74" s="70"/>
    </row>
    <row r="75" spans="1:10" x14ac:dyDescent="0.2">
      <c r="A75" s="1" t="s">
        <v>788</v>
      </c>
    </row>
    <row r="76" spans="1:10" ht="37.950000000000003" customHeight="1" x14ac:dyDescent="0.2">
      <c r="A76" s="2957" t="s">
        <v>1386</v>
      </c>
      <c r="B76" s="2957"/>
      <c r="C76" s="2957"/>
      <c r="D76" s="2732"/>
    </row>
    <row r="77" spans="1:10" ht="144" customHeight="1" x14ac:dyDescent="0.2">
      <c r="A77" s="2958" t="s">
        <v>1391</v>
      </c>
      <c r="B77" s="2948"/>
      <c r="C77" s="2948"/>
      <c r="D77" s="2948"/>
    </row>
    <row r="78" spans="1:10" s="2810" customFormat="1" ht="28.95" customHeight="1" x14ac:dyDescent="0.25">
      <c r="A78" s="2957" t="s">
        <v>1462</v>
      </c>
      <c r="B78" s="2957"/>
      <c r="C78" s="2957"/>
      <c r="D78" s="2957"/>
      <c r="E78" s="2811"/>
    </row>
    <row r="79" spans="1:10" x14ac:dyDescent="0.2">
      <c r="A79" s="2802"/>
      <c r="B79" s="2802"/>
      <c r="C79" s="2802"/>
      <c r="D79" s="2802"/>
    </row>
    <row r="80" spans="1:10" ht="34.200000000000003" customHeight="1" x14ac:dyDescent="0.2">
      <c r="A80" s="2948" t="s">
        <v>1415</v>
      </c>
      <c r="B80" s="2948"/>
      <c r="C80" s="2948"/>
      <c r="D80" s="2948"/>
    </row>
    <row r="81" spans="1:5" ht="13.2" thickBot="1" x14ac:dyDescent="0.25">
      <c r="A81" s="510"/>
      <c r="B81" s="510"/>
      <c r="C81" s="510"/>
      <c r="D81" s="183"/>
    </row>
    <row r="82" spans="1:5" ht="14.4" thickBot="1" x14ac:dyDescent="0.25">
      <c r="A82" s="2839" t="s">
        <v>1392</v>
      </c>
      <c r="B82" s="2840" t="s">
        <v>1393</v>
      </c>
      <c r="C82" s="2840" t="s">
        <v>1394</v>
      </c>
      <c r="D82" s="2840" t="s">
        <v>1395</v>
      </c>
    </row>
    <row r="83" spans="1:5" ht="14.4" thickBot="1" x14ac:dyDescent="0.25">
      <c r="A83" s="2893" t="s">
        <v>1396</v>
      </c>
      <c r="B83" s="2894" t="s">
        <v>1397</v>
      </c>
      <c r="C83" s="2894" t="s">
        <v>1398</v>
      </c>
      <c r="D83" s="2894" t="s">
        <v>1416</v>
      </c>
      <c r="E83" s="402"/>
    </row>
    <row r="84" spans="1:5" ht="14.4" thickBot="1" x14ac:dyDescent="0.25">
      <c r="A84" s="2893" t="s">
        <v>1399</v>
      </c>
      <c r="B84" s="2894" t="s">
        <v>1397</v>
      </c>
      <c r="C84" s="2894" t="s">
        <v>1398</v>
      </c>
      <c r="D84" s="2894" t="s">
        <v>1400</v>
      </c>
      <c r="E84" s="402">
        <f>12.5*2</f>
        <v>25</v>
      </c>
    </row>
    <row r="85" spans="1:5" ht="14.4" thickBot="1" x14ac:dyDescent="0.25">
      <c r="A85" s="2893" t="s">
        <v>1401</v>
      </c>
      <c r="B85" s="2894" t="s">
        <v>1402</v>
      </c>
      <c r="C85" s="2894" t="s">
        <v>1398</v>
      </c>
      <c r="D85" s="2894" t="s">
        <v>1403</v>
      </c>
      <c r="E85" s="402">
        <f>625+12.5</f>
        <v>637.5</v>
      </c>
    </row>
    <row r="86" spans="1:5" ht="14.4" thickBot="1" x14ac:dyDescent="0.25">
      <c r="A86" s="2893" t="s">
        <v>1404</v>
      </c>
      <c r="B86" s="2894" t="s">
        <v>1402</v>
      </c>
      <c r="C86" s="2894" t="s">
        <v>1405</v>
      </c>
      <c r="D86" s="2894" t="s">
        <v>1406</v>
      </c>
      <c r="E86" s="402">
        <f>625+9.375</f>
        <v>634.375</v>
      </c>
    </row>
    <row r="87" spans="1:5" ht="14.4" thickBot="1" x14ac:dyDescent="0.25">
      <c r="A87" s="2893" t="s">
        <v>1407</v>
      </c>
      <c r="B87" s="2894" t="s">
        <v>1402</v>
      </c>
      <c r="C87" s="2894" t="s">
        <v>1408</v>
      </c>
      <c r="D87" s="2894" t="s">
        <v>1409</v>
      </c>
      <c r="E87" s="402">
        <f>625+6.25</f>
        <v>631.25</v>
      </c>
    </row>
    <row r="88" spans="1:5" ht="14.4" thickBot="1" x14ac:dyDescent="0.25">
      <c r="A88" s="2893" t="s">
        <v>1410</v>
      </c>
      <c r="B88" s="2894" t="s">
        <v>1402</v>
      </c>
      <c r="C88" s="2894" t="s">
        <v>1411</v>
      </c>
      <c r="D88" s="2894" t="s">
        <v>1412</v>
      </c>
      <c r="E88" s="402">
        <f>625+3.125</f>
        <v>628.125</v>
      </c>
    </row>
    <row r="89" spans="1:5" x14ac:dyDescent="0.2">
      <c r="E89" s="402">
        <f>SUM(E84:E88)</f>
        <v>2556.25</v>
      </c>
    </row>
    <row r="90" spans="1:5" x14ac:dyDescent="0.2">
      <c r="A90" s="2948" t="s">
        <v>1467</v>
      </c>
      <c r="B90" s="2948"/>
      <c r="C90" s="2948"/>
      <c r="D90" s="2948"/>
    </row>
    <row r="91" spans="1:5" x14ac:dyDescent="0.2">
      <c r="A91" s="2948"/>
      <c r="B91" s="2948"/>
      <c r="C91" s="2948"/>
      <c r="D91" s="2948"/>
    </row>
    <row r="92" spans="1:5" x14ac:dyDescent="0.2">
      <c r="A92" s="2948"/>
      <c r="B92" s="2948"/>
      <c r="C92" s="2948"/>
      <c r="D92" s="2948"/>
    </row>
    <row r="93" spans="1:5" x14ac:dyDescent="0.2">
      <c r="A93" s="415"/>
      <c r="B93" s="1086" t="s">
        <v>1463</v>
      </c>
      <c r="C93" s="2802"/>
      <c r="D93" s="2802"/>
    </row>
    <row r="94" spans="1:5" x14ac:dyDescent="0.2">
      <c r="A94" s="594" t="s">
        <v>1466</v>
      </c>
      <c r="B94" s="2895">
        <v>111.997828</v>
      </c>
      <c r="C94" s="2857"/>
      <c r="D94" s="2802"/>
    </row>
    <row r="95" spans="1:5" x14ac:dyDescent="0.2">
      <c r="A95" s="594" t="s">
        <v>1465</v>
      </c>
      <c r="B95" s="2895">
        <f>+B96+B97+B98</f>
        <v>41.04222231</v>
      </c>
      <c r="C95" s="2857"/>
      <c r="D95" s="2802"/>
    </row>
    <row r="96" spans="1:5" x14ac:dyDescent="0.2">
      <c r="A96" s="2901" t="s">
        <v>1315</v>
      </c>
      <c r="B96" s="2895">
        <v>7.5808479999999996</v>
      </c>
      <c r="C96" s="2802"/>
      <c r="D96" s="2802"/>
    </row>
    <row r="97" spans="1:4" x14ac:dyDescent="0.2">
      <c r="A97" s="2901" t="s">
        <v>1316</v>
      </c>
      <c r="B97" s="2895">
        <v>8.4291</v>
      </c>
      <c r="C97" s="2802"/>
      <c r="D97" s="2802"/>
    </row>
    <row r="98" spans="1:4" ht="13.2" thickBot="1" x14ac:dyDescent="0.25">
      <c r="A98" s="2901" t="s">
        <v>1317</v>
      </c>
      <c r="B98" s="2895">
        <v>25.032274309999998</v>
      </c>
      <c r="C98" s="2802"/>
      <c r="D98" s="2802"/>
    </row>
    <row r="99" spans="1:4" ht="13.2" thickBot="1" x14ac:dyDescent="0.25">
      <c r="A99" s="2814" t="s">
        <v>494</v>
      </c>
      <c r="B99" s="2841">
        <f>+B94+B96+B97+B98</f>
        <v>153.04005031</v>
      </c>
      <c r="C99" s="2802"/>
      <c r="D99" s="2802"/>
    </row>
    <row r="100" spans="1:4" ht="16.8" customHeight="1" x14ac:dyDescent="0.2"/>
    <row r="101" spans="1:4" ht="10.199999999999999" customHeight="1" x14ac:dyDescent="0.2"/>
    <row r="102" spans="1:4" ht="61.8" customHeight="1" x14ac:dyDescent="0.2">
      <c r="A102" s="2948" t="s">
        <v>1442</v>
      </c>
      <c r="B102" s="2948"/>
      <c r="C102" s="2948"/>
      <c r="D102" s="2948"/>
    </row>
    <row r="103" spans="1:4" ht="38.4" hidden="1" customHeight="1" x14ac:dyDescent="0.2">
      <c r="A103" s="2948"/>
      <c r="B103" s="2948"/>
      <c r="C103" s="2948"/>
      <c r="D103" s="2948"/>
    </row>
    <row r="104" spans="1:4" x14ac:dyDescent="0.2">
      <c r="A104" s="183"/>
      <c r="B104" s="1086" t="s">
        <v>1313</v>
      </c>
      <c r="C104" s="183"/>
      <c r="D104" s="183"/>
    </row>
    <row r="105" spans="1:4" x14ac:dyDescent="0.2">
      <c r="A105" s="594" t="s">
        <v>1413</v>
      </c>
      <c r="B105" s="2895">
        <v>299181781.10000002</v>
      </c>
      <c r="C105" s="183"/>
      <c r="D105" s="183"/>
    </row>
    <row r="106" spans="1:4" x14ac:dyDescent="0.2">
      <c r="A106" s="594" t="s">
        <v>1314</v>
      </c>
      <c r="B106" s="2895">
        <v>0</v>
      </c>
      <c r="C106" s="183"/>
      <c r="D106" s="183"/>
    </row>
    <row r="107" spans="1:4" x14ac:dyDescent="0.2">
      <c r="A107" s="594" t="s">
        <v>1414</v>
      </c>
      <c r="B107" s="2895">
        <f>+B108+B109+B110</f>
        <v>2118082.6276856051</v>
      </c>
      <c r="C107" s="868"/>
      <c r="D107" s="183"/>
    </row>
    <row r="108" spans="1:4" x14ac:dyDescent="0.2">
      <c r="A108" s="2896" t="s">
        <v>1315</v>
      </c>
      <c r="B108" s="2895">
        <v>447556.32757235609</v>
      </c>
      <c r="C108" s="868"/>
      <c r="D108" s="183"/>
    </row>
    <row r="109" spans="1:4" x14ac:dyDescent="0.2">
      <c r="A109" s="2896" t="s">
        <v>1316</v>
      </c>
      <c r="B109" s="2895">
        <v>670526.30011324899</v>
      </c>
      <c r="C109" s="183"/>
      <c r="D109" s="183"/>
    </row>
    <row r="110" spans="1:4" ht="13.2" thickBot="1" x14ac:dyDescent="0.25">
      <c r="A110" s="2812" t="s">
        <v>1317</v>
      </c>
      <c r="B110" s="2813">
        <f>2000000/2</f>
        <v>1000000</v>
      </c>
      <c r="C110" s="183"/>
      <c r="D110" s="183"/>
    </row>
    <row r="111" spans="1:4" ht="13.2" thickBot="1" x14ac:dyDescent="0.25">
      <c r="A111" s="2858" t="s">
        <v>1318</v>
      </c>
      <c r="B111" s="2882">
        <f>+B105+B106+B107</f>
        <v>301299863.72768563</v>
      </c>
      <c r="C111" s="183"/>
      <c r="D111" s="183"/>
    </row>
    <row r="112" spans="1:4" ht="13.2" thickBot="1" x14ac:dyDescent="0.25">
      <c r="A112" s="2814" t="s">
        <v>1319</v>
      </c>
      <c r="B112" s="2883">
        <v>0</v>
      </c>
      <c r="C112" s="868"/>
      <c r="D112" s="183"/>
    </row>
    <row r="113" spans="1:4" ht="13.2" thickBot="1" x14ac:dyDescent="0.25">
      <c r="A113" s="2814" t="s">
        <v>445</v>
      </c>
      <c r="B113" s="2883">
        <f>+B111+B112</f>
        <v>301299863.72768563</v>
      </c>
      <c r="C113" s="183"/>
      <c r="D113" s="183"/>
    </row>
    <row r="114" spans="1:4" x14ac:dyDescent="0.2">
      <c r="A114" s="183"/>
      <c r="B114" s="183"/>
      <c r="C114" s="183"/>
      <c r="D114" s="183"/>
    </row>
    <row r="115" spans="1:4" x14ac:dyDescent="0.2">
      <c r="A115" s="415" t="s">
        <v>1464</v>
      </c>
    </row>
  </sheetData>
  <mergeCells count="11">
    <mergeCell ref="A102:D103"/>
    <mergeCell ref="J2:K2"/>
    <mergeCell ref="A6:H6"/>
    <mergeCell ref="L17:L21"/>
    <mergeCell ref="L7:L12"/>
    <mergeCell ref="I7:I15"/>
    <mergeCell ref="A76:C76"/>
    <mergeCell ref="A77:D77"/>
    <mergeCell ref="A78:D78"/>
    <mergeCell ref="A80:D80"/>
    <mergeCell ref="A90:D92"/>
  </mergeCells>
  <phoneticPr fontId="54" type="noConversion"/>
  <printOptions horizontalCentered="1"/>
  <pageMargins left="0.09" right="0.12" top="0.36" bottom="0.09" header="0.02" footer="0"/>
  <pageSetup paperSize="9" scale="3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defaultSize="0" autoLine="0" r:id="rId5">
            <anchor moveWithCells="1">
              <from>
                <xdr:col>5</xdr:col>
                <xdr:colOff>411480</xdr:colOff>
                <xdr:row>0</xdr:row>
                <xdr:rowOff>30480</xdr:rowOff>
              </from>
              <to>
                <xdr:col>5</xdr:col>
                <xdr:colOff>1165860</xdr:colOff>
                <xdr:row>1</xdr:row>
                <xdr:rowOff>91440</xdr:rowOff>
              </to>
            </anchor>
          </controlPr>
        </control>
      </mc:Choice>
      <mc:Fallback>
        <control shapeId="5121" r:id="rId4" name="CommandButton1"/>
      </mc:Fallback>
    </mc:AlternateContent>
  </control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0">
    <tabColor rgb="FF00B050"/>
  </sheetPr>
  <dimension ref="B2:Q214"/>
  <sheetViews>
    <sheetView showGridLines="0" topLeftCell="A20" zoomScale="80" zoomScaleNormal="80" workbookViewId="0">
      <selection activeCell="D47" sqref="D47"/>
    </sheetView>
  </sheetViews>
  <sheetFormatPr defaultColWidth="11" defaultRowHeight="12.6" x14ac:dyDescent="0.2"/>
  <cols>
    <col min="2" max="2" width="51.453125" customWidth="1"/>
    <col min="3" max="3" width="18" customWidth="1"/>
    <col min="4" max="4" width="20.08984375" bestFit="1" customWidth="1"/>
    <col min="5" max="5" width="18.90625" bestFit="1" customWidth="1"/>
    <col min="6" max="6" width="19.36328125" customWidth="1"/>
    <col min="7" max="7" width="22" customWidth="1"/>
    <col min="8" max="8" width="20.26953125" customWidth="1"/>
    <col min="9" max="9" width="18.6328125" customWidth="1"/>
    <col min="10" max="10" width="24.36328125" customWidth="1"/>
    <col min="11" max="15" width="16.7265625" bestFit="1" customWidth="1"/>
    <col min="16" max="16" width="18" bestFit="1" customWidth="1"/>
  </cols>
  <sheetData>
    <row r="2" spans="2:15" ht="19.8" x14ac:dyDescent="0.3">
      <c r="B2" s="1676" t="s">
        <v>1060</v>
      </c>
      <c r="C2" s="1676" t="str">
        <f>'Bulk Supply Tariffs'!B2</f>
        <v xml:space="preserve">April - June 2026 </v>
      </c>
    </row>
    <row r="3" spans="2:15" s="27" customFormat="1" ht="16.2" x14ac:dyDescent="0.3">
      <c r="B3" s="3063"/>
      <c r="C3" s="3063"/>
    </row>
    <row r="4" spans="2:15" s="27" customFormat="1" ht="15" customHeight="1" x14ac:dyDescent="0.3">
      <c r="B4" s="3"/>
    </row>
    <row r="5" spans="2:15" ht="17.399999999999999" x14ac:dyDescent="0.3">
      <c r="B5" s="1660" t="s">
        <v>23</v>
      </c>
      <c r="D5" s="2"/>
      <c r="E5" s="2"/>
      <c r="F5" s="2"/>
      <c r="G5" s="2"/>
      <c r="H5" s="2"/>
      <c r="I5" s="2"/>
      <c r="J5" s="398"/>
      <c r="K5" s="398"/>
      <c r="L5" s="398"/>
      <c r="M5" s="398"/>
      <c r="N5" s="398"/>
      <c r="O5" s="398"/>
    </row>
    <row r="6" spans="2:15" ht="17.399999999999999" x14ac:dyDescent="0.3">
      <c r="B6" s="1660"/>
      <c r="D6" s="2"/>
      <c r="E6" s="2"/>
      <c r="F6" s="2"/>
      <c r="G6" s="2"/>
      <c r="H6" s="2"/>
      <c r="I6" s="2"/>
      <c r="J6" s="398"/>
      <c r="K6" s="398"/>
      <c r="L6" s="398"/>
      <c r="M6" s="398"/>
      <c r="N6" s="398"/>
      <c r="O6" s="398"/>
    </row>
    <row r="7" spans="2:15" ht="14.4" thickBot="1" x14ac:dyDescent="0.3">
      <c r="B7" s="1755" t="s">
        <v>984</v>
      </c>
      <c r="C7" s="1662"/>
      <c r="D7" s="2"/>
      <c r="E7" s="2"/>
      <c r="F7" s="2"/>
      <c r="G7" s="2"/>
      <c r="H7" s="2"/>
      <c r="I7" s="2"/>
      <c r="J7" s="398"/>
      <c r="K7" s="398"/>
      <c r="L7" s="398"/>
      <c r="M7" s="398"/>
      <c r="N7" s="398"/>
      <c r="O7" s="398"/>
    </row>
    <row r="8" spans="2:15" ht="36" customHeight="1" thickBot="1" x14ac:dyDescent="0.25">
      <c r="B8" s="745" t="s">
        <v>44</v>
      </c>
      <c r="C8" s="220" t="s">
        <v>36</v>
      </c>
      <c r="D8" s="746">
        <f>'Gen. Capacity 220'!C4</f>
        <v>46023</v>
      </c>
      <c r="E8" s="746">
        <f>'Gen. Capacity 220'!D4</f>
        <v>46054</v>
      </c>
      <c r="F8" s="746">
        <f>'Gen. Capacity 220'!E4</f>
        <v>46082</v>
      </c>
      <c r="G8" s="746">
        <f>'Gen. Capacity 220'!F4</f>
        <v>46113</v>
      </c>
      <c r="H8" s="746">
        <f>'Gen. Capacity 220'!G4</f>
        <v>46143</v>
      </c>
      <c r="I8" s="746">
        <f>'Gen. Capacity 220'!H4</f>
        <v>46174</v>
      </c>
      <c r="J8" s="398"/>
      <c r="K8" s="398"/>
      <c r="L8" s="398"/>
      <c r="M8" s="398"/>
      <c r="N8" s="398"/>
      <c r="O8" s="398"/>
    </row>
    <row r="9" spans="2:15" x14ac:dyDescent="0.2">
      <c r="B9" s="1663" t="s">
        <v>23</v>
      </c>
      <c r="C9" s="1664"/>
      <c r="D9" s="1665"/>
      <c r="E9" s="1665"/>
      <c r="F9" s="1665"/>
      <c r="G9" s="1665"/>
      <c r="H9" s="1665"/>
      <c r="I9" s="1666"/>
      <c r="J9" s="398"/>
      <c r="K9" s="398"/>
      <c r="L9" s="398"/>
      <c r="M9" s="398"/>
      <c r="N9" s="398"/>
      <c r="O9" s="398"/>
    </row>
    <row r="10" spans="2:15" x14ac:dyDescent="0.2">
      <c r="B10" s="16" t="s">
        <v>45</v>
      </c>
      <c r="C10" s="12" t="s">
        <v>42</v>
      </c>
      <c r="D10" s="1077" t="e">
        <f>'Gen. Capacity 33'!C66</f>
        <v>#REF!</v>
      </c>
      <c r="E10" s="1077" t="e">
        <f>'Gen. Capacity 33'!D66</f>
        <v>#REF!</v>
      </c>
      <c r="F10" s="1077" t="e">
        <f>'Gen. Capacity 33'!E66</f>
        <v>#REF!</v>
      </c>
      <c r="G10" s="1077" t="e">
        <f>'Gen. Capacity 33'!F66</f>
        <v>#REF!</v>
      </c>
      <c r="H10" s="1077" t="e">
        <f>'Gen. Capacity 33'!G66</f>
        <v>#REF!</v>
      </c>
      <c r="I10" s="1077" t="e">
        <f>'Gen. Capacity 33'!H66</f>
        <v>#REF!</v>
      </c>
      <c r="J10" s="398"/>
      <c r="K10" s="398"/>
      <c r="L10" s="398"/>
      <c r="M10" s="398"/>
      <c r="N10" s="398"/>
      <c r="O10" s="398"/>
    </row>
    <row r="11" spans="2:15" x14ac:dyDescent="0.2">
      <c r="B11" s="16" t="s">
        <v>46</v>
      </c>
      <c r="C11" s="12" t="s">
        <v>42</v>
      </c>
      <c r="D11" s="1077" t="e">
        <f>'TR &amp; BSS, TLF voltage wise'!C102</f>
        <v>#DIV/0!</v>
      </c>
      <c r="E11" s="1077" t="e">
        <f>'TR &amp; BSS, TLF voltage wise'!D102</f>
        <v>#DIV/0!</v>
      </c>
      <c r="F11" s="1077" t="e">
        <f>'TR &amp; BSS, TLF voltage wise'!E102</f>
        <v>#DIV/0!</v>
      </c>
      <c r="G11" s="1077">
        <f>'TR &amp; BSS, TLF voltage wise'!F102</f>
        <v>798591.42780112487</v>
      </c>
      <c r="H11" s="1077">
        <f>'TR &amp; BSS, TLF voltage wise'!G102</f>
        <v>767263.95051911345</v>
      </c>
      <c r="I11" s="1077">
        <f>'TR &amp; BSS, TLF voltage wise'!H102</f>
        <v>807446.94077352574</v>
      </c>
      <c r="J11" s="398"/>
      <c r="K11" s="398"/>
      <c r="L11" s="398"/>
      <c r="M11" s="398"/>
      <c r="N11" s="398"/>
      <c r="O11" s="398"/>
    </row>
    <row r="12" spans="2:15" x14ac:dyDescent="0.2">
      <c r="B12" s="16" t="s">
        <v>47</v>
      </c>
      <c r="C12" s="12" t="s">
        <v>42</v>
      </c>
      <c r="D12" s="1077" t="e">
        <f>'TR &amp; BSS, TLF voltage wise'!C107</f>
        <v>#DIV/0!</v>
      </c>
      <c r="E12" s="1077" t="e">
        <f>'TR &amp; BSS, TLF voltage wise'!D107</f>
        <v>#DIV/0!</v>
      </c>
      <c r="F12" s="1077" t="e">
        <f>'TR &amp; BSS, TLF voltage wise'!E107</f>
        <v>#DIV/0!</v>
      </c>
      <c r="G12" s="1077">
        <f>'TR &amp; BSS, TLF voltage wise'!F107</f>
        <v>312627.82763977692</v>
      </c>
      <c r="H12" s="1077">
        <f>'TR &amp; BSS, TLF voltage wise'!G107</f>
        <v>299626.55317558657</v>
      </c>
      <c r="I12" s="1077">
        <f>'TR &amp; BSS, TLF voltage wise'!H107</f>
        <v>380967.28797125974</v>
      </c>
      <c r="J12" s="398"/>
      <c r="K12" s="398"/>
      <c r="L12" s="398"/>
      <c r="M12" s="398"/>
      <c r="N12" s="398"/>
      <c r="O12" s="398"/>
    </row>
    <row r="13" spans="2:15" ht="13.2" thickBot="1" x14ac:dyDescent="0.25">
      <c r="B13" s="10" t="s">
        <v>52</v>
      </c>
      <c r="C13" s="32" t="s">
        <v>42</v>
      </c>
      <c r="D13" s="1079" t="e">
        <f t="shared" ref="D13:I13" si="0">+D10+D11+D12</f>
        <v>#REF!</v>
      </c>
      <c r="E13" s="1079" t="e">
        <f t="shared" si="0"/>
        <v>#REF!</v>
      </c>
      <c r="F13" s="1079" t="e">
        <f t="shared" si="0"/>
        <v>#REF!</v>
      </c>
      <c r="G13" s="1079" t="e">
        <f t="shared" si="0"/>
        <v>#REF!</v>
      </c>
      <c r="H13" s="1079" t="e">
        <f t="shared" si="0"/>
        <v>#REF!</v>
      </c>
      <c r="I13" s="1080" t="e">
        <f t="shared" si="0"/>
        <v>#REF!</v>
      </c>
      <c r="J13" s="398"/>
      <c r="K13" s="398"/>
      <c r="L13" s="398"/>
      <c r="M13" s="398"/>
      <c r="N13" s="398"/>
      <c r="O13" s="398"/>
    </row>
    <row r="14" spans="2:15" hidden="1" x14ac:dyDescent="0.2">
      <c r="B14" s="1"/>
      <c r="C14" s="4"/>
      <c r="D14" s="1667">
        <f>'[4]TR &amp; BSS, TLF'!C27</f>
        <v>2323.7134093252698</v>
      </c>
      <c r="E14" s="1667">
        <f>'[4]TR &amp; BSS, TLF'!D27</f>
        <v>2437.3984453723001</v>
      </c>
      <c r="F14" s="1667">
        <f>'[4]TR &amp; BSS, TLF'!E27</f>
        <v>2531.7729656372999</v>
      </c>
      <c r="G14" s="1667">
        <f>'[4]TR &amp; BSS, TLF'!F27</f>
        <v>2372.6083144566201</v>
      </c>
      <c r="H14" s="1667">
        <f>'[4]TR &amp; BSS, TLF'!G27</f>
        <v>2295.1119602578201</v>
      </c>
      <c r="I14" s="1667">
        <f>'[4]TR &amp; BSS, TLF'!H27</f>
        <v>2274.9483306731099</v>
      </c>
      <c r="J14" s="398">
        <f>D14+E14+F14+G14+H14+I14</f>
        <v>14235.553425722421</v>
      </c>
      <c r="K14" s="398"/>
      <c r="L14" s="398"/>
      <c r="M14" s="398"/>
      <c r="N14" s="398"/>
      <c r="O14" s="398"/>
    </row>
    <row r="15" spans="2:15" hidden="1" x14ac:dyDescent="0.2">
      <c r="B15" s="1"/>
      <c r="C15" s="4"/>
      <c r="D15" s="1667" t="e">
        <f t="shared" ref="D15:I15" si="1">D13*D14</f>
        <v>#REF!</v>
      </c>
      <c r="E15" s="1667" t="e">
        <f t="shared" si="1"/>
        <v>#REF!</v>
      </c>
      <c r="F15" s="1667" t="e">
        <f t="shared" si="1"/>
        <v>#REF!</v>
      </c>
      <c r="G15" s="1667" t="e">
        <f t="shared" si="1"/>
        <v>#REF!</v>
      </c>
      <c r="H15" s="1667" t="e">
        <f t="shared" si="1"/>
        <v>#REF!</v>
      </c>
      <c r="I15" s="1667" t="e">
        <f t="shared" si="1"/>
        <v>#REF!</v>
      </c>
      <c r="J15" s="398" t="e">
        <f>D15+E15+F15+G15+H15+I15</f>
        <v>#REF!</v>
      </c>
      <c r="K15" s="398"/>
      <c r="L15" s="398"/>
      <c r="M15" s="398"/>
      <c r="N15" s="398"/>
      <c r="O15" s="398"/>
    </row>
    <row r="16" spans="2:15" hidden="1" x14ac:dyDescent="0.2">
      <c r="B16" s="1"/>
      <c r="C16" s="4"/>
      <c r="D16" s="1667"/>
      <c r="E16" s="1667"/>
      <c r="F16" s="1667"/>
      <c r="G16" s="1667"/>
      <c r="H16" s="1667"/>
      <c r="I16" s="1667"/>
      <c r="J16" s="398" t="e">
        <f>J15/J14</f>
        <v>#REF!</v>
      </c>
      <c r="K16" s="398"/>
      <c r="L16" s="398"/>
      <c r="M16" s="398"/>
      <c r="N16" s="398"/>
      <c r="O16" s="398"/>
    </row>
    <row r="17" spans="2:15" ht="13.2" thickBot="1" x14ac:dyDescent="0.25">
      <c r="D17" s="2"/>
      <c r="E17" s="2"/>
      <c r="F17" s="2"/>
      <c r="G17" s="2"/>
      <c r="H17" s="2"/>
      <c r="I17" s="2"/>
      <c r="J17" s="398"/>
      <c r="K17" s="398"/>
      <c r="L17" s="398"/>
      <c r="M17" s="398"/>
      <c r="N17" s="398"/>
      <c r="O17" s="398"/>
    </row>
    <row r="18" spans="2:15" ht="25.8" thickBot="1" x14ac:dyDescent="0.25">
      <c r="B18" s="96" t="s">
        <v>985</v>
      </c>
      <c r="C18" s="1668" t="s">
        <v>42</v>
      </c>
      <c r="D18" s="1669" t="e">
        <f>+SUMPRODUCT(D13:I13,'TR &amp; BSS, TLF voltage wise'!C27:H27)/SUM('TR &amp; BSS, TLF voltage wise'!C27:H27)</f>
        <v>#REF!</v>
      </c>
      <c r="E18" s="85"/>
      <c r="F18" s="1203"/>
      <c r="H18" s="2"/>
      <c r="I18" s="2"/>
      <c r="J18" s="398"/>
      <c r="K18" s="398"/>
      <c r="L18" s="398"/>
      <c r="M18" s="398"/>
      <c r="N18" s="398"/>
      <c r="O18" s="398"/>
    </row>
    <row r="19" spans="2:15" x14ac:dyDescent="0.2">
      <c r="D19" s="2"/>
      <c r="E19" s="2"/>
      <c r="F19" s="2"/>
      <c r="G19" s="2"/>
      <c r="H19" s="2"/>
      <c r="I19" s="2"/>
      <c r="J19" s="398"/>
      <c r="K19" s="398"/>
      <c r="L19" s="398"/>
      <c r="M19" s="398"/>
      <c r="N19" s="398"/>
      <c r="O19" s="398"/>
    </row>
    <row r="20" spans="2:15" ht="14.4" thickBot="1" x14ac:dyDescent="0.3">
      <c r="B20" s="1755" t="s">
        <v>986</v>
      </c>
      <c r="C20" s="106"/>
      <c r="J20" s="398"/>
      <c r="K20" s="398"/>
      <c r="L20" s="398"/>
      <c r="M20" s="398"/>
      <c r="N20" s="398"/>
      <c r="O20" s="398"/>
    </row>
    <row r="21" spans="2:15" ht="30.75" customHeight="1" thickBot="1" x14ac:dyDescent="0.25">
      <c r="B21" s="94" t="s">
        <v>44</v>
      </c>
      <c r="C21" s="95" t="s">
        <v>36</v>
      </c>
      <c r="D21" s="427">
        <f>D8</f>
        <v>46023</v>
      </c>
      <c r="E21" s="427">
        <f t="shared" ref="E21:I21" si="2">E8</f>
        <v>46054</v>
      </c>
      <c r="F21" s="427">
        <f t="shared" si="2"/>
        <v>46082</v>
      </c>
      <c r="G21" s="427">
        <f t="shared" si="2"/>
        <v>46113</v>
      </c>
      <c r="H21" s="427">
        <f t="shared" si="2"/>
        <v>46143</v>
      </c>
      <c r="I21" s="427">
        <f t="shared" si="2"/>
        <v>46174</v>
      </c>
      <c r="J21" s="398"/>
      <c r="K21" s="398"/>
      <c r="L21" s="398"/>
      <c r="M21" s="398"/>
      <c r="N21" s="398"/>
      <c r="O21" s="398"/>
    </row>
    <row r="22" spans="2:15" x14ac:dyDescent="0.2">
      <c r="B22" s="1663" t="s">
        <v>23</v>
      </c>
      <c r="C22" s="1664"/>
      <c r="D22" s="1665"/>
      <c r="E22" s="1665"/>
      <c r="F22" s="1665"/>
      <c r="G22" s="1665"/>
      <c r="H22" s="1665"/>
      <c r="I22" s="1666"/>
      <c r="J22" s="398"/>
      <c r="K22" s="398"/>
      <c r="L22" s="398"/>
      <c r="M22" s="398"/>
      <c r="N22" s="398"/>
      <c r="O22" s="398"/>
    </row>
    <row r="23" spans="2:15" x14ac:dyDescent="0.2">
      <c r="B23" s="16" t="s">
        <v>45</v>
      </c>
      <c r="C23" s="12" t="s">
        <v>42</v>
      </c>
      <c r="D23" s="1077" t="e">
        <f>'Gen. Capacity 132'!C57</f>
        <v>#REF!</v>
      </c>
      <c r="E23" s="1077" t="e">
        <f>'Gen. Capacity 132'!D57</f>
        <v>#REF!</v>
      </c>
      <c r="F23" s="1077" t="e">
        <f>'Gen. Capacity 132'!E57</f>
        <v>#REF!</v>
      </c>
      <c r="G23" s="1077" t="e">
        <f>'Gen. Capacity 132'!F57</f>
        <v>#REF!</v>
      </c>
      <c r="H23" s="1077" t="e">
        <f>'Gen. Capacity 132'!G57</f>
        <v>#REF!</v>
      </c>
      <c r="I23" s="1077" t="e">
        <f>'Gen. Capacity 132'!H57</f>
        <v>#REF!</v>
      </c>
      <c r="J23" s="398"/>
      <c r="K23" s="398"/>
      <c r="L23" s="398"/>
      <c r="M23" s="398"/>
      <c r="N23" s="398"/>
      <c r="O23" s="398"/>
    </row>
    <row r="24" spans="2:15" x14ac:dyDescent="0.2">
      <c r="B24" s="16" t="s">
        <v>46</v>
      </c>
      <c r="C24" s="12" t="s">
        <v>42</v>
      </c>
      <c r="D24" s="1077" t="e">
        <f>'TR &amp; BSS, TLF voltage wise'!C67</f>
        <v>#DIV/0!</v>
      </c>
      <c r="E24" s="1077" t="e">
        <f>'TR &amp; BSS, TLF voltage wise'!D67</f>
        <v>#DIV/0!</v>
      </c>
      <c r="F24" s="1077" t="e">
        <f>'TR &amp; BSS, TLF voltage wise'!E67</f>
        <v>#DIV/0!</v>
      </c>
      <c r="G24" s="1077">
        <f>'TR &amp; BSS, TLF voltage wise'!F67</f>
        <v>809812.05822748749</v>
      </c>
      <c r="H24" s="1077">
        <f>'TR &amp; BSS, TLF voltage wise'!G67</f>
        <v>778298.99407120317</v>
      </c>
      <c r="I24" s="1077">
        <f>'TR &amp; BSS, TLF voltage wise'!H67</f>
        <v>820570.37379537593</v>
      </c>
      <c r="J24" s="398"/>
      <c r="K24" s="398"/>
      <c r="L24" s="398"/>
      <c r="M24" s="398"/>
      <c r="N24" s="398"/>
      <c r="O24" s="398"/>
    </row>
    <row r="25" spans="2:15" x14ac:dyDescent="0.2">
      <c r="B25" s="16" t="s">
        <v>47</v>
      </c>
      <c r="C25" s="12" t="s">
        <v>42</v>
      </c>
      <c r="D25" s="1077" t="e">
        <f>'TR &amp; BSS, TLF voltage wise'!C72</f>
        <v>#DIV/0!</v>
      </c>
      <c r="E25" s="1077" t="e">
        <f>'TR &amp; BSS, TLF voltage wise'!D72</f>
        <v>#DIV/0!</v>
      </c>
      <c r="F25" s="1077" t="e">
        <f>'TR &amp; BSS, TLF voltage wise'!E72</f>
        <v>#DIV/0!</v>
      </c>
      <c r="G25" s="1077">
        <f>'TR &amp; BSS, TLF voltage wise'!F72</f>
        <v>317020.41337614186</v>
      </c>
      <c r="H25" s="1077">
        <f>'TR &amp; BSS, TLF voltage wise'!G72</f>
        <v>303935.88122549444</v>
      </c>
      <c r="I25" s="1077">
        <f>'TR &amp; BSS, TLF voltage wise'!H72</f>
        <v>387159.14830875408</v>
      </c>
      <c r="J25" s="398"/>
      <c r="K25" s="398"/>
      <c r="L25" s="398"/>
      <c r="M25" s="398"/>
      <c r="N25" s="398"/>
      <c r="O25" s="398"/>
    </row>
    <row r="26" spans="2:15" ht="13.2" thickBot="1" x14ac:dyDescent="0.25">
      <c r="B26" s="10" t="s">
        <v>52</v>
      </c>
      <c r="C26" s="32" t="s">
        <v>42</v>
      </c>
      <c r="D26" s="1079" t="e">
        <f t="shared" ref="D26:I26" si="3">+D23+D24+D25</f>
        <v>#REF!</v>
      </c>
      <c r="E26" s="1079" t="e">
        <f t="shared" si="3"/>
        <v>#REF!</v>
      </c>
      <c r="F26" s="1079" t="e">
        <f t="shared" si="3"/>
        <v>#REF!</v>
      </c>
      <c r="G26" s="1079" t="e">
        <f t="shared" si="3"/>
        <v>#REF!</v>
      </c>
      <c r="H26" s="1079" t="e">
        <f t="shared" si="3"/>
        <v>#REF!</v>
      </c>
      <c r="I26" s="1080" t="e">
        <f t="shared" si="3"/>
        <v>#REF!</v>
      </c>
      <c r="J26" s="398"/>
      <c r="K26" s="398"/>
      <c r="L26" s="398"/>
      <c r="M26" s="398"/>
      <c r="N26" s="398"/>
      <c r="O26" s="398"/>
    </row>
    <row r="27" spans="2:15" ht="13.2" hidden="1" thickBot="1" x14ac:dyDescent="0.25">
      <c r="B27" s="1662"/>
      <c r="C27" s="1670"/>
      <c r="D27" s="1671">
        <f>'[4]TR &amp; BSS, TLF'!C23</f>
        <v>2278.1212428348399</v>
      </c>
      <c r="E27" s="1671">
        <f>'[4]TR &amp; BSS, TLF'!D23</f>
        <v>2387.2653012057999</v>
      </c>
      <c r="F27" s="1671">
        <f>'[4]TR &amp; BSS, TLF'!E23</f>
        <v>2478.7495372139101</v>
      </c>
      <c r="G27" s="1671">
        <f>'[4]TR &amp; BSS, TLF'!F23</f>
        <v>2319.1934660245502</v>
      </c>
      <c r="H27" s="1671">
        <f>'[4]TR &amp; BSS, TLF'!G23</f>
        <v>2267.1779044706</v>
      </c>
      <c r="I27" s="1671">
        <f>'[4]TR &amp; BSS, TLF'!H23</f>
        <v>2266.6060409473598</v>
      </c>
      <c r="J27" s="398">
        <f>D27+E27+F27+G27+H27+I27</f>
        <v>13997.113492697059</v>
      </c>
      <c r="K27" s="398"/>
      <c r="L27" s="398"/>
      <c r="M27" s="398"/>
      <c r="N27" s="398"/>
      <c r="O27" s="398"/>
    </row>
    <row r="28" spans="2:15" ht="13.2" hidden="1" thickBot="1" x14ac:dyDescent="0.25">
      <c r="B28" s="1662"/>
      <c r="C28" s="1670"/>
      <c r="D28" s="1671" t="e">
        <f t="shared" ref="D28:I28" si="4">D26*D27</f>
        <v>#REF!</v>
      </c>
      <c r="E28" s="1671" t="e">
        <f t="shared" si="4"/>
        <v>#REF!</v>
      </c>
      <c r="F28" s="1671" t="e">
        <f t="shared" si="4"/>
        <v>#REF!</v>
      </c>
      <c r="G28" s="1671" t="e">
        <f t="shared" si="4"/>
        <v>#REF!</v>
      </c>
      <c r="H28" s="1671" t="e">
        <f t="shared" si="4"/>
        <v>#REF!</v>
      </c>
      <c r="I28" s="1671" t="e">
        <f t="shared" si="4"/>
        <v>#REF!</v>
      </c>
      <c r="J28" s="398" t="e">
        <f>D28+E28+F28+G28+H28+I28</f>
        <v>#REF!</v>
      </c>
      <c r="K28" s="398"/>
      <c r="L28" s="398"/>
      <c r="M28" s="398"/>
      <c r="N28" s="398"/>
      <c r="O28" s="398"/>
    </row>
    <row r="29" spans="2:15" ht="13.2" hidden="1" thickBot="1" x14ac:dyDescent="0.25">
      <c r="B29" s="1662"/>
      <c r="C29" s="1670"/>
      <c r="D29" s="1671"/>
      <c r="E29" s="1667"/>
      <c r="F29" s="1667"/>
      <c r="G29" s="1667"/>
      <c r="H29" s="1667"/>
      <c r="I29" s="1667"/>
      <c r="J29" s="398" t="e">
        <f>J28/J27</f>
        <v>#REF!</v>
      </c>
      <c r="K29" s="398"/>
      <c r="L29" s="398"/>
      <c r="M29" s="398"/>
      <c r="N29" s="398"/>
      <c r="O29" s="398"/>
    </row>
    <row r="30" spans="2:15" ht="13.2" thickBot="1" x14ac:dyDescent="0.25">
      <c r="B30" s="108"/>
      <c r="C30" s="109"/>
      <c r="D30" s="110"/>
      <c r="E30" s="107"/>
      <c r="F30" s="107"/>
      <c r="G30" s="107"/>
      <c r="H30" s="107"/>
      <c r="I30" s="107"/>
      <c r="J30" s="398"/>
      <c r="K30" s="398"/>
      <c r="L30" s="398"/>
      <c r="M30" s="398"/>
      <c r="N30" s="398"/>
      <c r="O30" s="398"/>
    </row>
    <row r="31" spans="2:15" ht="26.25" customHeight="1" thickBot="1" x14ac:dyDescent="0.25">
      <c r="B31" s="3069" t="s">
        <v>193</v>
      </c>
      <c r="C31" s="1756" t="s">
        <v>42</v>
      </c>
      <c r="D31" s="396" t="e">
        <f>+SUMPRODUCT(D26:I26,'TR &amp; BSS, TLF voltage wise'!C23:H23)/SUM('TR &amp; BSS, TLF voltage wise'!C23:H23)</f>
        <v>#REF!</v>
      </c>
      <c r="E31" s="402"/>
      <c r="G31" s="2"/>
      <c r="H31" s="2"/>
      <c r="I31" s="2"/>
      <c r="J31" s="398"/>
      <c r="K31" s="398"/>
      <c r="L31" s="398"/>
      <c r="M31" s="398"/>
      <c r="N31" s="398"/>
      <c r="O31" s="398"/>
    </row>
    <row r="32" spans="2:15" ht="13.2" thickBot="1" x14ac:dyDescent="0.25">
      <c r="B32" s="3070"/>
      <c r="C32" s="1757" t="s">
        <v>721</v>
      </c>
      <c r="D32" s="1672" t="e">
        <f>D31/AVERAGE('tx consumer data'!B14:G14)</f>
        <v>#REF!</v>
      </c>
      <c r="E32" s="1203"/>
      <c r="F32" s="1203"/>
      <c r="G32" s="2"/>
      <c r="H32" s="2"/>
      <c r="I32" s="2"/>
      <c r="J32" s="398"/>
      <c r="K32" s="398"/>
      <c r="L32" s="398"/>
      <c r="M32" s="398"/>
      <c r="N32" s="398"/>
      <c r="O32" s="398"/>
    </row>
    <row r="33" spans="2:17" x14ac:dyDescent="0.2">
      <c r="D33" s="2"/>
      <c r="E33" s="562"/>
      <c r="F33" s="2"/>
      <c r="G33" s="2"/>
      <c r="H33" s="2"/>
      <c r="I33" s="2"/>
      <c r="J33" s="398"/>
      <c r="K33" s="398"/>
      <c r="L33" s="398"/>
      <c r="M33" s="398"/>
      <c r="N33" s="398"/>
      <c r="O33" s="398"/>
    </row>
    <row r="34" spans="2:17" ht="19.5" customHeight="1" thickBot="1" x14ac:dyDescent="0.3">
      <c r="B34" s="1083" t="s">
        <v>987</v>
      </c>
    </row>
    <row r="35" spans="2:17" ht="30" customHeight="1" x14ac:dyDescent="0.2">
      <c r="B35" s="94" t="s">
        <v>44</v>
      </c>
      <c r="C35" s="95" t="s">
        <v>36</v>
      </c>
      <c r="D35" s="427">
        <f>D21</f>
        <v>46023</v>
      </c>
      <c r="E35" s="427">
        <f t="shared" ref="E35:I35" si="5">E21</f>
        <v>46054</v>
      </c>
      <c r="F35" s="427">
        <f t="shared" si="5"/>
        <v>46082</v>
      </c>
      <c r="G35" s="427">
        <f t="shared" si="5"/>
        <v>46113</v>
      </c>
      <c r="H35" s="427">
        <f t="shared" si="5"/>
        <v>46143</v>
      </c>
      <c r="I35" s="427">
        <f t="shared" si="5"/>
        <v>46174</v>
      </c>
    </row>
    <row r="36" spans="2:17" x14ac:dyDescent="0.2">
      <c r="B36" s="14" t="s">
        <v>23</v>
      </c>
      <c r="C36" s="476"/>
      <c r="D36" s="418"/>
      <c r="E36" s="418"/>
      <c r="F36" s="418"/>
      <c r="G36" s="418"/>
      <c r="H36" s="418"/>
      <c r="I36" s="479"/>
    </row>
    <row r="37" spans="2:17" x14ac:dyDescent="0.2">
      <c r="B37" s="1076" t="s">
        <v>45</v>
      </c>
      <c r="C37" s="418" t="s">
        <v>42</v>
      </c>
      <c r="D37" s="1077" t="e">
        <f>'Gen. Capacity 220'!C51</f>
        <v>#REF!</v>
      </c>
      <c r="E37" s="1077" t="e">
        <f>'Gen. Capacity 220'!D51</f>
        <v>#REF!</v>
      </c>
      <c r="F37" s="1077" t="e">
        <f>'Gen. Capacity 220'!E51</f>
        <v>#REF!</v>
      </c>
      <c r="G37" s="1077" t="e">
        <f>'Gen. Capacity 220'!F51</f>
        <v>#REF!</v>
      </c>
      <c r="H37" s="1077" t="e">
        <f>'Gen. Capacity 220'!G51</f>
        <v>#REF!</v>
      </c>
      <c r="I37" s="1077" t="e">
        <f>'Gen. Capacity 220'!H51</f>
        <v>#REF!</v>
      </c>
      <c r="J37" s="402"/>
      <c r="K37" s="402"/>
      <c r="L37" s="402"/>
    </row>
    <row r="38" spans="2:17" x14ac:dyDescent="0.2">
      <c r="B38" s="1076" t="s">
        <v>46</v>
      </c>
      <c r="C38" s="418" t="s">
        <v>42</v>
      </c>
      <c r="D38" s="1077" t="e">
        <f>'TR &amp; BSS, TLF voltage wise'!C35</f>
        <v>#DIV/0!</v>
      </c>
      <c r="E38" s="1077" t="e">
        <f>'TR &amp; BSS, TLF voltage wise'!D35</f>
        <v>#DIV/0!</v>
      </c>
      <c r="F38" s="1077" t="e">
        <f>'TR &amp; BSS, TLF voltage wise'!E35</f>
        <v>#DIV/0!</v>
      </c>
      <c r="G38" s="1077">
        <f>'TR &amp; BSS, TLF voltage wise'!F35</f>
        <v>268305.36446887185</v>
      </c>
      <c r="H38" s="1077">
        <f>'TR &amp; BSS, TLF voltage wise'!G35</f>
        <v>266787.30029795697</v>
      </c>
      <c r="I38" s="1077">
        <f>'TR &amp; BSS, TLF voltage wise'!H35</f>
        <v>283582.00942559208</v>
      </c>
      <c r="J38" s="402"/>
      <c r="K38" s="402"/>
      <c r="L38" s="402"/>
    </row>
    <row r="39" spans="2:17" x14ac:dyDescent="0.2">
      <c r="B39" s="1076" t="s">
        <v>47</v>
      </c>
      <c r="C39" s="418" t="s">
        <v>42</v>
      </c>
      <c r="D39" s="1077" t="e">
        <f>'TR &amp; BSS, TLF voltage wise'!C38</f>
        <v>#DIV/0!</v>
      </c>
      <c r="E39" s="1077" t="e">
        <f>'TR &amp; BSS, TLF voltage wise'!D38</f>
        <v>#DIV/0!</v>
      </c>
      <c r="F39" s="1077" t="e">
        <f>'TR &amp; BSS, TLF voltage wise'!E38</f>
        <v>#DIV/0!</v>
      </c>
      <c r="G39" s="1077">
        <f>'TR &amp; BSS, TLF voltage wise'!F38</f>
        <v>105034.59005183658</v>
      </c>
      <c r="H39" s="1077">
        <f>'TR &amp; BSS, TLF voltage wise'!G38</f>
        <v>104183.91111065983</v>
      </c>
      <c r="I39" s="1077">
        <f>'TR &amp; BSS, TLF voltage wise'!H38</f>
        <v>133798.8462063045</v>
      </c>
      <c r="J39" s="402"/>
      <c r="K39" s="402"/>
      <c r="L39" s="402"/>
    </row>
    <row r="40" spans="2:17" ht="13.2" thickBot="1" x14ac:dyDescent="0.25">
      <c r="B40" s="10" t="s">
        <v>52</v>
      </c>
      <c r="C40" s="32" t="s">
        <v>42</v>
      </c>
      <c r="D40" s="1079" t="e">
        <f t="shared" ref="D40:I40" si="6">+D37+D38+D39</f>
        <v>#REF!</v>
      </c>
      <c r="E40" s="1079" t="e">
        <f t="shared" si="6"/>
        <v>#REF!</v>
      </c>
      <c r="F40" s="1079" t="e">
        <f t="shared" si="6"/>
        <v>#REF!</v>
      </c>
      <c r="G40" s="1079" t="e">
        <f t="shared" si="6"/>
        <v>#REF!</v>
      </c>
      <c r="H40" s="1079" t="e">
        <f t="shared" si="6"/>
        <v>#REF!</v>
      </c>
      <c r="I40" s="1080" t="e">
        <f t="shared" si="6"/>
        <v>#REF!</v>
      </c>
      <c r="J40" s="397"/>
      <c r="K40" s="397"/>
      <c r="L40" s="397"/>
      <c r="M40" s="397"/>
      <c r="N40" s="397"/>
      <c r="O40" s="397"/>
      <c r="P40" s="397"/>
      <c r="Q40" s="397"/>
    </row>
    <row r="41" spans="2:17" ht="13.2" hidden="1" thickBot="1" x14ac:dyDescent="0.25">
      <c r="B41" s="1662"/>
      <c r="C41" s="1670"/>
      <c r="D41" s="1671">
        <f>'[4]TR &amp; BSS, TLF'!C17</f>
        <v>1599.83196835233</v>
      </c>
      <c r="E41" s="1671">
        <f>'[4]TR &amp; BSS, TLF'!D17</f>
        <v>1816.2283691289499</v>
      </c>
      <c r="F41" s="1671">
        <f>'[4]TR &amp; BSS, TLF'!E17</f>
        <v>1898.6825800311301</v>
      </c>
      <c r="G41" s="1671">
        <f>'[4]TR &amp; BSS, TLF'!F17</f>
        <v>1762.1945224713299</v>
      </c>
      <c r="H41" s="1671">
        <f>'[4]TR &amp; BSS, TLF'!G17</f>
        <v>1736.52058837803</v>
      </c>
      <c r="I41" s="1671">
        <f>'[4]TR &amp; BSS, TLF'!H17</f>
        <v>1766.90615313271</v>
      </c>
      <c r="J41" s="398">
        <f>D41+E41+F41+G41+H41+I41</f>
        <v>10580.364181494479</v>
      </c>
      <c r="K41" s="397"/>
      <c r="L41" s="397"/>
      <c r="M41" s="397"/>
      <c r="N41" s="397"/>
      <c r="O41" s="397"/>
      <c r="P41" s="397"/>
      <c r="Q41" s="397"/>
    </row>
    <row r="42" spans="2:17" ht="13.2" hidden="1" thickBot="1" x14ac:dyDescent="0.25">
      <c r="B42" s="1662"/>
      <c r="C42" s="1670"/>
      <c r="D42" s="1671" t="e">
        <f t="shared" ref="D42:I42" si="7">D40*D41</f>
        <v>#REF!</v>
      </c>
      <c r="E42" s="1671" t="e">
        <f t="shared" si="7"/>
        <v>#REF!</v>
      </c>
      <c r="F42" s="1671" t="e">
        <f t="shared" si="7"/>
        <v>#REF!</v>
      </c>
      <c r="G42" s="1671" t="e">
        <f t="shared" si="7"/>
        <v>#REF!</v>
      </c>
      <c r="H42" s="1671" t="e">
        <f t="shared" si="7"/>
        <v>#REF!</v>
      </c>
      <c r="I42" s="1671" t="e">
        <f t="shared" si="7"/>
        <v>#REF!</v>
      </c>
      <c r="J42" s="398" t="e">
        <f>D42+E42+F42+G42+H42+I42</f>
        <v>#REF!</v>
      </c>
      <c r="K42" s="397"/>
      <c r="L42" s="397"/>
      <c r="M42" s="397"/>
      <c r="N42" s="397"/>
      <c r="O42" s="397"/>
      <c r="P42" s="397"/>
      <c r="Q42" s="397"/>
    </row>
    <row r="43" spans="2:17" ht="13.2" hidden="1" thickBot="1" x14ac:dyDescent="0.25">
      <c r="B43" s="1662"/>
      <c r="C43" s="1670"/>
      <c r="D43" s="1671"/>
      <c r="E43" s="1667"/>
      <c r="F43" s="1667"/>
      <c r="G43" s="1667"/>
      <c r="H43" s="1667"/>
      <c r="I43" s="1667"/>
      <c r="J43" s="398" t="e">
        <f>J42/J41</f>
        <v>#REF!</v>
      </c>
      <c r="K43" s="397"/>
      <c r="L43" s="397"/>
      <c r="M43" s="397"/>
      <c r="N43" s="397"/>
      <c r="O43" s="397"/>
      <c r="P43" s="397"/>
      <c r="Q43" s="397"/>
    </row>
    <row r="44" spans="2:17" ht="13.2" hidden="1" thickBot="1" x14ac:dyDescent="0.25">
      <c r="B44" s="1662"/>
      <c r="C44" s="1670"/>
      <c r="D44" s="1671"/>
      <c r="E44" s="1667"/>
      <c r="F44" s="1667"/>
      <c r="G44" s="1667"/>
      <c r="H44" s="1667"/>
      <c r="I44" s="1667"/>
      <c r="J44" s="397"/>
      <c r="K44" s="397"/>
      <c r="L44" s="397"/>
      <c r="M44" s="397"/>
      <c r="N44" s="397"/>
      <c r="O44" s="397"/>
      <c r="P44" s="397"/>
      <c r="Q44" s="397"/>
    </row>
    <row r="45" spans="2:17" ht="13.2" thickBot="1" x14ac:dyDescent="0.25">
      <c r="B45" s="108"/>
      <c r="C45" s="109"/>
      <c r="D45" s="110"/>
      <c r="E45" s="107"/>
      <c r="F45" s="107"/>
      <c r="G45" s="107"/>
      <c r="H45" s="107"/>
      <c r="I45" s="107"/>
      <c r="J45" s="398"/>
      <c r="K45" s="398"/>
      <c r="L45" s="398"/>
    </row>
    <row r="46" spans="2:17" ht="26.25" customHeight="1" thickBot="1" x14ac:dyDescent="0.25">
      <c r="B46" s="3069" t="s">
        <v>193</v>
      </c>
      <c r="C46" s="1756" t="s">
        <v>42</v>
      </c>
      <c r="D46" s="396" t="e">
        <f>+SUMPRODUCT(D40:I40,'TR &amp; BSS, TLF voltage wise'!C17:H17)/SUM('TR &amp; BSS, TLF voltage wise'!C17:H17)</f>
        <v>#REF!</v>
      </c>
      <c r="E46" s="1327"/>
      <c r="G46" s="2"/>
      <c r="H46" s="2"/>
      <c r="I46" s="2"/>
      <c r="J46" s="398"/>
      <c r="K46" s="398"/>
      <c r="L46" s="398"/>
      <c r="M46" s="398"/>
      <c r="N46" s="398"/>
      <c r="O46" s="398"/>
    </row>
    <row r="47" spans="2:17" ht="13.2" thickBot="1" x14ac:dyDescent="0.25">
      <c r="B47" s="3070"/>
      <c r="C47" s="1757" t="s">
        <v>721</v>
      </c>
      <c r="D47" s="1672" t="e">
        <f>D46/AVERAGE('tx consumer data'!B13:G13)</f>
        <v>#REF!</v>
      </c>
      <c r="E47" s="1203"/>
      <c r="F47" s="1203"/>
      <c r="G47" s="2"/>
      <c r="H47" s="2"/>
      <c r="I47" s="2"/>
      <c r="J47" s="398"/>
      <c r="K47" s="398"/>
      <c r="L47" s="398"/>
      <c r="M47" s="398"/>
      <c r="N47" s="398"/>
      <c r="O47" s="398"/>
    </row>
    <row r="48" spans="2:17" x14ac:dyDescent="0.2">
      <c r="D48" s="2"/>
      <c r="E48" s="2"/>
      <c r="F48" s="2"/>
      <c r="G48" s="2"/>
      <c r="H48" s="2"/>
      <c r="I48" s="2"/>
      <c r="J48" s="398"/>
      <c r="K48" s="398"/>
      <c r="L48" s="398"/>
      <c r="M48" s="398"/>
      <c r="N48" s="398"/>
      <c r="O48" s="398"/>
    </row>
    <row r="49" spans="2:15" x14ac:dyDescent="0.2">
      <c r="D49" s="2"/>
      <c r="E49" s="2"/>
      <c r="F49" s="2"/>
      <c r="G49" s="2"/>
      <c r="H49" s="2"/>
      <c r="I49" s="2"/>
      <c r="J49" s="398"/>
      <c r="K49" s="398"/>
      <c r="L49" s="398"/>
      <c r="M49" s="398"/>
      <c r="N49" s="398"/>
      <c r="O49" s="398"/>
    </row>
    <row r="50" spans="2:15" ht="17.399999999999999" x14ac:dyDescent="0.3">
      <c r="B50" s="1673" t="s">
        <v>988</v>
      </c>
      <c r="D50" s="2"/>
      <c r="E50" s="2"/>
      <c r="F50" s="2"/>
      <c r="G50" s="2"/>
      <c r="H50" s="2"/>
      <c r="I50" s="2"/>
      <c r="J50" s="398"/>
      <c r="K50" s="398"/>
      <c r="L50" s="398"/>
      <c r="M50" s="398"/>
      <c r="N50" s="398"/>
      <c r="O50" s="398"/>
    </row>
    <row r="51" spans="2:15" ht="16.2" hidden="1" x14ac:dyDescent="0.3">
      <c r="B51" s="1674" t="s">
        <v>989</v>
      </c>
      <c r="D51" s="2"/>
      <c r="E51" s="2"/>
      <c r="F51" s="2"/>
      <c r="G51" s="2"/>
      <c r="H51" s="2"/>
      <c r="I51" s="2"/>
      <c r="J51" s="398"/>
      <c r="K51" s="398"/>
      <c r="L51" s="398"/>
      <c r="M51" s="398"/>
      <c r="N51" s="398"/>
      <c r="O51" s="398"/>
    </row>
    <row r="52" spans="2:15" hidden="1" x14ac:dyDescent="0.2">
      <c r="D52" s="2"/>
      <c r="E52" s="2"/>
      <c r="F52" s="2"/>
      <c r="G52" s="2"/>
      <c r="H52" s="2"/>
      <c r="I52" s="2"/>
      <c r="J52" s="398"/>
      <c r="K52" s="398"/>
      <c r="L52" s="398"/>
      <c r="M52" s="398"/>
      <c r="N52" s="398"/>
      <c r="O52" s="398"/>
    </row>
    <row r="53" spans="2:15" ht="13.2" hidden="1" thickBot="1" x14ac:dyDescent="0.25">
      <c r="B53" s="105" t="s">
        <v>990</v>
      </c>
      <c r="C53" s="106"/>
      <c r="D53" s="52"/>
      <c r="E53" s="52"/>
      <c r="F53" s="52"/>
      <c r="G53" s="52"/>
      <c r="H53" s="52"/>
      <c r="I53" s="52"/>
      <c r="J53" s="398"/>
      <c r="K53" s="398"/>
      <c r="L53" s="398"/>
      <c r="M53" s="398"/>
      <c r="N53" s="398"/>
      <c r="O53" s="398"/>
    </row>
    <row r="54" spans="2:15" ht="30" hidden="1" customHeight="1" x14ac:dyDescent="0.2">
      <c r="B54" s="94" t="s">
        <v>44</v>
      </c>
      <c r="C54" s="95" t="s">
        <v>36</v>
      </c>
      <c r="D54" s="427">
        <f t="shared" ref="D54:I54" si="8">D35</f>
        <v>46023</v>
      </c>
      <c r="E54" s="427"/>
      <c r="F54" s="427">
        <f t="shared" si="8"/>
        <v>46082</v>
      </c>
      <c r="G54" s="427">
        <f t="shared" si="8"/>
        <v>46113</v>
      </c>
      <c r="H54" s="427">
        <f t="shared" si="8"/>
        <v>46143</v>
      </c>
      <c r="I54" s="427">
        <f t="shared" si="8"/>
        <v>46174</v>
      </c>
    </row>
    <row r="55" spans="2:15" hidden="1" x14ac:dyDescent="0.2">
      <c r="B55" s="17"/>
      <c r="C55" s="8"/>
      <c r="D55" s="12"/>
      <c r="E55" s="12"/>
      <c r="F55" s="12"/>
      <c r="G55" s="12"/>
      <c r="H55" s="12"/>
      <c r="I55" s="15"/>
    </row>
    <row r="56" spans="2:15" hidden="1" x14ac:dyDescent="0.2">
      <c r="B56" s="17" t="s">
        <v>603</v>
      </c>
      <c r="C56" s="8"/>
      <c r="D56" s="12"/>
      <c r="E56" s="12"/>
      <c r="F56" s="12"/>
      <c r="G56" s="12"/>
      <c r="H56" s="12"/>
      <c r="I56" s="15"/>
    </row>
    <row r="57" spans="2:15" hidden="1" x14ac:dyDescent="0.2">
      <c r="B57" s="16" t="s">
        <v>48</v>
      </c>
      <c r="C57" s="12" t="s">
        <v>37</v>
      </c>
      <c r="D57" s="1675">
        <f>'[4]TR &amp; BSS, TLF'!C140</f>
        <v>0</v>
      </c>
      <c r="E57" s="18"/>
      <c r="F57" s="18">
        <f>'[4]TR &amp; BSS, TLF'!E140</f>
        <v>0</v>
      </c>
      <c r="G57" s="18">
        <f>'[4]TR &amp; BSS, TLF'!F140</f>
        <v>0</v>
      </c>
      <c r="H57" s="18">
        <f>'[4]TR &amp; BSS, TLF'!G140</f>
        <v>0</v>
      </c>
      <c r="I57" s="19">
        <f>'[4]TR &amp; BSS, TLF'!H140</f>
        <v>0</v>
      </c>
    </row>
    <row r="58" spans="2:15" hidden="1" x14ac:dyDescent="0.2">
      <c r="B58" s="16" t="s">
        <v>194</v>
      </c>
      <c r="C58" s="12" t="s">
        <v>88</v>
      </c>
      <c r="D58" s="702">
        <f>'[4]Gen. Energy Cost'!E10</f>
        <v>12.2194462035571</v>
      </c>
      <c r="E58" s="702"/>
      <c r="F58" s="702">
        <f>'[4]Gen. Energy Cost'!Q10</f>
        <v>14.4563472393439</v>
      </c>
      <c r="G58" s="702">
        <f>'[4]Gen. Energy Cost'!W10</f>
        <v>14.1330496045882</v>
      </c>
      <c r="H58" s="702">
        <f>'[4]Gen. Energy Cost'!AC10</f>
        <v>12.2712774547464</v>
      </c>
      <c r="I58" s="703">
        <f>'[4]Gen. Energy Cost'!AI10</f>
        <v>11.6494474471553</v>
      </c>
    </row>
    <row r="59" spans="2:15" hidden="1" x14ac:dyDescent="0.2">
      <c r="B59" s="14" t="s">
        <v>49</v>
      </c>
      <c r="C59" s="31" t="s">
        <v>88</v>
      </c>
      <c r="D59" s="704">
        <f t="shared" ref="D59:I59" si="9">+(1+D57)*D58</f>
        <v>12.2194462035571</v>
      </c>
      <c r="E59" s="704"/>
      <c r="F59" s="704">
        <f t="shared" si="9"/>
        <v>14.4563472393439</v>
      </c>
      <c r="G59" s="704">
        <f t="shared" si="9"/>
        <v>14.1330496045882</v>
      </c>
      <c r="H59" s="704">
        <f t="shared" si="9"/>
        <v>12.2712774547464</v>
      </c>
      <c r="I59" s="705">
        <f t="shared" si="9"/>
        <v>11.6494474471553</v>
      </c>
    </row>
    <row r="60" spans="2:15" hidden="1" x14ac:dyDescent="0.2">
      <c r="B60" s="6"/>
      <c r="C60" s="8"/>
      <c r="D60" s="702"/>
      <c r="E60" s="702"/>
      <c r="F60" s="702"/>
      <c r="G60" s="702"/>
      <c r="H60" s="702"/>
      <c r="I60" s="703"/>
    </row>
    <row r="61" spans="2:15" hidden="1" x14ac:dyDescent="0.2">
      <c r="B61" s="17" t="s">
        <v>32</v>
      </c>
      <c r="C61" s="8"/>
      <c r="D61" s="702"/>
      <c r="E61" s="702"/>
      <c r="F61" s="702"/>
      <c r="G61" s="702"/>
      <c r="H61" s="702"/>
      <c r="I61" s="703"/>
    </row>
    <row r="62" spans="2:15" hidden="1" x14ac:dyDescent="0.2">
      <c r="B62" s="16" t="s">
        <v>195</v>
      </c>
      <c r="C62" s="12" t="s">
        <v>37</v>
      </c>
      <c r="D62" s="751">
        <f>'[4]TR &amp; BSS, TLF'!C146</f>
        <v>0</v>
      </c>
      <c r="E62" s="751"/>
      <c r="F62" s="751">
        <f>'[4]TR &amp; BSS, TLF'!E146</f>
        <v>0</v>
      </c>
      <c r="G62" s="751">
        <f>'[4]TR &amp; BSS, TLF'!F146</f>
        <v>0</v>
      </c>
      <c r="H62" s="751">
        <f>'[4]TR &amp; BSS, TLF'!G146</f>
        <v>0</v>
      </c>
      <c r="I62" s="752">
        <f>'[4]TR &amp; BSS, TLF'!H146</f>
        <v>0</v>
      </c>
    </row>
    <row r="63" spans="2:15" hidden="1" x14ac:dyDescent="0.2">
      <c r="B63" s="16" t="s">
        <v>196</v>
      </c>
      <c r="C63" s="12" t="s">
        <v>88</v>
      </c>
      <c r="D63" s="702">
        <f>'[4]Gen. Energy Cost'!E11</f>
        <v>15.885280064624199</v>
      </c>
      <c r="E63" s="702"/>
      <c r="F63" s="702">
        <f>'[4]Gen. Energy Cost'!Q11</f>
        <v>18.7932514111471</v>
      </c>
      <c r="G63" s="702">
        <f>'[4]Gen. Energy Cost'!W11</f>
        <v>18.372964485964602</v>
      </c>
      <c r="H63" s="702">
        <f>'[4]Gen. Energy Cost'!AC11</f>
        <v>15.9526606911703</v>
      </c>
      <c r="I63" s="703">
        <f>'[4]Gen. Energy Cost'!AI11</f>
        <v>15.1442816813019</v>
      </c>
    </row>
    <row r="64" spans="2:15" hidden="1" x14ac:dyDescent="0.2">
      <c r="B64" s="14" t="s">
        <v>50</v>
      </c>
      <c r="C64" s="31" t="s">
        <v>88</v>
      </c>
      <c r="D64" s="704">
        <f t="shared" ref="D64:I64" si="10">+(1+D62)*D63</f>
        <v>15.885280064624199</v>
      </c>
      <c r="E64" s="704"/>
      <c r="F64" s="704">
        <f t="shared" si="10"/>
        <v>18.7932514111471</v>
      </c>
      <c r="G64" s="704">
        <f t="shared" si="10"/>
        <v>18.372964485964602</v>
      </c>
      <c r="H64" s="704">
        <f t="shared" si="10"/>
        <v>15.9526606911703</v>
      </c>
      <c r="I64" s="705">
        <f t="shared" si="10"/>
        <v>15.1442816813019</v>
      </c>
    </row>
    <row r="65" spans="2:9" hidden="1" x14ac:dyDescent="0.2">
      <c r="B65" s="6"/>
      <c r="C65" s="8"/>
      <c r="D65" s="702"/>
      <c r="E65" s="702"/>
      <c r="F65" s="702"/>
      <c r="G65" s="702"/>
      <c r="H65" s="702"/>
      <c r="I65" s="703"/>
    </row>
    <row r="66" spans="2:9" hidden="1" x14ac:dyDescent="0.2">
      <c r="B66" s="17" t="s">
        <v>33</v>
      </c>
      <c r="C66" s="8"/>
      <c r="D66" s="702"/>
      <c r="E66" s="702"/>
      <c r="F66" s="702"/>
      <c r="G66" s="702"/>
      <c r="H66" s="702"/>
      <c r="I66" s="703"/>
    </row>
    <row r="67" spans="2:9" hidden="1" x14ac:dyDescent="0.2">
      <c r="B67" s="16" t="s">
        <v>197</v>
      </c>
      <c r="C67" s="12" t="s">
        <v>37</v>
      </c>
      <c r="D67" s="751">
        <f>'[4]TR &amp; BSS, TLF'!C152</f>
        <v>0</v>
      </c>
      <c r="E67" s="751"/>
      <c r="F67" s="751">
        <f>'[4]TR &amp; BSS, TLF'!E152</f>
        <v>0</v>
      </c>
      <c r="G67" s="751">
        <f>'[4]TR &amp; BSS, TLF'!F152</f>
        <v>0</v>
      </c>
      <c r="H67" s="751">
        <f>'[4]TR &amp; BSS, TLF'!G152</f>
        <v>0</v>
      </c>
      <c r="I67" s="752">
        <f>'[4]TR &amp; BSS, TLF'!H152</f>
        <v>0</v>
      </c>
    </row>
    <row r="68" spans="2:9" hidden="1" x14ac:dyDescent="0.2">
      <c r="B68" s="16" t="s">
        <v>198</v>
      </c>
      <c r="C68" s="12" t="s">
        <v>88</v>
      </c>
      <c r="D68" s="702">
        <f>'[4]Gen. Energy Cost'!E12</f>
        <v>7.3316677221342603</v>
      </c>
      <c r="E68" s="702"/>
      <c r="F68" s="702">
        <f>'[4]Gen. Energy Cost'!Q12</f>
        <v>8.6738083436063391</v>
      </c>
      <c r="G68" s="702">
        <f>'[4]Gen. Energy Cost'!W12</f>
        <v>8.4798297627528996</v>
      </c>
      <c r="H68" s="702">
        <f>'[4]Gen. Energy Cost'!AC12</f>
        <v>7.3627664728478104</v>
      </c>
      <c r="I68" s="703">
        <f>'[4]Gen. Energy Cost'!AI12</f>
        <v>6.9896684682931802</v>
      </c>
    </row>
    <row r="69" spans="2:9" ht="13.2" hidden="1" thickBot="1" x14ac:dyDescent="0.25">
      <c r="B69" s="10" t="s">
        <v>51</v>
      </c>
      <c r="C69" s="32" t="s">
        <v>88</v>
      </c>
      <c r="D69" s="706">
        <f t="shared" ref="D69:I69" si="11">+(1+D67)*D68</f>
        <v>7.3316677221342603</v>
      </c>
      <c r="E69" s="706"/>
      <c r="F69" s="706">
        <f t="shared" si="11"/>
        <v>8.6738083436063391</v>
      </c>
      <c r="G69" s="706">
        <f t="shared" si="11"/>
        <v>8.4798297627528996</v>
      </c>
      <c r="H69" s="706">
        <f t="shared" si="11"/>
        <v>7.3627664728478104</v>
      </c>
      <c r="I69" s="707">
        <f t="shared" si="11"/>
        <v>6.9896684682931802</v>
      </c>
    </row>
    <row r="70" spans="2:9" ht="13.2" hidden="1" thickBot="1" x14ac:dyDescent="0.25"/>
    <row r="71" spans="2:9" ht="25.2" hidden="1" x14ac:dyDescent="0.2">
      <c r="B71" s="339" t="s">
        <v>199</v>
      </c>
      <c r="C71" s="340" t="s">
        <v>88</v>
      </c>
      <c r="D71" s="393">
        <f>SUMPRODUCT(D59:I59,'[4]TR &amp; BSS, TLF'!C139:H139)/SUM('[4]TR &amp; BSS, TLF'!C139:H139)</f>
        <v>10.968483237248103</v>
      </c>
      <c r="E71" s="331"/>
      <c r="F71" s="165"/>
      <c r="G71" s="345" t="s">
        <v>602</v>
      </c>
      <c r="H71" s="165"/>
    </row>
    <row r="72" spans="2:9" ht="25.2" hidden="1" x14ac:dyDescent="0.2">
      <c r="B72" s="341" t="s">
        <v>200</v>
      </c>
      <c r="C72" s="342" t="s">
        <v>88</v>
      </c>
      <c r="D72" s="394">
        <f>SUMPRODUCT(D64:I64,'[4]TR &amp; BSS, TLF'!C145:H145)/SUM('[4]TR &amp; BSS, TLF'!C145:H145)</f>
        <v>14.259028208422526</v>
      </c>
      <c r="E72" s="331"/>
      <c r="F72" s="165"/>
      <c r="G72" s="346" t="s">
        <v>601</v>
      </c>
      <c r="H72" s="165"/>
    </row>
    <row r="73" spans="2:9" ht="25.8" hidden="1" thickBot="1" x14ac:dyDescent="0.25">
      <c r="B73" s="343" t="s">
        <v>201</v>
      </c>
      <c r="C73" s="344" t="s">
        <v>88</v>
      </c>
      <c r="D73" s="395">
        <f>SUMPRODUCT(D69:I69,'[4]TR &amp; BSS, TLF'!C151:H151)/SUM('[4]TR &amp; BSS, TLF'!C151:H151)</f>
        <v>6.5810899423488545</v>
      </c>
      <c r="E73" s="331"/>
      <c r="F73" s="165"/>
      <c r="H73" s="165"/>
      <c r="I73" s="70"/>
    </row>
    <row r="74" spans="2:9" hidden="1" x14ac:dyDescent="0.2">
      <c r="E74" s="165"/>
    </row>
    <row r="75" spans="2:9" hidden="1" x14ac:dyDescent="0.2">
      <c r="E75" s="165"/>
    </row>
    <row r="76" spans="2:9" ht="26.25" hidden="1" customHeight="1" thickBot="1" x14ac:dyDescent="0.25">
      <c r="B76" s="1" t="s">
        <v>991</v>
      </c>
    </row>
    <row r="77" spans="2:9" ht="25.2" hidden="1" x14ac:dyDescent="0.2">
      <c r="B77" s="339" t="s">
        <v>199</v>
      </c>
      <c r="C77" s="340" t="s">
        <v>88</v>
      </c>
      <c r="D77" s="393">
        <f>'[4]energy cost calc'!E12</f>
        <v>12.838471152893501</v>
      </c>
      <c r="E77" s="165"/>
    </row>
    <row r="78" spans="2:9" ht="25.2" hidden="1" x14ac:dyDescent="0.2">
      <c r="B78" s="341" t="s">
        <v>200</v>
      </c>
      <c r="C78" s="342" t="s">
        <v>88</v>
      </c>
      <c r="D78" s="394">
        <f>'[4]energy cost calc'!E13</f>
        <v>16.846442372710001</v>
      </c>
      <c r="E78" s="165"/>
    </row>
    <row r="79" spans="2:9" ht="25.8" hidden="1" thickBot="1" x14ac:dyDescent="0.25">
      <c r="B79" s="343" t="s">
        <v>201</v>
      </c>
      <c r="C79" s="344" t="s">
        <v>88</v>
      </c>
      <c r="D79" s="395">
        <f>'[4]energy cost calc'!E14</f>
        <v>7.7525940167199199</v>
      </c>
      <c r="E79" s="165"/>
    </row>
    <row r="80" spans="2:9" ht="14.25" hidden="1" customHeight="1" x14ac:dyDescent="0.2"/>
    <row r="81" spans="2:9" ht="14.25" hidden="1" customHeight="1" x14ac:dyDescent="0.2"/>
    <row r="82" spans="2:9" ht="14.25" hidden="1" customHeight="1" thickBot="1" x14ac:dyDescent="0.25">
      <c r="B82" s="1" t="s">
        <v>992</v>
      </c>
    </row>
    <row r="83" spans="2:9" ht="36.75" hidden="1" customHeight="1" x14ac:dyDescent="0.2">
      <c r="B83" s="339" t="s">
        <v>199</v>
      </c>
      <c r="C83" s="340" t="s">
        <v>88</v>
      </c>
      <c r="D83" s="393">
        <f>'[4]energy cost calc'!C12</f>
        <v>12.803171901992799</v>
      </c>
      <c r="E83" s="165"/>
    </row>
    <row r="84" spans="2:9" ht="38.25" hidden="1" customHeight="1" x14ac:dyDescent="0.2">
      <c r="B84" s="341" t="s">
        <v>200</v>
      </c>
      <c r="C84" s="342" t="s">
        <v>88</v>
      </c>
      <c r="D84" s="394">
        <f>'[4]energy cost calc'!C13</f>
        <v>16.830587174965899</v>
      </c>
      <c r="E84" s="165"/>
    </row>
    <row r="85" spans="2:9" ht="45" hidden="1" customHeight="1" thickBot="1" x14ac:dyDescent="0.25">
      <c r="B85" s="343" t="s">
        <v>201</v>
      </c>
      <c r="C85" s="344" t="s">
        <v>88</v>
      </c>
      <c r="D85" s="395">
        <f>'[4]energy cost calc'!C14</f>
        <v>7.7322532768237302</v>
      </c>
      <c r="E85" s="165"/>
    </row>
    <row r="86" spans="2:9" ht="14.25" hidden="1" customHeight="1" x14ac:dyDescent="0.2">
      <c r="E86" s="165"/>
    </row>
    <row r="87" spans="2:9" ht="14.25" hidden="1" customHeight="1" x14ac:dyDescent="0.2"/>
    <row r="88" spans="2:9" ht="18" hidden="1" customHeight="1" x14ac:dyDescent="0.2"/>
    <row r="89" spans="2:9" ht="14.25" hidden="1" customHeight="1" x14ac:dyDescent="0.2"/>
    <row r="90" spans="2:9" ht="14.25" hidden="1" customHeight="1" x14ac:dyDescent="0.2"/>
    <row r="91" spans="2:9" ht="14.25" hidden="1" customHeight="1" x14ac:dyDescent="0.3">
      <c r="B91" s="1674" t="s">
        <v>993</v>
      </c>
    </row>
    <row r="92" spans="2:9" ht="14.25" hidden="1" customHeight="1" x14ac:dyDescent="0.2"/>
    <row r="93" spans="2:9" ht="14.25" hidden="1" customHeight="1" thickBot="1" x14ac:dyDescent="0.25">
      <c r="B93" s="105" t="s">
        <v>990</v>
      </c>
      <c r="C93" s="106"/>
      <c r="D93" s="52"/>
      <c r="E93" s="52"/>
      <c r="F93" s="52"/>
      <c r="G93" s="52"/>
      <c r="H93" s="52"/>
      <c r="I93" s="52"/>
    </row>
    <row r="94" spans="2:9" ht="14.25" hidden="1" customHeight="1" x14ac:dyDescent="0.2">
      <c r="B94" s="94" t="s">
        <v>44</v>
      </c>
      <c r="C94" s="95" t="s">
        <v>36</v>
      </c>
      <c r="D94" s="427">
        <f>D35</f>
        <v>46023</v>
      </c>
      <c r="E94" s="427">
        <f t="shared" ref="E94:I94" si="12">E35</f>
        <v>46054</v>
      </c>
      <c r="F94" s="427">
        <f t="shared" si="12"/>
        <v>46082</v>
      </c>
      <c r="G94" s="427">
        <f t="shared" si="12"/>
        <v>46113</v>
      </c>
      <c r="H94" s="427">
        <f t="shared" si="12"/>
        <v>46143</v>
      </c>
      <c r="I94" s="427">
        <f t="shared" si="12"/>
        <v>46174</v>
      </c>
    </row>
    <row r="95" spans="2:9" ht="14.25" hidden="1" customHeight="1" x14ac:dyDescent="0.2">
      <c r="B95" s="17"/>
      <c r="C95" s="8"/>
      <c r="D95" s="12"/>
      <c r="E95" s="12"/>
      <c r="F95" s="12"/>
      <c r="G95" s="12"/>
      <c r="H95" s="12"/>
      <c r="I95" s="15"/>
    </row>
    <row r="96" spans="2:9" ht="14.25" hidden="1" customHeight="1" x14ac:dyDescent="0.2">
      <c r="B96" s="17" t="s">
        <v>603</v>
      </c>
      <c r="C96" s="8"/>
      <c r="D96" s="12"/>
      <c r="E96" s="12"/>
      <c r="F96" s="12"/>
      <c r="G96" s="12"/>
      <c r="H96" s="12"/>
      <c r="I96" s="15"/>
    </row>
    <row r="97" spans="2:9" ht="14.25" hidden="1" customHeight="1" x14ac:dyDescent="0.2">
      <c r="B97" s="16" t="s">
        <v>48</v>
      </c>
      <c r="C97" s="12" t="s">
        <v>37</v>
      </c>
      <c r="D97" s="1675">
        <f>'TR &amp; BSS, TLF voltage wise'!C116</f>
        <v>0</v>
      </c>
      <c r="E97" s="1675">
        <f>'TR &amp; BSS, TLF voltage wise'!D116</f>
        <v>0</v>
      </c>
      <c r="F97" s="1675">
        <f>'TR &amp; BSS, TLF voltage wise'!E116</f>
        <v>0</v>
      </c>
      <c r="G97" s="1675">
        <f>'TR &amp; BSS, TLF voltage wise'!F116</f>
        <v>0</v>
      </c>
      <c r="H97" s="1675">
        <f>'TR &amp; BSS, TLF voltage wise'!G116</f>
        <v>0</v>
      </c>
      <c r="I97" s="1681">
        <f>'TR &amp; BSS, TLF voltage wise'!H116</f>
        <v>0</v>
      </c>
    </row>
    <row r="98" spans="2:9" ht="14.25" hidden="1" customHeight="1" x14ac:dyDescent="0.2">
      <c r="B98" s="16" t="s">
        <v>194</v>
      </c>
      <c r="C98" s="12" t="s">
        <v>88</v>
      </c>
      <c r="D98" s="702" t="e">
        <f>'Gen. Energy Cost 33'!E10</f>
        <v>#REF!</v>
      </c>
      <c r="E98" s="702" t="e">
        <f>'Gen. Energy Cost 33'!K10</f>
        <v>#REF!</v>
      </c>
      <c r="F98" s="702" t="e">
        <f>'Gen. Energy Cost 33'!Q10</f>
        <v>#REF!</v>
      </c>
      <c r="G98" s="702" t="e">
        <f>'Gen. Energy Cost 33'!W10</f>
        <v>#REF!</v>
      </c>
      <c r="H98" s="702" t="e">
        <f>'Gen. Energy Cost 33'!AC10</f>
        <v>#REF!</v>
      </c>
      <c r="I98" s="703" t="e">
        <f>'Gen. Energy Cost 33'!AI10</f>
        <v>#REF!</v>
      </c>
    </row>
    <row r="99" spans="2:9" ht="14.25" hidden="1" customHeight="1" x14ac:dyDescent="0.2">
      <c r="B99" s="1076" t="s">
        <v>49</v>
      </c>
      <c r="C99" s="418" t="s">
        <v>88</v>
      </c>
      <c r="D99" s="1388" t="e">
        <f t="shared" ref="D99:I99" si="13">+(1+D97)*D98</f>
        <v>#REF!</v>
      </c>
      <c r="E99" s="1388" t="e">
        <f t="shared" si="13"/>
        <v>#REF!</v>
      </c>
      <c r="F99" s="1388" t="e">
        <f t="shared" si="13"/>
        <v>#REF!</v>
      </c>
      <c r="G99" s="1388" t="e">
        <f t="shared" si="13"/>
        <v>#REF!</v>
      </c>
      <c r="H99" s="1388" t="e">
        <f t="shared" si="13"/>
        <v>#REF!</v>
      </c>
      <c r="I99" s="1677" t="e">
        <f t="shared" si="13"/>
        <v>#REF!</v>
      </c>
    </row>
    <row r="100" spans="2:9" ht="14.25" hidden="1" customHeight="1" x14ac:dyDescent="0.2">
      <c r="B100" s="1076" t="s">
        <v>996</v>
      </c>
      <c r="C100" s="418" t="s">
        <v>56</v>
      </c>
      <c r="D100" s="1388">
        <f>'TR &amp; BSS, TLF voltage wise'!C115</f>
        <v>735.89994061729999</v>
      </c>
      <c r="E100" s="1388">
        <f>'TR &amp; BSS, TLF voltage wise'!D115</f>
        <v>687.64341286753199</v>
      </c>
      <c r="F100" s="1388">
        <f>'TR &amp; BSS, TLF voltage wise'!E115</f>
        <v>789.18650285225999</v>
      </c>
      <c r="G100" s="1388">
        <f>'TR &amp; BSS, TLF voltage wise'!F115</f>
        <v>734.79712329444396</v>
      </c>
      <c r="H100" s="1388">
        <f>'TR &amp; BSS, TLF voltage wise'!G115</f>
        <v>781.18956770391105</v>
      </c>
      <c r="I100" s="1677">
        <f>'TR &amp; BSS, TLF voltage wise'!H115</f>
        <v>772.73219055566301</v>
      </c>
    </row>
    <row r="101" spans="2:9" ht="14.25" hidden="1" customHeight="1" x14ac:dyDescent="0.2">
      <c r="B101" s="6"/>
      <c r="C101" s="8"/>
      <c r="D101" s="702"/>
      <c r="E101" s="702"/>
      <c r="F101" s="702"/>
      <c r="G101" s="702"/>
      <c r="H101" s="702"/>
      <c r="I101" s="703"/>
    </row>
    <row r="102" spans="2:9" ht="14.25" hidden="1" customHeight="1" x14ac:dyDescent="0.2">
      <c r="B102" s="17" t="s">
        <v>32</v>
      </c>
      <c r="C102" s="8"/>
      <c r="D102" s="702"/>
      <c r="E102" s="702"/>
      <c r="F102" s="702"/>
      <c r="G102" s="702"/>
      <c r="H102" s="702"/>
      <c r="I102" s="703"/>
    </row>
    <row r="103" spans="2:9" ht="14.25" hidden="1" customHeight="1" x14ac:dyDescent="0.2">
      <c r="B103" s="16" t="s">
        <v>195</v>
      </c>
      <c r="C103" s="12" t="s">
        <v>37</v>
      </c>
      <c r="D103" s="751">
        <f>'TR &amp; BSS, TLF voltage wise'!C122</f>
        <v>0</v>
      </c>
      <c r="E103" s="751">
        <f>'TR &amp; BSS, TLF voltage wise'!D122</f>
        <v>0</v>
      </c>
      <c r="F103" s="751">
        <f>'TR &amp; BSS, TLF voltage wise'!E122</f>
        <v>0</v>
      </c>
      <c r="G103" s="751">
        <f>'TR &amp; BSS, TLF voltage wise'!F122</f>
        <v>0</v>
      </c>
      <c r="H103" s="751">
        <f>'TR &amp; BSS, TLF voltage wise'!G122</f>
        <v>0</v>
      </c>
      <c r="I103" s="752">
        <f>'TR &amp; BSS, TLF voltage wise'!H122</f>
        <v>0</v>
      </c>
    </row>
    <row r="104" spans="2:9" ht="14.25" hidden="1" customHeight="1" x14ac:dyDescent="0.2">
      <c r="B104" s="16" t="s">
        <v>196</v>
      </c>
      <c r="C104" s="418" t="s">
        <v>88</v>
      </c>
      <c r="D104" s="1388" t="e">
        <f>'Gen. Energy Cost 33'!E11</f>
        <v>#REF!</v>
      </c>
      <c r="E104" s="1388" t="e">
        <f>'Gen. Energy Cost 33'!K11</f>
        <v>#REF!</v>
      </c>
      <c r="F104" s="1388" t="e">
        <f>'Gen. Energy Cost 33'!Q11</f>
        <v>#REF!</v>
      </c>
      <c r="G104" s="1388" t="e">
        <f>'Gen. Energy Cost 33'!W11</f>
        <v>#REF!</v>
      </c>
      <c r="H104" s="1388" t="e">
        <f>'Gen. Energy Cost 33'!AC11</f>
        <v>#REF!</v>
      </c>
      <c r="I104" s="1677" t="e">
        <f>'Gen. Energy Cost 33'!AI11</f>
        <v>#REF!</v>
      </c>
    </row>
    <row r="105" spans="2:9" ht="14.25" hidden="1" customHeight="1" x14ac:dyDescent="0.2">
      <c r="B105" s="1076" t="s">
        <v>50</v>
      </c>
      <c r="C105" s="418" t="s">
        <v>88</v>
      </c>
      <c r="D105" s="1388" t="e">
        <f t="shared" ref="D105:I105" si="14">+(1+D103)*D104</f>
        <v>#REF!</v>
      </c>
      <c r="E105" s="1388" t="e">
        <f t="shared" si="14"/>
        <v>#REF!</v>
      </c>
      <c r="F105" s="1388" t="e">
        <f t="shared" si="14"/>
        <v>#REF!</v>
      </c>
      <c r="G105" s="1388" t="e">
        <f t="shared" si="14"/>
        <v>#REF!</v>
      </c>
      <c r="H105" s="1388" t="e">
        <f t="shared" si="14"/>
        <v>#REF!</v>
      </c>
      <c r="I105" s="1677" t="e">
        <f t="shared" si="14"/>
        <v>#REF!</v>
      </c>
    </row>
    <row r="106" spans="2:9" ht="14.25" hidden="1" customHeight="1" x14ac:dyDescent="0.2">
      <c r="B106" s="1076" t="s">
        <v>996</v>
      </c>
      <c r="C106" s="418" t="s">
        <v>56</v>
      </c>
      <c r="D106" s="1388">
        <f>'TR &amp; BSS, TLF voltage wise'!C121</f>
        <v>294.10085654952002</v>
      </c>
      <c r="E106" s="1388">
        <f>'TR &amp; BSS, TLF voltage wise'!D121</f>
        <v>274.815237184735</v>
      </c>
      <c r="F106" s="1388">
        <f>'TR &amp; BSS, TLF voltage wise'!E121</f>
        <v>315.396718569477</v>
      </c>
      <c r="G106" s="1388">
        <f>'TR &amp; BSS, TLF voltage wise'!F121</f>
        <v>293.66011793633601</v>
      </c>
      <c r="H106" s="1388">
        <f>'TR &amp; BSS, TLF voltage wise'!G121</f>
        <v>312.20076033237302</v>
      </c>
      <c r="I106" s="1388">
        <f>'TR &amp; BSS, TLF voltage wise'!H121</f>
        <v>308.820787422774</v>
      </c>
    </row>
    <row r="107" spans="2:9" ht="14.25" hidden="1" customHeight="1" x14ac:dyDescent="0.2">
      <c r="B107" s="6"/>
      <c r="C107" s="8"/>
      <c r="D107" s="702"/>
      <c r="E107" s="702"/>
      <c r="F107" s="702"/>
      <c r="G107" s="702"/>
      <c r="H107" s="702"/>
      <c r="I107" s="703"/>
    </row>
    <row r="108" spans="2:9" ht="14.25" hidden="1" customHeight="1" x14ac:dyDescent="0.2">
      <c r="B108" s="17" t="s">
        <v>33</v>
      </c>
      <c r="C108" s="8"/>
      <c r="D108" s="702"/>
      <c r="E108" s="702"/>
      <c r="F108" s="702"/>
      <c r="G108" s="702"/>
      <c r="H108" s="702"/>
      <c r="I108" s="703"/>
    </row>
    <row r="109" spans="2:9" ht="14.25" hidden="1" customHeight="1" x14ac:dyDescent="0.2">
      <c r="B109" s="16" t="s">
        <v>197</v>
      </c>
      <c r="C109" s="418" t="s">
        <v>37</v>
      </c>
      <c r="D109" s="1678">
        <f>'TR &amp; BSS, TLF voltage wise'!C128</f>
        <v>0</v>
      </c>
      <c r="E109" s="1678">
        <f>'TR &amp; BSS, TLF voltage wise'!D128</f>
        <v>0</v>
      </c>
      <c r="F109" s="1678">
        <f>'TR &amp; BSS, TLF voltage wise'!E128</f>
        <v>0</v>
      </c>
      <c r="G109" s="1678">
        <f>'TR &amp; BSS, TLF voltage wise'!F128</f>
        <v>0</v>
      </c>
      <c r="H109" s="1678">
        <f>'TR &amp; BSS, TLF voltage wise'!G128</f>
        <v>0</v>
      </c>
      <c r="I109" s="1678">
        <f>'TR &amp; BSS, TLF voltage wise'!H128</f>
        <v>0</v>
      </c>
    </row>
    <row r="110" spans="2:9" ht="14.25" hidden="1" customHeight="1" x14ac:dyDescent="0.2">
      <c r="B110" s="16" t="s">
        <v>198</v>
      </c>
      <c r="C110" s="418" t="s">
        <v>88</v>
      </c>
      <c r="D110" s="1388" t="e">
        <f>'Gen. Energy Cost 33'!E12</f>
        <v>#REF!</v>
      </c>
      <c r="E110" s="1388" t="e">
        <f>'Gen. Energy Cost 33'!K12</f>
        <v>#REF!</v>
      </c>
      <c r="F110" s="1388" t="e">
        <f>'Gen. Energy Cost 33'!Q12</f>
        <v>#REF!</v>
      </c>
      <c r="G110" s="1388" t="e">
        <f>'Gen. Energy Cost 33'!W12</f>
        <v>#REF!</v>
      </c>
      <c r="H110" s="1388" t="e">
        <f>'Gen. Energy Cost 33'!AC12</f>
        <v>#REF!</v>
      </c>
      <c r="I110" s="1677" t="e">
        <f>'Gen. Energy Cost 33'!AI12</f>
        <v>#REF!</v>
      </c>
    </row>
    <row r="111" spans="2:9" ht="14.25" hidden="1" customHeight="1" x14ac:dyDescent="0.2">
      <c r="B111" s="1076" t="s">
        <v>51</v>
      </c>
      <c r="C111" s="418" t="s">
        <v>88</v>
      </c>
      <c r="D111" s="1388" t="e">
        <f t="shared" ref="D111:I111" si="15">+(1+D109)*D110</f>
        <v>#REF!</v>
      </c>
      <c r="E111" s="1388" t="e">
        <f t="shared" si="15"/>
        <v>#REF!</v>
      </c>
      <c r="F111" s="1388" t="e">
        <f t="shared" si="15"/>
        <v>#REF!</v>
      </c>
      <c r="G111" s="1388" t="e">
        <f t="shared" si="15"/>
        <v>#REF!</v>
      </c>
      <c r="H111" s="1388" t="e">
        <f t="shared" si="15"/>
        <v>#REF!</v>
      </c>
      <c r="I111" s="1677" t="e">
        <f t="shared" si="15"/>
        <v>#REF!</v>
      </c>
    </row>
    <row r="112" spans="2:9" ht="14.25" hidden="1" customHeight="1" thickBot="1" x14ac:dyDescent="0.25">
      <c r="B112" s="1682" t="s">
        <v>996</v>
      </c>
      <c r="C112" s="1679" t="s">
        <v>56</v>
      </c>
      <c r="D112" s="1680">
        <f>'TR &amp; BSS, TLF voltage wise'!C127</f>
        <v>265.597689835469</v>
      </c>
      <c r="E112" s="1680">
        <f>'TR &amp; BSS, TLF voltage wise'!D127</f>
        <v>248.181161334232</v>
      </c>
      <c r="F112" s="1680">
        <f>'TR &amp; BSS, TLF voltage wise'!E127</f>
        <v>284.82963571252299</v>
      </c>
      <c r="G112" s="1680">
        <f>'TR &amp; BSS, TLF voltage wise'!F127</f>
        <v>265.199665977748</v>
      </c>
      <c r="H112" s="1680">
        <f>'TR &amp; BSS, TLF voltage wise'!G127</f>
        <v>281.94341792130598</v>
      </c>
      <c r="I112" s="1680">
        <f>'TR &amp; BSS, TLF voltage wise'!H127</f>
        <v>278.89101947871598</v>
      </c>
    </row>
    <row r="113" spans="2:9" ht="14.25" hidden="1" customHeight="1" thickBot="1" x14ac:dyDescent="0.25"/>
    <row r="114" spans="2:9" ht="31.5" hidden="1" customHeight="1" x14ac:dyDescent="0.2">
      <c r="B114" s="339" t="s">
        <v>199</v>
      </c>
      <c r="C114" s="340" t="s">
        <v>88</v>
      </c>
      <c r="D114" s="393" t="e">
        <f>SUMPRODUCT(D99:I99,D100:I100)/SUM(D100:I100)</f>
        <v>#REF!</v>
      </c>
      <c r="E114" s="331"/>
      <c r="F114" s="165">
        <v>10.714665716128788</v>
      </c>
      <c r="G114" s="345" t="s">
        <v>602</v>
      </c>
      <c r="H114" s="165"/>
    </row>
    <row r="115" spans="2:9" ht="28.5" hidden="1" customHeight="1" x14ac:dyDescent="0.2">
      <c r="B115" s="341" t="s">
        <v>200</v>
      </c>
      <c r="C115" s="342" t="s">
        <v>88</v>
      </c>
      <c r="D115" s="394" t="e">
        <f>SUMPRODUCT(D105:I105,D106:I106)/SUM(D106:I106)</f>
        <v>#REF!</v>
      </c>
      <c r="E115" s="331"/>
      <c r="F115" s="165">
        <v>13.929065430967425</v>
      </c>
      <c r="G115" s="346" t="s">
        <v>601</v>
      </c>
      <c r="H115" s="165"/>
    </row>
    <row r="116" spans="2:9" ht="35.25" hidden="1" customHeight="1" thickBot="1" x14ac:dyDescent="0.25">
      <c r="B116" s="343" t="s">
        <v>201</v>
      </c>
      <c r="C116" s="344" t="s">
        <v>88</v>
      </c>
      <c r="D116" s="395" t="e">
        <f>SUMPRODUCT(D111:I111,D112:I112/SUM(D112:I112))</f>
        <v>#REF!</v>
      </c>
      <c r="E116" s="331"/>
      <c r="F116" s="165">
        <v>6.4287994296772712</v>
      </c>
      <c r="H116" s="165"/>
      <c r="I116" s="70"/>
    </row>
    <row r="117" spans="2:9" ht="14.25" hidden="1" customHeight="1" x14ac:dyDescent="0.2"/>
    <row r="118" spans="2:9" ht="14.25" hidden="1" customHeight="1" x14ac:dyDescent="0.2"/>
    <row r="119" spans="2:9" ht="14.25" hidden="1" customHeight="1" x14ac:dyDescent="0.2"/>
    <row r="120" spans="2:9" ht="13.2" hidden="1" thickBot="1" x14ac:dyDescent="0.25">
      <c r="B120" s="105" t="s">
        <v>991</v>
      </c>
      <c r="C120" s="106"/>
      <c r="D120" s="52"/>
      <c r="E120" s="52"/>
      <c r="F120" s="52"/>
      <c r="G120" s="52"/>
      <c r="H120" s="52"/>
      <c r="I120" s="52"/>
    </row>
    <row r="121" spans="2:9" hidden="1" x14ac:dyDescent="0.2">
      <c r="B121" s="94" t="s">
        <v>44</v>
      </c>
      <c r="C121" s="95" t="s">
        <v>36</v>
      </c>
      <c r="D121" s="427">
        <f>D94</f>
        <v>46023</v>
      </c>
      <c r="E121" s="427">
        <f t="shared" ref="E121:I121" si="16">E94</f>
        <v>46054</v>
      </c>
      <c r="F121" s="427">
        <f t="shared" si="16"/>
        <v>46082</v>
      </c>
      <c r="G121" s="427">
        <f t="shared" si="16"/>
        <v>46113</v>
      </c>
      <c r="H121" s="427">
        <f t="shared" si="16"/>
        <v>46143</v>
      </c>
      <c r="I121" s="427">
        <f t="shared" si="16"/>
        <v>46174</v>
      </c>
    </row>
    <row r="122" spans="2:9" hidden="1" x14ac:dyDescent="0.2">
      <c r="B122" s="17"/>
      <c r="C122" s="8"/>
      <c r="D122" s="12"/>
      <c r="E122" s="12"/>
      <c r="F122" s="12"/>
      <c r="G122" s="12"/>
      <c r="H122" s="12"/>
      <c r="I122" s="15"/>
    </row>
    <row r="123" spans="2:9" hidden="1" x14ac:dyDescent="0.2">
      <c r="B123" s="17" t="s">
        <v>603</v>
      </c>
      <c r="C123" s="8"/>
      <c r="D123" s="12"/>
      <c r="E123" s="12"/>
      <c r="F123" s="12"/>
      <c r="G123" s="12"/>
      <c r="H123" s="12"/>
      <c r="I123" s="15"/>
    </row>
    <row r="124" spans="2:9" hidden="1" x14ac:dyDescent="0.2">
      <c r="B124" s="16" t="s">
        <v>48</v>
      </c>
      <c r="C124" s="12" t="s">
        <v>37</v>
      </c>
      <c r="D124" s="1675">
        <f>'TR &amp; BSS, TLF voltage wise'!C79</f>
        <v>2.7004477913294706E-2</v>
      </c>
      <c r="E124" s="1675">
        <f>'TR &amp; BSS, TLF voltage wise'!D79</f>
        <v>2.7004477913294706E-2</v>
      </c>
      <c r="F124" s="1675">
        <f>'TR &amp; BSS, TLF voltage wise'!E79</f>
        <v>2.7004477913294713E-2</v>
      </c>
      <c r="G124" s="1675">
        <f>'TR &amp; BSS, TLF voltage wise'!F79</f>
        <v>2.700447791329471E-2</v>
      </c>
      <c r="H124" s="1675">
        <f>'TR &amp; BSS, TLF voltage wise'!G79</f>
        <v>2.7004477913294713E-2</v>
      </c>
      <c r="I124" s="1675">
        <f>'TR &amp; BSS, TLF voltage wise'!H79</f>
        <v>2.7004477913294717E-2</v>
      </c>
    </row>
    <row r="125" spans="2:9" hidden="1" x14ac:dyDescent="0.2">
      <c r="B125" s="16" t="s">
        <v>194</v>
      </c>
      <c r="C125" s="12" t="s">
        <v>88</v>
      </c>
      <c r="D125" s="702" t="e">
        <f>'Gen. Energy Cost 132'!E10</f>
        <v>#REF!</v>
      </c>
      <c r="E125" s="702" t="e">
        <f>'Gen. Energy Cost 132'!K10</f>
        <v>#REF!</v>
      </c>
      <c r="F125" s="702" t="e">
        <f>'Gen. Energy Cost 132'!Q10</f>
        <v>#REF!</v>
      </c>
      <c r="G125" s="702" t="e">
        <f>'Gen. Energy Cost 132'!W10</f>
        <v>#REF!</v>
      </c>
      <c r="H125" s="702" t="e">
        <f>'Gen. Energy Cost 132'!AC10</f>
        <v>#REF!</v>
      </c>
      <c r="I125" s="703" t="e">
        <f>'Gen. Energy Cost 132'!AI10</f>
        <v>#REF!</v>
      </c>
    </row>
    <row r="126" spans="2:9" hidden="1" x14ac:dyDescent="0.2">
      <c r="B126" s="1076" t="s">
        <v>49</v>
      </c>
      <c r="C126" s="418" t="s">
        <v>88</v>
      </c>
      <c r="D126" s="1388" t="e">
        <f t="shared" ref="D126:I126" si="17">+(1+D124)*D125</f>
        <v>#REF!</v>
      </c>
      <c r="E126" s="1388" t="e">
        <f t="shared" si="17"/>
        <v>#REF!</v>
      </c>
      <c r="F126" s="1388" t="e">
        <f t="shared" si="17"/>
        <v>#REF!</v>
      </c>
      <c r="G126" s="1388" t="e">
        <f t="shared" si="17"/>
        <v>#REF!</v>
      </c>
      <c r="H126" s="1388" t="e">
        <f t="shared" si="17"/>
        <v>#REF!</v>
      </c>
      <c r="I126" s="1677" t="e">
        <f t="shared" si="17"/>
        <v>#REF!</v>
      </c>
    </row>
    <row r="127" spans="2:9" hidden="1" x14ac:dyDescent="0.2">
      <c r="B127" s="1076" t="s">
        <v>996</v>
      </c>
      <c r="C127" s="418" t="s">
        <v>56</v>
      </c>
      <c r="D127" s="1388">
        <f>'TR &amp; BSS, TLF voltage wise'!C78</f>
        <v>661.49876922741498</v>
      </c>
      <c r="E127" s="1388">
        <f>'TR &amp; BSS, TLF voltage wise'!D78</f>
        <v>625.450960778065</v>
      </c>
      <c r="F127" s="1388">
        <f>'TR &amp; BSS, TLF voltage wise'!E78</f>
        <v>719.196209778303</v>
      </c>
      <c r="G127" s="1388">
        <f>'TR &amp; BSS, TLF voltage wise'!F78</f>
        <v>652.10494830072003</v>
      </c>
      <c r="H127" s="1388">
        <f>'TR &amp; BSS, TLF voltage wise'!G78</f>
        <v>163.16693057260699</v>
      </c>
      <c r="I127" s="1388">
        <f>'TR &amp; BSS, TLF voltage wise'!H78</f>
        <v>636.68499759382303</v>
      </c>
    </row>
    <row r="128" spans="2:9" hidden="1" x14ac:dyDescent="0.2">
      <c r="B128" s="6"/>
      <c r="C128" s="8"/>
      <c r="D128" s="702"/>
      <c r="E128" s="702"/>
      <c r="F128" s="702"/>
      <c r="G128" s="702"/>
      <c r="H128" s="702"/>
      <c r="I128" s="703"/>
    </row>
    <row r="129" spans="2:9" hidden="1" x14ac:dyDescent="0.2">
      <c r="B129" s="17" t="s">
        <v>32</v>
      </c>
      <c r="C129" s="8"/>
      <c r="D129" s="702"/>
      <c r="E129" s="702"/>
      <c r="F129" s="702"/>
      <c r="G129" s="702"/>
      <c r="H129" s="702"/>
      <c r="I129" s="703"/>
    </row>
    <row r="130" spans="2:9" hidden="1" x14ac:dyDescent="0.2">
      <c r="B130" s="16" t="s">
        <v>195</v>
      </c>
      <c r="C130" s="12" t="s">
        <v>37</v>
      </c>
      <c r="D130" s="751">
        <f>'TR &amp; BSS, TLF voltage wise'!C85</f>
        <v>3.4488865050312713E-2</v>
      </c>
      <c r="E130" s="751">
        <f>'TR &amp; BSS, TLF voltage wise'!D85</f>
        <v>3.4488865050312713E-2</v>
      </c>
      <c r="F130" s="751">
        <f>'TR &amp; BSS, TLF voltage wise'!E85</f>
        <v>3.448886505031272E-2</v>
      </c>
      <c r="G130" s="751">
        <f>'TR &amp; BSS, TLF voltage wise'!F85</f>
        <v>3.448886505031272E-2</v>
      </c>
      <c r="H130" s="751">
        <f>'TR &amp; BSS, TLF voltage wise'!G85</f>
        <v>3.4488865050312713E-2</v>
      </c>
      <c r="I130" s="751">
        <f>'TR &amp; BSS, TLF voltage wise'!H85</f>
        <v>3.4488865050312713E-2</v>
      </c>
    </row>
    <row r="131" spans="2:9" hidden="1" x14ac:dyDescent="0.2">
      <c r="B131" s="16" t="s">
        <v>196</v>
      </c>
      <c r="C131" s="418" t="s">
        <v>88</v>
      </c>
      <c r="D131" s="1388" t="e">
        <f>'Gen. Energy Cost 132'!E11</f>
        <v>#REF!</v>
      </c>
      <c r="E131" s="702" t="e">
        <f>'Gen. Energy Cost 132'!K11</f>
        <v>#REF!</v>
      </c>
      <c r="F131" s="702" t="e">
        <f>'Gen. Energy Cost 132'!Q11</f>
        <v>#REF!</v>
      </c>
      <c r="G131" s="702" t="e">
        <f>'Gen. Energy Cost 132'!W11</f>
        <v>#REF!</v>
      </c>
      <c r="H131" s="702" t="e">
        <f>'Gen. Energy Cost 132'!AC11</f>
        <v>#REF!</v>
      </c>
      <c r="I131" s="703" t="e">
        <f>'Gen. Energy Cost 132'!AI11</f>
        <v>#REF!</v>
      </c>
    </row>
    <row r="132" spans="2:9" hidden="1" x14ac:dyDescent="0.2">
      <c r="B132" s="1076" t="s">
        <v>50</v>
      </c>
      <c r="C132" s="418" t="s">
        <v>88</v>
      </c>
      <c r="D132" s="1388" t="e">
        <f t="shared" ref="D132:I132" si="18">+(1+D130)*D131</f>
        <v>#REF!</v>
      </c>
      <c r="E132" s="1388" t="e">
        <f t="shared" si="18"/>
        <v>#REF!</v>
      </c>
      <c r="F132" s="1388" t="e">
        <f t="shared" si="18"/>
        <v>#REF!</v>
      </c>
      <c r="G132" s="1388" t="e">
        <f t="shared" si="18"/>
        <v>#REF!</v>
      </c>
      <c r="H132" s="1388" t="e">
        <f t="shared" si="18"/>
        <v>#REF!</v>
      </c>
      <c r="I132" s="1677" t="e">
        <f t="shared" si="18"/>
        <v>#REF!</v>
      </c>
    </row>
    <row r="133" spans="2:9" hidden="1" x14ac:dyDescent="0.2">
      <c r="B133" s="1076" t="s">
        <v>996</v>
      </c>
      <c r="C133" s="418" t="s">
        <v>56</v>
      </c>
      <c r="D133" s="1388">
        <f>'TR &amp; BSS, TLF voltage wise'!C84</f>
        <v>167.73529737018001</v>
      </c>
      <c r="E133" s="1388">
        <f>'TR &amp; BSS, TLF voltage wise'!D84</f>
        <v>158.59470610822399</v>
      </c>
      <c r="F133" s="1388">
        <f>'TR &amp; BSS, TLF voltage wise'!E84</f>
        <v>182.365554898255</v>
      </c>
      <c r="G133" s="1388">
        <f>'TR &amp; BSS, TLF voltage wise'!F84</f>
        <v>165.35331962527599</v>
      </c>
      <c r="H133" s="1388">
        <f>'TR &amp; BSS, TLF voltage wise'!G84</f>
        <v>41.374005355354903</v>
      </c>
      <c r="I133" s="1388">
        <f>'TR &amp; BSS, TLF voltage wise'!H84</f>
        <v>161.44330476572301</v>
      </c>
    </row>
    <row r="134" spans="2:9" hidden="1" x14ac:dyDescent="0.2">
      <c r="B134" s="6"/>
      <c r="C134" s="8"/>
      <c r="D134" s="702"/>
      <c r="E134" s="702"/>
      <c r="F134" s="702"/>
      <c r="G134" s="702"/>
      <c r="H134" s="702"/>
      <c r="I134" s="703"/>
    </row>
    <row r="135" spans="2:9" hidden="1" x14ac:dyDescent="0.2">
      <c r="B135" s="17" t="s">
        <v>33</v>
      </c>
      <c r="C135" s="8"/>
      <c r="D135" s="702"/>
      <c r="E135" s="702"/>
      <c r="F135" s="702"/>
      <c r="G135" s="702"/>
      <c r="H135" s="702"/>
      <c r="I135" s="703"/>
    </row>
    <row r="136" spans="2:9" hidden="1" x14ac:dyDescent="0.2">
      <c r="B136" s="16" t="s">
        <v>197</v>
      </c>
      <c r="C136" s="418" t="s">
        <v>37</v>
      </c>
      <c r="D136" s="1678">
        <f>'TR &amp; BSS, TLF voltage wise'!C91</f>
        <v>1.9115529309410857E-2</v>
      </c>
      <c r="E136" s="1678">
        <f>'TR &amp; BSS, TLF voltage wise'!D91</f>
        <v>1.9115529309410861E-2</v>
      </c>
      <c r="F136" s="1678">
        <f>'TR &amp; BSS, TLF voltage wise'!E91</f>
        <v>1.9115529309410861E-2</v>
      </c>
      <c r="G136" s="1678">
        <f>'TR &amp; BSS, TLF voltage wise'!F91</f>
        <v>1.9115529309410861E-2</v>
      </c>
      <c r="H136" s="1678">
        <f>'TR &amp; BSS, TLF voltage wise'!G91</f>
        <v>1.9115529309410864E-2</v>
      </c>
      <c r="I136" s="1678">
        <f>'TR &amp; BSS, TLF voltage wise'!H91</f>
        <v>1.9115529309410857E-2</v>
      </c>
    </row>
    <row r="137" spans="2:9" hidden="1" x14ac:dyDescent="0.2">
      <c r="B137" s="16" t="s">
        <v>198</v>
      </c>
      <c r="C137" s="418" t="s">
        <v>88</v>
      </c>
      <c r="D137" s="1388" t="e">
        <f>'Gen. Energy Cost 132'!E12</f>
        <v>#REF!</v>
      </c>
      <c r="E137" s="702" t="e">
        <f>'Gen. Energy Cost 132'!K12</f>
        <v>#REF!</v>
      </c>
      <c r="F137" s="702" t="e">
        <f>'Gen. Energy Cost 132'!Q12</f>
        <v>#REF!</v>
      </c>
      <c r="G137" s="702" t="e">
        <f>'Gen. Energy Cost 132'!W12</f>
        <v>#REF!</v>
      </c>
      <c r="H137" s="702" t="e">
        <f>'Gen. Energy Cost 132'!AC12</f>
        <v>#REF!</v>
      </c>
      <c r="I137" s="703" t="e">
        <f>'Gen. Energy Cost 132'!AI12</f>
        <v>#REF!</v>
      </c>
    </row>
    <row r="138" spans="2:9" hidden="1" x14ac:dyDescent="0.2">
      <c r="B138" s="1076" t="s">
        <v>51</v>
      </c>
      <c r="C138" s="418" t="s">
        <v>88</v>
      </c>
      <c r="D138" s="1388" t="e">
        <f t="shared" ref="D138:I138" si="19">+(1+D136)*D137</f>
        <v>#REF!</v>
      </c>
      <c r="E138" s="1388" t="e">
        <f t="shared" si="19"/>
        <v>#REF!</v>
      </c>
      <c r="F138" s="1388" t="e">
        <f t="shared" si="19"/>
        <v>#REF!</v>
      </c>
      <c r="G138" s="1388" t="e">
        <f t="shared" si="19"/>
        <v>#REF!</v>
      </c>
      <c r="H138" s="1388" t="e">
        <f t="shared" si="19"/>
        <v>#REF!</v>
      </c>
      <c r="I138" s="1677" t="e">
        <f t="shared" si="19"/>
        <v>#REF!</v>
      </c>
    </row>
    <row r="139" spans="2:9" ht="13.2" hidden="1" thickBot="1" x14ac:dyDescent="0.25">
      <c r="B139" s="1682" t="s">
        <v>996</v>
      </c>
      <c r="C139" s="1679" t="s">
        <v>56</v>
      </c>
      <c r="D139" s="1680">
        <f>'TR &amp; BSS, TLF voltage wise'!C90</f>
        <v>322.89178372262501</v>
      </c>
      <c r="E139" s="1680">
        <f>'TR &amp; BSS, TLF voltage wise'!D90</f>
        <v>305.296072723652</v>
      </c>
      <c r="F139" s="1680">
        <f>'TR &amp; BSS, TLF voltage wise'!E90</f>
        <v>351.05514601801599</v>
      </c>
      <c r="G139" s="1680">
        <f>'TR &amp; BSS, TLF voltage wise'!F90</f>
        <v>318.30645758734897</v>
      </c>
      <c r="H139" s="1680">
        <f>'TR &amp; BSS, TLF voltage wise'!G90</f>
        <v>79.645289920444597</v>
      </c>
      <c r="I139" s="1680">
        <f>'TR &amp; BSS, TLF voltage wise'!H90</f>
        <v>310.77964783306999</v>
      </c>
    </row>
    <row r="140" spans="2:9" hidden="1" x14ac:dyDescent="0.2">
      <c r="E140" s="165"/>
      <c r="F140" s="184"/>
    </row>
    <row r="141" spans="2:9" ht="13.2" hidden="1" thickBot="1" x14ac:dyDescent="0.25">
      <c r="E141" s="165"/>
      <c r="F141" s="184"/>
    </row>
    <row r="142" spans="2:9" ht="25.2" hidden="1" x14ac:dyDescent="0.2">
      <c r="B142" s="339" t="s">
        <v>199</v>
      </c>
      <c r="C142" s="340" t="s">
        <v>88</v>
      </c>
      <c r="D142" s="393" t="e">
        <f>SUMPRODUCT(D126:I126,D127:I127)/SUM(D127:I127)</f>
        <v>#REF!</v>
      </c>
      <c r="E142" s="165"/>
      <c r="F142" s="184">
        <v>8.8405809712749619</v>
      </c>
    </row>
    <row r="143" spans="2:9" ht="25.2" hidden="1" x14ac:dyDescent="0.2">
      <c r="B143" s="341" t="s">
        <v>200</v>
      </c>
      <c r="C143" s="342" t="s">
        <v>88</v>
      </c>
      <c r="D143" s="394" t="e">
        <f>SUMPRODUCT(D132:I132,D133:I133)/SUM(D133:I133)</f>
        <v>#REF!</v>
      </c>
      <c r="E143" s="165"/>
      <c r="F143" s="184">
        <v>11.545868516115819</v>
      </c>
    </row>
    <row r="144" spans="2:9" ht="25.8" hidden="1" thickBot="1" x14ac:dyDescent="0.25">
      <c r="B144" s="343" t="s">
        <v>201</v>
      </c>
      <c r="C144" s="344" t="s">
        <v>88</v>
      </c>
      <c r="D144" s="395" t="e">
        <f>SUMPRODUCT(D138:I138,D139:I139)/SUM(D139:I139)</f>
        <v>#REF!</v>
      </c>
      <c r="E144" s="165"/>
      <c r="F144" s="184">
        <v>5.2785097027041514</v>
      </c>
    </row>
    <row r="145" spans="2:9" hidden="1" x14ac:dyDescent="0.2">
      <c r="E145" s="165"/>
      <c r="F145" s="184"/>
    </row>
    <row r="146" spans="2:9" ht="13.2" hidden="1" thickBot="1" x14ac:dyDescent="0.25">
      <c r="B146" s="105" t="s">
        <v>994</v>
      </c>
      <c r="C146" s="106"/>
      <c r="D146" s="52"/>
      <c r="E146" s="52"/>
      <c r="F146" s="52"/>
      <c r="G146" s="52"/>
      <c r="H146" s="52"/>
      <c r="I146" s="52"/>
    </row>
    <row r="147" spans="2:9" hidden="1" x14ac:dyDescent="0.2">
      <c r="B147" s="94" t="s">
        <v>44</v>
      </c>
      <c r="C147" s="95" t="s">
        <v>36</v>
      </c>
      <c r="D147" s="427">
        <f>D121</f>
        <v>46023</v>
      </c>
      <c r="E147" s="427">
        <f t="shared" ref="E147:I147" si="20">E121</f>
        <v>46054</v>
      </c>
      <c r="F147" s="427">
        <f t="shared" si="20"/>
        <v>46082</v>
      </c>
      <c r="G147" s="427">
        <f t="shared" si="20"/>
        <v>46113</v>
      </c>
      <c r="H147" s="427">
        <f t="shared" si="20"/>
        <v>46143</v>
      </c>
      <c r="I147" s="427">
        <f t="shared" si="20"/>
        <v>46174</v>
      </c>
    </row>
    <row r="148" spans="2:9" hidden="1" x14ac:dyDescent="0.2">
      <c r="B148" s="17"/>
      <c r="C148" s="8"/>
      <c r="D148" s="12"/>
      <c r="E148" s="12"/>
      <c r="F148" s="12"/>
      <c r="G148" s="12"/>
      <c r="H148" s="12"/>
      <c r="I148" s="15"/>
    </row>
    <row r="149" spans="2:9" hidden="1" x14ac:dyDescent="0.2">
      <c r="B149" s="17" t="s">
        <v>603</v>
      </c>
      <c r="C149" s="8"/>
      <c r="D149" s="12"/>
      <c r="E149" s="12"/>
      <c r="F149" s="12"/>
      <c r="G149" s="12"/>
      <c r="H149" s="12"/>
      <c r="I149" s="15"/>
    </row>
    <row r="150" spans="2:9" hidden="1" x14ac:dyDescent="0.2">
      <c r="B150" s="16" t="s">
        <v>48</v>
      </c>
      <c r="C150" s="12" t="s">
        <v>37</v>
      </c>
      <c r="D150" s="1675">
        <f>'TR &amp; BSS, TLF voltage wise'!C45</f>
        <v>9.3485990097822193E-3</v>
      </c>
      <c r="E150" s="1675">
        <f>'TR &amp; BSS, TLF voltage wise'!D45</f>
        <v>9.3485990097822193E-3</v>
      </c>
      <c r="F150" s="1675">
        <f>'TR &amp; BSS, TLF voltage wise'!E45</f>
        <v>9.3485990097822193E-3</v>
      </c>
      <c r="G150" s="1675">
        <f>'TR &amp; BSS, TLF voltage wise'!F45</f>
        <v>9.348599009782221E-3</v>
      </c>
      <c r="H150" s="1675">
        <f>'TR &amp; BSS, TLF voltage wise'!G45</f>
        <v>9.3485990097822193E-3</v>
      </c>
      <c r="I150" s="1675">
        <f>'TR &amp; BSS, TLF voltage wise'!H45</f>
        <v>9.3485990097822193E-3</v>
      </c>
    </row>
    <row r="151" spans="2:9" hidden="1" x14ac:dyDescent="0.2">
      <c r="B151" s="16" t="s">
        <v>194</v>
      </c>
      <c r="C151" s="12" t="s">
        <v>88</v>
      </c>
      <c r="D151" s="702" t="e">
        <f>'Gen. Energy Cost 220'!E10</f>
        <v>#REF!</v>
      </c>
      <c r="E151" s="702" t="e">
        <f>'Gen. Energy Cost 220'!K10</f>
        <v>#REF!</v>
      </c>
      <c r="F151" s="702" t="e">
        <f>'Gen. Energy Cost 220'!Q10</f>
        <v>#REF!</v>
      </c>
      <c r="G151" s="702" t="e">
        <f>'Gen. Energy Cost 220'!W10</f>
        <v>#REF!</v>
      </c>
      <c r="H151" s="702" t="e">
        <f>'Gen. Energy Cost 220'!AC10</f>
        <v>#REF!</v>
      </c>
      <c r="I151" s="703" t="e">
        <f>'Gen. Energy Cost 220'!AI10</f>
        <v>#REF!</v>
      </c>
    </row>
    <row r="152" spans="2:9" hidden="1" x14ac:dyDescent="0.2">
      <c r="B152" s="1076" t="s">
        <v>49</v>
      </c>
      <c r="C152" s="418" t="s">
        <v>88</v>
      </c>
      <c r="D152" s="1388" t="e">
        <f t="shared" ref="D152:I152" si="21">+(1+D150)*D151</f>
        <v>#REF!</v>
      </c>
      <c r="E152" s="1388" t="e">
        <f t="shared" si="21"/>
        <v>#REF!</v>
      </c>
      <c r="F152" s="1388" t="e">
        <f t="shared" si="21"/>
        <v>#REF!</v>
      </c>
      <c r="G152" s="1388" t="e">
        <f t="shared" si="21"/>
        <v>#REF!</v>
      </c>
      <c r="H152" s="1388" t="e">
        <f t="shared" si="21"/>
        <v>#REF!</v>
      </c>
      <c r="I152" s="1677" t="e">
        <f t="shared" si="21"/>
        <v>#REF!</v>
      </c>
    </row>
    <row r="153" spans="2:9" hidden="1" x14ac:dyDescent="0.2">
      <c r="B153" s="1076" t="s">
        <v>996</v>
      </c>
      <c r="C153" s="418" t="s">
        <v>56</v>
      </c>
      <c r="D153" s="1388">
        <f>'TR &amp; BSS, TLF voltage wise'!C44</f>
        <v>346.77433784283397</v>
      </c>
      <c r="E153" s="1388">
        <f>'TR &amp; BSS, TLF voltage wise'!D44</f>
        <v>355.581676216787</v>
      </c>
      <c r="F153" s="1388">
        <f>'TR &amp; BSS, TLF voltage wise'!E44</f>
        <v>411.55221766328299</v>
      </c>
      <c r="G153" s="1388">
        <f>'TR &amp; BSS, TLF voltage wise'!F44</f>
        <v>369.64598063158201</v>
      </c>
      <c r="H153" s="1388">
        <f>'TR &amp; BSS, TLF voltage wise'!G44</f>
        <v>376.40251545005901</v>
      </c>
      <c r="I153" s="1388">
        <f>'TR &amp; BSS, TLF voltage wise'!H44</f>
        <v>370.63431382294698</v>
      </c>
    </row>
    <row r="154" spans="2:9" hidden="1" x14ac:dyDescent="0.2">
      <c r="B154" s="6"/>
      <c r="C154" s="8"/>
      <c r="D154" s="702"/>
      <c r="E154" s="702"/>
      <c r="F154" s="702"/>
      <c r="G154" s="702"/>
      <c r="H154" s="702"/>
      <c r="I154" s="703"/>
    </row>
    <row r="155" spans="2:9" hidden="1" x14ac:dyDescent="0.2">
      <c r="B155" s="17" t="s">
        <v>32</v>
      </c>
      <c r="C155" s="8"/>
      <c r="D155" s="702"/>
      <c r="E155" s="702"/>
      <c r="F155" s="702"/>
      <c r="G155" s="702"/>
      <c r="H155" s="702"/>
      <c r="I155" s="703"/>
    </row>
    <row r="156" spans="2:9" hidden="1" x14ac:dyDescent="0.2">
      <c r="B156" s="16" t="s">
        <v>195</v>
      </c>
      <c r="C156" s="12" t="s">
        <v>37</v>
      </c>
      <c r="D156" s="751">
        <f>'TR &amp; BSS, TLF voltage wise'!C51</f>
        <v>1.1939596488148825E-2</v>
      </c>
      <c r="E156" s="751">
        <f>'TR &amp; BSS, TLF voltage wise'!D51</f>
        <v>1.1939596488148827E-2</v>
      </c>
      <c r="F156" s="751">
        <f>'TR &amp; BSS, TLF voltage wise'!E51</f>
        <v>1.1939596488148825E-2</v>
      </c>
      <c r="G156" s="751">
        <f>'TR &amp; BSS, TLF voltage wise'!F51</f>
        <v>1.1939596488148827E-2</v>
      </c>
      <c r="H156" s="751">
        <f>'TR &amp; BSS, TLF voltage wise'!G51</f>
        <v>1.1939596488148825E-2</v>
      </c>
      <c r="I156" s="751">
        <f>'TR &amp; BSS, TLF voltage wise'!H51</f>
        <v>1.1939596488148825E-2</v>
      </c>
    </row>
    <row r="157" spans="2:9" hidden="1" x14ac:dyDescent="0.2">
      <c r="B157" s="16" t="s">
        <v>196</v>
      </c>
      <c r="C157" s="418" t="s">
        <v>88</v>
      </c>
      <c r="D157" s="1388" t="e">
        <f>'Gen. Energy Cost 220'!E11</f>
        <v>#REF!</v>
      </c>
      <c r="E157" s="702" t="e">
        <f>'Gen. Energy Cost 220'!K11</f>
        <v>#REF!</v>
      </c>
      <c r="F157" s="702" t="e">
        <f>'Gen. Energy Cost 220'!Q11</f>
        <v>#REF!</v>
      </c>
      <c r="G157" s="702" t="e">
        <f>'Gen. Energy Cost 220'!W11</f>
        <v>#REF!</v>
      </c>
      <c r="H157" s="702" t="e">
        <f>'Gen. Energy Cost 220'!AC11</f>
        <v>#REF!</v>
      </c>
      <c r="I157" s="703" t="e">
        <f>'Gen. Energy Cost 220'!AI11</f>
        <v>#REF!</v>
      </c>
    </row>
    <row r="158" spans="2:9" hidden="1" x14ac:dyDescent="0.2">
      <c r="B158" s="1076" t="s">
        <v>50</v>
      </c>
      <c r="C158" s="418" t="s">
        <v>88</v>
      </c>
      <c r="D158" s="1388" t="e">
        <f t="shared" ref="D158:I158" si="22">+(1+D156)*D157</f>
        <v>#REF!</v>
      </c>
      <c r="E158" s="1388" t="e">
        <f t="shared" si="22"/>
        <v>#REF!</v>
      </c>
      <c r="F158" s="1388" t="e">
        <f t="shared" si="22"/>
        <v>#REF!</v>
      </c>
      <c r="G158" s="1388" t="e">
        <f t="shared" si="22"/>
        <v>#REF!</v>
      </c>
      <c r="H158" s="1388" t="e">
        <f t="shared" si="22"/>
        <v>#REF!</v>
      </c>
      <c r="I158" s="1677" t="e">
        <f t="shared" si="22"/>
        <v>#REF!</v>
      </c>
    </row>
    <row r="159" spans="2:9" hidden="1" x14ac:dyDescent="0.2">
      <c r="B159" s="1076" t="s">
        <v>996</v>
      </c>
      <c r="C159" s="418" t="s">
        <v>56</v>
      </c>
      <c r="D159" s="1388">
        <f>'TR &amp; BSS, TLF voltage wise'!C50</f>
        <v>119.814608368211</v>
      </c>
      <c r="E159" s="1388">
        <f>'TR &amp; BSS, TLF voltage wise'!D50</f>
        <v>122.857647263781</v>
      </c>
      <c r="F159" s="1388">
        <f>'TR &amp; BSS, TLF voltage wise'!E50</f>
        <v>142.196126994678</v>
      </c>
      <c r="G159" s="1388">
        <f>'TR &amp; BSS, TLF voltage wise'!F50</f>
        <v>127.71702969649699</v>
      </c>
      <c r="H159" s="1388">
        <f>'TR &amp; BSS, TLF voltage wise'!G50</f>
        <v>130.05149186644201</v>
      </c>
      <c r="I159" s="1388">
        <f>'TR &amp; BSS, TLF voltage wise'!H50</f>
        <v>128.05851042715699</v>
      </c>
    </row>
    <row r="160" spans="2:9" hidden="1" x14ac:dyDescent="0.2">
      <c r="B160" s="6"/>
      <c r="C160" s="8"/>
      <c r="D160" s="702"/>
      <c r="E160" s="702"/>
      <c r="F160" s="702"/>
      <c r="G160" s="702"/>
      <c r="H160" s="702"/>
      <c r="I160" s="703"/>
    </row>
    <row r="161" spans="2:9" hidden="1" x14ac:dyDescent="0.2">
      <c r="B161" s="17" t="s">
        <v>33</v>
      </c>
      <c r="C161" s="8"/>
      <c r="D161" s="702"/>
      <c r="E161" s="702"/>
      <c r="F161" s="702"/>
      <c r="G161" s="702"/>
      <c r="H161" s="702"/>
      <c r="I161" s="703"/>
    </row>
    <row r="162" spans="2:9" hidden="1" x14ac:dyDescent="0.2">
      <c r="B162" s="16" t="s">
        <v>197</v>
      </c>
      <c r="C162" s="418" t="s">
        <v>37</v>
      </c>
      <c r="D162" s="1678">
        <f>'TR &amp; BSS, TLF voltage wise'!C57</f>
        <v>6.6175476136660655E-3</v>
      </c>
      <c r="E162" s="1678">
        <f>'TR &amp; BSS, TLF voltage wise'!D57</f>
        <v>6.6175476136660655E-3</v>
      </c>
      <c r="F162" s="1678">
        <f>'TR &amp; BSS, TLF voltage wise'!E57</f>
        <v>6.6175476136660655E-3</v>
      </c>
      <c r="G162" s="1678">
        <f>'TR &amp; BSS, TLF voltage wise'!F57</f>
        <v>6.6175476136660647E-3</v>
      </c>
      <c r="H162" s="1678">
        <f>'TR &amp; BSS, TLF voltage wise'!G57</f>
        <v>6.6175476136660655E-3</v>
      </c>
      <c r="I162" s="1678">
        <f>'TR &amp; BSS, TLF voltage wise'!H57</f>
        <v>6.6175476136660647E-3</v>
      </c>
    </row>
    <row r="163" spans="2:9" hidden="1" x14ac:dyDescent="0.2">
      <c r="B163" s="16" t="s">
        <v>198</v>
      </c>
      <c r="C163" s="418" t="s">
        <v>88</v>
      </c>
      <c r="D163" s="1388" t="e">
        <f>'Gen. Energy Cost 220'!E12</f>
        <v>#REF!</v>
      </c>
      <c r="E163" s="702" t="e">
        <f>'Gen. Energy Cost 220'!K12</f>
        <v>#REF!</v>
      </c>
      <c r="F163" s="702" t="e">
        <f>'Gen. Energy Cost 220'!Q12</f>
        <v>#REF!</v>
      </c>
      <c r="G163" s="702" t="e">
        <f>'Gen. Energy Cost 220'!W12</f>
        <v>#REF!</v>
      </c>
      <c r="H163" s="702" t="e">
        <f>'Gen. Energy Cost 220'!AC12</f>
        <v>#REF!</v>
      </c>
      <c r="I163" s="703" t="e">
        <f>'Gen. Energy Cost 220'!AI12</f>
        <v>#REF!</v>
      </c>
    </row>
    <row r="164" spans="2:9" hidden="1" x14ac:dyDescent="0.2">
      <c r="B164" s="1076" t="s">
        <v>51</v>
      </c>
      <c r="C164" s="418" t="s">
        <v>88</v>
      </c>
      <c r="D164" s="1388" t="e">
        <f t="shared" ref="D164:I164" si="23">+(1+D162)*D163</f>
        <v>#REF!</v>
      </c>
      <c r="E164" s="1388" t="e">
        <f t="shared" si="23"/>
        <v>#REF!</v>
      </c>
      <c r="F164" s="1388" t="e">
        <f t="shared" si="23"/>
        <v>#REF!</v>
      </c>
      <c r="G164" s="1388" t="e">
        <f t="shared" si="23"/>
        <v>#REF!</v>
      </c>
      <c r="H164" s="1388" t="e">
        <f t="shared" si="23"/>
        <v>#REF!</v>
      </c>
      <c r="I164" s="1677" t="e">
        <f t="shared" si="23"/>
        <v>#REF!</v>
      </c>
    </row>
    <row r="165" spans="2:9" ht="13.2" hidden="1" thickBot="1" x14ac:dyDescent="0.25">
      <c r="B165" s="1682" t="s">
        <v>996</v>
      </c>
      <c r="C165" s="1679" t="s">
        <v>56</v>
      </c>
      <c r="D165" s="1680">
        <f>'TR &amp; BSS, TLF voltage wise'!C56</f>
        <v>333.04042950582999</v>
      </c>
      <c r="E165" s="1680">
        <f>'TR &amp; BSS, TLF voltage wise'!D56</f>
        <v>341.49895551185199</v>
      </c>
      <c r="F165" s="1680">
        <f>'TR &amp; BSS, TLF voltage wise'!E56</f>
        <v>395.25279807982002</v>
      </c>
      <c r="G165" s="1680">
        <f>'TR &amp; BSS, TLF voltage wise'!F56</f>
        <v>355.006246772623</v>
      </c>
      <c r="H165" s="1680">
        <f>'TR &amp; BSS, TLF voltage wise'!G56</f>
        <v>361.49519076978902</v>
      </c>
      <c r="I165" s="1680">
        <f>'TR &amp; BSS, TLF voltage wise'!H56</f>
        <v>355.95543728249299</v>
      </c>
    </row>
    <row r="166" spans="2:9" hidden="1" x14ac:dyDescent="0.2">
      <c r="E166" s="165"/>
      <c r="F166" s="184"/>
    </row>
    <row r="167" spans="2:9" ht="13.2" hidden="1" thickBot="1" x14ac:dyDescent="0.25">
      <c r="E167" s="165"/>
      <c r="F167" s="184"/>
    </row>
    <row r="168" spans="2:9" ht="25.2" hidden="1" x14ac:dyDescent="0.2">
      <c r="B168" s="339" t="s">
        <v>199</v>
      </c>
      <c r="C168" s="340" t="s">
        <v>88</v>
      </c>
      <c r="D168" s="393" t="e">
        <f>SUMPRODUCT(D152:I152,D153:I153)/SUM(D153:I153)</f>
        <v>#REF!</v>
      </c>
      <c r="E168" s="165"/>
      <c r="F168" s="184"/>
    </row>
    <row r="169" spans="2:9" ht="25.2" hidden="1" x14ac:dyDescent="0.2">
      <c r="B169" s="341" t="s">
        <v>200</v>
      </c>
      <c r="C169" s="342" t="s">
        <v>88</v>
      </c>
      <c r="D169" s="394" t="e">
        <f>SUMPRODUCT(D158:I158,D159:I159)/SUM(D159:I159)</f>
        <v>#REF!</v>
      </c>
      <c r="E169" s="165"/>
      <c r="F169" s="184"/>
    </row>
    <row r="170" spans="2:9" ht="25.8" hidden="1" thickBot="1" x14ac:dyDescent="0.25">
      <c r="B170" s="343" t="s">
        <v>201</v>
      </c>
      <c r="C170" s="344" t="s">
        <v>88</v>
      </c>
      <c r="D170" s="395" t="e">
        <f>SUMPRODUCT(D164:I164,D165:I165)/SUM(D165:I165)</f>
        <v>#REF!</v>
      </c>
      <c r="E170" s="165"/>
      <c r="F170" s="184"/>
    </row>
    <row r="171" spans="2:9" hidden="1" x14ac:dyDescent="0.2"/>
    <row r="172" spans="2:9" hidden="1" x14ac:dyDescent="0.2"/>
    <row r="173" spans="2:9" hidden="1" x14ac:dyDescent="0.2">
      <c r="D173" s="165">
        <v>10.748219990176135</v>
      </c>
    </row>
    <row r="174" spans="2:9" hidden="1" x14ac:dyDescent="0.2">
      <c r="D174" s="165">
        <v>13.991630421996192</v>
      </c>
    </row>
    <row r="175" spans="2:9" hidden="1" x14ac:dyDescent="0.2">
      <c r="D175" s="165">
        <v>6.4397157825973101</v>
      </c>
    </row>
    <row r="177" spans="2:5" ht="13.2" thickBot="1" x14ac:dyDescent="0.25"/>
    <row r="178" spans="2:5" ht="33" customHeight="1" thickBot="1" x14ac:dyDescent="0.25">
      <c r="B178" s="3066" t="s">
        <v>990</v>
      </c>
      <c r="C178" s="3067"/>
      <c r="D178" s="3067"/>
      <c r="E178" s="3068"/>
    </row>
    <row r="180" spans="2:5" ht="13.2" thickBot="1" x14ac:dyDescent="0.25"/>
    <row r="181" spans="2:5" ht="25.2" x14ac:dyDescent="0.2">
      <c r="B181" s="339" t="s">
        <v>199</v>
      </c>
      <c r="C181" s="340" t="s">
        <v>88</v>
      </c>
      <c r="D181" s="393" t="e">
        <f>'Energy Tariff'!C64</f>
        <v>#DIV/0!</v>
      </c>
    </row>
    <row r="182" spans="2:5" ht="25.2" x14ac:dyDescent="0.2">
      <c r="B182" s="341" t="s">
        <v>200</v>
      </c>
      <c r="C182" s="342" t="s">
        <v>88</v>
      </c>
      <c r="D182" s="394" t="e">
        <f>'Energy Tariff'!C65</f>
        <v>#DIV/0!</v>
      </c>
    </row>
    <row r="183" spans="2:5" ht="25.8" thickBot="1" x14ac:dyDescent="0.25">
      <c r="B183" s="343" t="s">
        <v>201</v>
      </c>
      <c r="C183" s="344" t="s">
        <v>88</v>
      </c>
      <c r="D183" s="395" t="e">
        <f>'Energy Tariff'!C66</f>
        <v>#DIV/0!</v>
      </c>
    </row>
    <row r="186" spans="2:5" ht="13.2" thickBot="1" x14ac:dyDescent="0.25"/>
    <row r="187" spans="2:5" ht="36.75" customHeight="1" thickBot="1" x14ac:dyDescent="0.25">
      <c r="B187" s="3066" t="s">
        <v>991</v>
      </c>
      <c r="C187" s="3067"/>
      <c r="D187" s="3067"/>
      <c r="E187" s="3068"/>
    </row>
    <row r="189" spans="2:5" ht="13.2" thickBot="1" x14ac:dyDescent="0.25"/>
    <row r="190" spans="2:5" ht="25.2" x14ac:dyDescent="0.2">
      <c r="B190" s="339" t="s">
        <v>199</v>
      </c>
      <c r="C190" s="340" t="s">
        <v>88</v>
      </c>
      <c r="D190" s="393" t="e">
        <f>'Energy Tariff'!C71</f>
        <v>#DIV/0!</v>
      </c>
    </row>
    <row r="191" spans="2:5" ht="25.2" x14ac:dyDescent="0.2">
      <c r="B191" s="341" t="s">
        <v>200</v>
      </c>
      <c r="C191" s="342" t="s">
        <v>88</v>
      </c>
      <c r="D191" s="394" t="e">
        <f>'Energy Tariff'!C72</f>
        <v>#DIV/0!</v>
      </c>
    </row>
    <row r="192" spans="2:5" ht="25.8" thickBot="1" x14ac:dyDescent="0.25">
      <c r="B192" s="343" t="s">
        <v>201</v>
      </c>
      <c r="C192" s="344" t="s">
        <v>88</v>
      </c>
      <c r="D192" s="395" t="e">
        <f>'Energy Tariff'!C73</f>
        <v>#DIV/0!</v>
      </c>
    </row>
    <row r="195" spans="2:5" ht="13.2" thickBot="1" x14ac:dyDescent="0.25"/>
    <row r="196" spans="2:5" ht="36.75" customHeight="1" thickBot="1" x14ac:dyDescent="0.25">
      <c r="B196" s="3066" t="s">
        <v>994</v>
      </c>
      <c r="C196" s="3067"/>
      <c r="D196" s="3067"/>
      <c r="E196" s="3068"/>
    </row>
    <row r="198" spans="2:5" ht="13.2" thickBot="1" x14ac:dyDescent="0.25"/>
    <row r="199" spans="2:5" ht="25.2" x14ac:dyDescent="0.2">
      <c r="B199" s="339" t="s">
        <v>199</v>
      </c>
      <c r="C199" s="340" t="s">
        <v>88</v>
      </c>
      <c r="D199" s="393" t="e">
        <f>'Energy Tariff'!C78</f>
        <v>#DIV/0!</v>
      </c>
    </row>
    <row r="200" spans="2:5" ht="25.2" x14ac:dyDescent="0.2">
      <c r="B200" s="341" t="s">
        <v>200</v>
      </c>
      <c r="C200" s="342" t="s">
        <v>88</v>
      </c>
      <c r="D200" s="394" t="e">
        <f>'Energy Tariff'!C79</f>
        <v>#DIV/0!</v>
      </c>
    </row>
    <row r="201" spans="2:5" ht="25.8" thickBot="1" x14ac:dyDescent="0.25">
      <c r="B201" s="343" t="s">
        <v>201</v>
      </c>
      <c r="C201" s="344" t="s">
        <v>88</v>
      </c>
      <c r="D201" s="395" t="e">
        <f>'Energy Tariff'!C80</f>
        <v>#DIV/0!</v>
      </c>
    </row>
    <row r="207" spans="2:5" ht="17.399999999999999" x14ac:dyDescent="0.3">
      <c r="B207" s="1673" t="s">
        <v>1049</v>
      </c>
    </row>
    <row r="209" spans="2:5" ht="13.2" thickBot="1" x14ac:dyDescent="0.25"/>
    <row r="210" spans="2:5" ht="47.25" customHeight="1" thickBot="1" x14ac:dyDescent="0.25">
      <c r="B210" s="3066" t="s">
        <v>1050</v>
      </c>
      <c r="C210" s="3067"/>
      <c r="D210" s="3067"/>
      <c r="E210" s="3068"/>
    </row>
    <row r="212" spans="2:5" ht="13.2" thickBot="1" x14ac:dyDescent="0.25"/>
    <row r="213" spans="2:5" x14ac:dyDescent="0.2">
      <c r="B213" s="3069" t="s">
        <v>1051</v>
      </c>
      <c r="C213" s="3071" t="s">
        <v>1052</v>
      </c>
      <c r="D213" s="3073">
        <v>3000</v>
      </c>
    </row>
    <row r="214" spans="2:5" ht="13.2" thickBot="1" x14ac:dyDescent="0.25">
      <c r="B214" s="3070"/>
      <c r="C214" s="3072"/>
      <c r="D214" s="3074"/>
    </row>
  </sheetData>
  <mergeCells count="10">
    <mergeCell ref="B3:C3"/>
    <mergeCell ref="B31:B32"/>
    <mergeCell ref="B46:B47"/>
    <mergeCell ref="B178:E178"/>
    <mergeCell ref="B187:E187"/>
    <mergeCell ref="B210:E210"/>
    <mergeCell ref="B213:B214"/>
    <mergeCell ref="C213:C214"/>
    <mergeCell ref="D213:D214"/>
    <mergeCell ref="B196:E196"/>
  </mergeCells>
  <pageMargins left="0.87" right="0.19" top="1" bottom="0.33" header="0" footer="0"/>
  <pageSetup paperSize="9" scale="60" fitToWidth="0" fitToHeight="0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1777" r:id="rId4" name="CommandButton1">
          <controlPr defaultSize="0" autoLine="0" r:id="rId5">
            <anchor moveWithCells="1">
              <from>
                <xdr:col>3</xdr:col>
                <xdr:colOff>30480</xdr:colOff>
                <xdr:row>2</xdr:row>
                <xdr:rowOff>30480</xdr:rowOff>
              </from>
              <to>
                <xdr:col>3</xdr:col>
                <xdr:colOff>784860</xdr:colOff>
                <xdr:row>3</xdr:row>
                <xdr:rowOff>99060</xdr:rowOff>
              </to>
            </anchor>
          </controlPr>
        </control>
      </mc:Choice>
      <mc:Fallback>
        <control shapeId="331777" r:id="rId4" name="CommandButton1"/>
      </mc:Fallback>
    </mc:AlternateContent>
  </control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">
    <tabColor rgb="FF00B050"/>
    <pageSetUpPr fitToPage="1"/>
  </sheetPr>
  <dimension ref="A1:BB104"/>
  <sheetViews>
    <sheetView showGridLines="0" workbookViewId="0">
      <selection activeCell="B2" sqref="B2"/>
    </sheetView>
  </sheetViews>
  <sheetFormatPr defaultColWidth="11" defaultRowHeight="12.6" x14ac:dyDescent="0.2"/>
  <cols>
    <col min="1" max="1" width="33.7265625" style="1463" customWidth="1"/>
    <col min="2" max="2" width="11" style="1463"/>
    <col min="3" max="3" width="13" style="1463" customWidth="1"/>
    <col min="4" max="4" width="13.36328125" style="1463" customWidth="1"/>
    <col min="5" max="8" width="16.26953125" style="1463" bestFit="1" customWidth="1"/>
    <col min="9" max="9" width="12.7265625" style="1463" bestFit="1" customWidth="1"/>
    <col min="10" max="10" width="11" style="1463"/>
    <col min="11" max="11" width="18.7265625" style="1463" customWidth="1"/>
    <col min="12" max="16384" width="11" style="1463"/>
  </cols>
  <sheetData>
    <row r="1" spans="1:54" s="1455" customFormat="1" ht="22.2" x14ac:dyDescent="0.35">
      <c r="A1" s="1454" t="s">
        <v>1063</v>
      </c>
      <c r="D1" s="1456">
        <v>0.94400644600000005</v>
      </c>
      <c r="I1" s="1457"/>
      <c r="J1" s="1457"/>
    </row>
    <row r="2" spans="1:54" s="1769" customFormat="1" ht="22.2" x14ac:dyDescent="0.35">
      <c r="A2" s="1768"/>
      <c r="D2" s="1770"/>
      <c r="I2" s="1457"/>
      <c r="J2" s="1457"/>
    </row>
    <row r="4" spans="1:54" x14ac:dyDescent="0.2">
      <c r="A4" s="1460" t="s">
        <v>62</v>
      </c>
      <c r="B4" s="1461" t="s">
        <v>36</v>
      </c>
      <c r="C4" s="1462">
        <f>DispatchSchedule!F3</f>
        <v>46023</v>
      </c>
      <c r="D4" s="1462">
        <f>DispatchSchedule!G3</f>
        <v>46054</v>
      </c>
      <c r="E4" s="1462">
        <f>DispatchSchedule!H3</f>
        <v>46082</v>
      </c>
      <c r="F4" s="1462">
        <f>DispatchSchedule!I3</f>
        <v>46113</v>
      </c>
      <c r="G4" s="1462">
        <f>DispatchSchedule!J3</f>
        <v>46143</v>
      </c>
      <c r="H4" s="1462">
        <f>DispatchSchedule!K3</f>
        <v>46174</v>
      </c>
      <c r="M4" s="337"/>
    </row>
    <row r="5" spans="1:54" x14ac:dyDescent="0.2">
      <c r="A5" s="1464" t="s">
        <v>867</v>
      </c>
      <c r="B5" s="1465" t="s">
        <v>39</v>
      </c>
      <c r="C5" s="1466">
        <f>'MW voltage wise'!F11*$D$1</f>
        <v>0</v>
      </c>
      <c r="D5" s="1466">
        <f>'MW voltage wise'!G11*$D$1</f>
        <v>0</v>
      </c>
      <c r="E5" s="1466">
        <f>'MW voltage wise'!H11*$D$1</f>
        <v>0</v>
      </c>
      <c r="F5" s="1466">
        <f>'MW voltage wise'!I11*$D$1</f>
        <v>1654.0914536927885</v>
      </c>
      <c r="G5" s="1466">
        <f>'MW voltage wise'!J11*$D$1</f>
        <v>1663.5035095457586</v>
      </c>
      <c r="H5" s="1466">
        <f>'MW voltage wise'!K11*$D$1</f>
        <v>1564.985068153052</v>
      </c>
      <c r="I5" s="1467"/>
      <c r="M5" s="337"/>
    </row>
    <row r="6" spans="1:54" x14ac:dyDescent="0.2">
      <c r="A6" s="1468" t="s">
        <v>868</v>
      </c>
      <c r="B6" s="1469" t="s">
        <v>37</v>
      </c>
      <c r="C6" s="1470">
        <f>'Loss %'!$F$15</f>
        <v>7.3000000000000001E-3</v>
      </c>
      <c r="D6" s="1470">
        <f>'Loss %'!$F$15</f>
        <v>7.3000000000000001E-3</v>
      </c>
      <c r="E6" s="1470">
        <f>'Loss %'!$F$15</f>
        <v>7.3000000000000001E-3</v>
      </c>
      <c r="F6" s="1470">
        <f>'Loss %'!$F$15</f>
        <v>7.3000000000000001E-3</v>
      </c>
      <c r="G6" s="1470">
        <f>'Loss %'!$F$15</f>
        <v>7.3000000000000001E-3</v>
      </c>
      <c r="H6" s="1470">
        <f>'Loss %'!$F$15</f>
        <v>7.3000000000000001E-3</v>
      </c>
      <c r="I6" s="1467"/>
      <c r="M6" s="337"/>
    </row>
    <row r="7" spans="1:54" x14ac:dyDescent="0.2">
      <c r="A7" s="1471" t="s">
        <v>868</v>
      </c>
      <c r="B7" s="1472" t="s">
        <v>39</v>
      </c>
      <c r="C7" s="1466">
        <f t="shared" ref="C7:H7" si="0">C5*C6</f>
        <v>0</v>
      </c>
      <c r="D7" s="1466">
        <f t="shared" si="0"/>
        <v>0</v>
      </c>
      <c r="E7" s="1466">
        <f t="shared" si="0"/>
        <v>0</v>
      </c>
      <c r="F7" s="1466">
        <f t="shared" si="0"/>
        <v>12.074867611957355</v>
      </c>
      <c r="G7" s="1466">
        <f t="shared" si="0"/>
        <v>12.143575619684038</v>
      </c>
      <c r="H7" s="1466">
        <f t="shared" si="0"/>
        <v>11.42439099751728</v>
      </c>
      <c r="I7" s="1473"/>
      <c r="M7" s="337"/>
    </row>
    <row r="8" spans="1:54" x14ac:dyDescent="0.2">
      <c r="A8" s="1474" t="s">
        <v>869</v>
      </c>
      <c r="B8" s="1475" t="s">
        <v>39</v>
      </c>
      <c r="C8" s="1466">
        <f t="shared" ref="C8:H8" si="1">C5-C7</f>
        <v>0</v>
      </c>
      <c r="D8" s="1466">
        <f t="shared" si="1"/>
        <v>0</v>
      </c>
      <c r="E8" s="1466">
        <f t="shared" si="1"/>
        <v>0</v>
      </c>
      <c r="F8" s="1466">
        <f t="shared" si="1"/>
        <v>1642.0165860808311</v>
      </c>
      <c r="G8" s="1466">
        <f t="shared" si="1"/>
        <v>1651.3599339260745</v>
      </c>
      <c r="H8" s="1466">
        <f t="shared" si="1"/>
        <v>1553.5606771555347</v>
      </c>
      <c r="I8" s="1467"/>
      <c r="J8" s="1467"/>
      <c r="K8" s="1467"/>
      <c r="L8" s="314"/>
    </row>
    <row r="9" spans="1:54" x14ac:dyDescent="0.2">
      <c r="A9" s="1476"/>
      <c r="B9" s="1477"/>
      <c r="C9" s="1478"/>
      <c r="D9" s="1478"/>
      <c r="E9" s="1478"/>
      <c r="F9" s="1478"/>
      <c r="G9" s="1478"/>
      <c r="H9" s="1478"/>
      <c r="I9" s="1467"/>
      <c r="J9" s="1467"/>
      <c r="K9" s="1467"/>
      <c r="L9" s="314"/>
    </row>
    <row r="10" spans="1:54" x14ac:dyDescent="0.2">
      <c r="A10" s="3075" t="s">
        <v>54</v>
      </c>
      <c r="B10" s="3078"/>
      <c r="C10" s="3078"/>
      <c r="D10" s="3078"/>
      <c r="E10" s="3078"/>
      <c r="F10" s="3078"/>
      <c r="G10" s="3078"/>
      <c r="H10" s="3078"/>
      <c r="I10" s="1479"/>
      <c r="J10" s="1479"/>
      <c r="K10" s="1479"/>
      <c r="M10" s="1480"/>
      <c r="N10" s="3075"/>
      <c r="O10" s="3075"/>
      <c r="P10" s="3075"/>
      <c r="Q10" s="3075"/>
      <c r="R10" s="3075"/>
      <c r="S10" s="3075"/>
      <c r="T10" s="3075"/>
      <c r="U10" s="3075"/>
      <c r="V10" s="3075"/>
      <c r="W10" s="3075"/>
      <c r="X10" s="3075"/>
      <c r="Y10" s="3075"/>
      <c r="Z10" s="3075"/>
      <c r="AA10" s="3075"/>
      <c r="AB10" s="3075"/>
      <c r="AC10" s="3075"/>
      <c r="AD10" s="3075"/>
      <c r="AE10" s="3075"/>
      <c r="AF10" s="3075"/>
      <c r="AG10" s="3075"/>
      <c r="AH10" s="3075"/>
      <c r="AI10" s="3075"/>
      <c r="AJ10" s="3075"/>
      <c r="AK10" s="3075"/>
      <c r="AL10" s="3075"/>
      <c r="AM10" s="3075"/>
      <c r="AN10" s="3075"/>
      <c r="AO10" s="3075"/>
      <c r="AP10" s="3075"/>
      <c r="AQ10" s="3075"/>
      <c r="AR10" s="3075"/>
      <c r="AS10" s="3075"/>
      <c r="AT10" s="3075"/>
      <c r="AU10" s="3075"/>
      <c r="AV10" s="3075"/>
      <c r="AW10" s="3075"/>
      <c r="AX10" s="3075"/>
      <c r="AY10" s="3075"/>
      <c r="AZ10" s="1479"/>
    </row>
    <row r="11" spans="1:54" x14ac:dyDescent="0.2">
      <c r="A11" s="1481" t="s">
        <v>61</v>
      </c>
      <c r="B11" s="1461" t="s">
        <v>36</v>
      </c>
      <c r="C11" s="1462">
        <f t="shared" ref="C11:H11" si="2">C4</f>
        <v>46023</v>
      </c>
      <c r="D11" s="1462">
        <f t="shared" si="2"/>
        <v>46054</v>
      </c>
      <c r="E11" s="1462">
        <f t="shared" si="2"/>
        <v>46082</v>
      </c>
      <c r="F11" s="1462">
        <f t="shared" si="2"/>
        <v>46113</v>
      </c>
      <c r="G11" s="1462">
        <f t="shared" si="2"/>
        <v>46143</v>
      </c>
      <c r="H11" s="1462">
        <f t="shared" si="2"/>
        <v>46174</v>
      </c>
      <c r="I11" s="1482"/>
      <c r="J11" s="1482"/>
      <c r="K11" s="1482"/>
      <c r="L11" s="1482"/>
      <c r="M11" s="1480"/>
      <c r="N11" s="1482"/>
      <c r="O11" s="1482"/>
      <c r="P11" s="1482"/>
      <c r="Q11" s="1482"/>
      <c r="R11" s="1482"/>
      <c r="S11" s="1482"/>
      <c r="T11" s="1482"/>
      <c r="U11" s="1482"/>
      <c r="V11" s="1482"/>
      <c r="W11" s="1482"/>
      <c r="X11" s="1482"/>
      <c r="Y11" s="1482"/>
      <c r="Z11" s="1482"/>
      <c r="AA11" s="1482"/>
      <c r="AB11" s="1482"/>
      <c r="AC11" s="1482"/>
      <c r="AD11" s="1482"/>
      <c r="AE11" s="1482"/>
      <c r="AF11" s="1482"/>
      <c r="AG11" s="1482"/>
      <c r="AH11" s="1482"/>
      <c r="AI11" s="1482"/>
      <c r="AJ11" s="1482"/>
      <c r="AK11" s="1482"/>
      <c r="AL11" s="1482"/>
      <c r="AM11" s="1482"/>
      <c r="AN11" s="1482"/>
      <c r="AO11" s="1482"/>
      <c r="AP11" s="1482"/>
      <c r="AQ11" s="1482"/>
      <c r="AR11" s="1482"/>
      <c r="AS11" s="1482"/>
      <c r="AT11" s="1482"/>
      <c r="AU11" s="1482"/>
      <c r="AV11" s="1482"/>
      <c r="AW11" s="1482"/>
      <c r="AX11" s="1482"/>
      <c r="AY11" s="1482"/>
      <c r="AZ11" s="1479"/>
      <c r="BA11" s="1483"/>
      <c r="BB11" s="1483"/>
    </row>
    <row r="12" spans="1:54" x14ac:dyDescent="0.2">
      <c r="A12" s="1484" t="s">
        <v>57</v>
      </c>
      <c r="B12" s="1485" t="s">
        <v>60</v>
      </c>
      <c r="C12" s="1486">
        <f>'hydro en &amp; capcost voltage wise'!E33</f>
        <v>225.16333985872092</v>
      </c>
      <c r="D12" s="1486">
        <f>'hydro en &amp; capcost voltage wise'!F33</f>
        <v>312.62493666151164</v>
      </c>
      <c r="E12" s="1486">
        <f>'hydro en &amp; capcost voltage wise'!G33</f>
        <v>256.87837285872092</v>
      </c>
      <c r="F12" s="1486">
        <f>'hydro en &amp; capcost voltage wise'!H33</f>
        <v>290.93041941571147</v>
      </c>
      <c r="G12" s="1486">
        <f>'hydro en &amp; capcost voltage wise'!I33</f>
        <v>290.64357941571149</v>
      </c>
      <c r="H12" s="1486">
        <f>'hydro en &amp; capcost voltage wise'!J33</f>
        <v>290.35543241571145</v>
      </c>
      <c r="I12" s="1487"/>
      <c r="J12" s="1488"/>
      <c r="K12" s="1489"/>
      <c r="P12" s="1488"/>
      <c r="Q12" s="1488"/>
      <c r="R12" s="1488"/>
    </row>
    <row r="13" spans="1:54" x14ac:dyDescent="0.2">
      <c r="A13" s="1484" t="s">
        <v>58</v>
      </c>
      <c r="B13" s="1485" t="s">
        <v>60</v>
      </c>
      <c r="C13" s="1486"/>
      <c r="D13" s="1486"/>
      <c r="E13" s="1486"/>
      <c r="F13" s="1486"/>
      <c r="G13" s="1486"/>
      <c r="H13" s="1486"/>
      <c r="I13" s="1487"/>
      <c r="J13" s="1488"/>
      <c r="K13" s="1489"/>
      <c r="P13" s="1488"/>
      <c r="Q13" s="1488"/>
      <c r="R13" s="1488"/>
    </row>
    <row r="14" spans="1:54" x14ac:dyDescent="0.2">
      <c r="A14" s="1484" t="s">
        <v>65</v>
      </c>
      <c r="B14" s="1485" t="s">
        <v>60</v>
      </c>
      <c r="C14" s="1486"/>
      <c r="D14" s="1486"/>
      <c r="E14" s="1486"/>
      <c r="F14" s="1486"/>
      <c r="G14" s="1486"/>
      <c r="H14" s="1486"/>
      <c r="I14" s="1487"/>
      <c r="J14" s="1488"/>
      <c r="K14" s="1489"/>
      <c r="P14" s="1488"/>
      <c r="Q14" s="1488"/>
      <c r="R14" s="1488"/>
    </row>
    <row r="15" spans="1:54" x14ac:dyDescent="0.2">
      <c r="A15" s="1113" t="s">
        <v>1067</v>
      </c>
      <c r="B15" s="1485" t="s">
        <v>60</v>
      </c>
      <c r="C15" s="1486">
        <f>'Gen. Capacity'!C16</f>
        <v>520.91150096000001</v>
      </c>
      <c r="D15" s="1486">
        <f>'Gen. Capacity'!D16</f>
        <v>530.70879819999993</v>
      </c>
      <c r="E15" s="1486">
        <f>'Gen. Capacity'!E16</f>
        <v>520.91150096000001</v>
      </c>
      <c r="F15" s="1486">
        <f>'Gen. Capacity'!F16</f>
        <v>524.82329494611918</v>
      </c>
      <c r="G15" s="1486">
        <f>'Gen. Capacity'!G16</f>
        <v>524.82329494611918</v>
      </c>
      <c r="H15" s="1486">
        <f>'Gen. Capacity'!H16</f>
        <v>524.82329494611918</v>
      </c>
      <c r="I15" s="1487"/>
      <c r="J15" s="1488"/>
      <c r="K15" s="1489"/>
      <c r="P15" s="1488"/>
      <c r="Q15" s="1488"/>
      <c r="R15" s="1488"/>
    </row>
    <row r="16" spans="1:54" s="1490" customFormat="1" hidden="1" x14ac:dyDescent="0.2">
      <c r="A16" s="1484" t="s">
        <v>0</v>
      </c>
      <c r="B16" s="1485" t="s">
        <v>60</v>
      </c>
      <c r="C16" s="1486"/>
      <c r="D16" s="1486"/>
      <c r="E16" s="1486"/>
      <c r="F16" s="1486"/>
      <c r="G16" s="1486"/>
      <c r="H16" s="1486"/>
      <c r="I16" s="1487"/>
      <c r="J16" s="1488"/>
      <c r="K16" s="1489"/>
      <c r="P16" s="1488"/>
      <c r="Q16" s="1488"/>
      <c r="R16" s="1488"/>
    </row>
    <row r="17" spans="1:18" s="1490" customFormat="1" hidden="1" x14ac:dyDescent="0.2">
      <c r="A17" s="1484" t="s">
        <v>1</v>
      </c>
      <c r="B17" s="1485" t="s">
        <v>60</v>
      </c>
      <c r="C17" s="1486"/>
      <c r="D17" s="1486"/>
      <c r="E17" s="1486"/>
      <c r="F17" s="1486"/>
      <c r="G17" s="1486"/>
      <c r="H17" s="1486"/>
      <c r="I17" s="1487"/>
      <c r="J17" s="1488"/>
      <c r="K17" s="1489"/>
      <c r="P17" s="1491"/>
      <c r="Q17" s="1491"/>
      <c r="R17" s="1491"/>
    </row>
    <row r="18" spans="1:18" s="1490" customFormat="1" hidden="1" x14ac:dyDescent="0.2">
      <c r="A18" s="1484" t="s">
        <v>2</v>
      </c>
      <c r="B18" s="1485" t="s">
        <v>60</v>
      </c>
      <c r="C18" s="1486"/>
      <c r="D18" s="1486"/>
      <c r="E18" s="1486"/>
      <c r="F18" s="1486"/>
      <c r="G18" s="1486"/>
      <c r="H18" s="1486"/>
      <c r="I18" s="1487"/>
      <c r="J18" s="1488"/>
      <c r="K18" s="1489"/>
      <c r="P18" s="1491"/>
      <c r="Q18" s="1491"/>
      <c r="R18" s="1491"/>
    </row>
    <row r="19" spans="1:18" hidden="1" x14ac:dyDescent="0.2">
      <c r="A19" s="1492" t="s">
        <v>3</v>
      </c>
      <c r="B19" s="1493" t="s">
        <v>60</v>
      </c>
      <c r="C19" s="1494"/>
      <c r="D19" s="1494"/>
      <c r="E19" s="1494"/>
      <c r="F19" s="1494"/>
      <c r="G19" s="1494"/>
      <c r="H19" s="1494"/>
      <c r="I19" s="1487"/>
      <c r="J19" s="1488"/>
      <c r="K19" s="1489"/>
      <c r="P19" s="1488"/>
      <c r="Q19" s="1488"/>
      <c r="R19" s="1488"/>
    </row>
    <row r="20" spans="1:18" s="1490" customFormat="1" hidden="1" x14ac:dyDescent="0.2">
      <c r="A20" s="1492" t="s">
        <v>4</v>
      </c>
      <c r="B20" s="1493" t="s">
        <v>60</v>
      </c>
      <c r="C20" s="1494"/>
      <c r="D20" s="1494"/>
      <c r="E20" s="1494"/>
      <c r="F20" s="1494"/>
      <c r="G20" s="1494"/>
      <c r="H20" s="1494"/>
      <c r="I20" s="1487"/>
      <c r="J20" s="1488"/>
      <c r="K20" s="1489"/>
      <c r="P20" s="1491"/>
      <c r="Q20" s="1491"/>
      <c r="R20" s="1491"/>
    </row>
    <row r="21" spans="1:18" s="1490" customFormat="1" x14ac:dyDescent="0.2">
      <c r="A21" s="1484" t="s">
        <v>5</v>
      </c>
      <c r="B21" s="1485" t="s">
        <v>60</v>
      </c>
      <c r="C21" s="1486">
        <f>'Gen. Capacity'!C21</f>
        <v>59.644823780000003</v>
      </c>
      <c r="D21" s="1486">
        <f>'Gen. Capacity'!D21</f>
        <v>75.26370344</v>
      </c>
      <c r="E21" s="1486">
        <f>'Gen. Capacity'!E21</f>
        <v>59.644823780000003</v>
      </c>
      <c r="F21" s="1486">
        <f>'Gen. Capacity'!F21</f>
        <v>61.17437644994564</v>
      </c>
      <c r="G21" s="1486">
        <f>'Gen. Capacity'!G21</f>
        <v>61.17437644994564</v>
      </c>
      <c r="H21" s="1486">
        <f>'Gen. Capacity'!H21</f>
        <v>61.17437644994564</v>
      </c>
      <c r="I21" s="1487"/>
      <c r="J21" s="1488"/>
      <c r="K21" s="1489"/>
      <c r="P21" s="1491"/>
      <c r="Q21" s="1491"/>
      <c r="R21" s="1491"/>
    </row>
    <row r="22" spans="1:18" x14ac:dyDescent="0.2">
      <c r="A22" s="1484" t="s">
        <v>803</v>
      </c>
      <c r="B22" s="1485" t="s">
        <v>60</v>
      </c>
      <c r="C22" s="1486" t="e">
        <f>'Gen. Capacity'!#REF!</f>
        <v>#REF!</v>
      </c>
      <c r="D22" s="1486" t="e">
        <f>'Gen. Capacity'!#REF!</f>
        <v>#REF!</v>
      </c>
      <c r="E22" s="1486" t="e">
        <f>'Gen. Capacity'!#REF!</f>
        <v>#REF!</v>
      </c>
      <c r="F22" s="1486" t="e">
        <f>'Gen. Capacity'!#REF!</f>
        <v>#REF!</v>
      </c>
      <c r="G22" s="1486" t="e">
        <f>'Gen. Capacity'!#REF!</f>
        <v>#REF!</v>
      </c>
      <c r="H22" s="1486" t="e">
        <f>'Gen. Capacity'!#REF!</f>
        <v>#REF!</v>
      </c>
      <c r="I22" s="1487"/>
      <c r="J22" s="1495"/>
      <c r="K22" s="1489"/>
      <c r="P22" s="1473"/>
      <c r="Q22" s="1473"/>
      <c r="R22" s="1473"/>
    </row>
    <row r="23" spans="1:18" hidden="1" x14ac:dyDescent="0.2">
      <c r="A23" s="1492" t="s">
        <v>7</v>
      </c>
      <c r="B23" s="1493" t="s">
        <v>60</v>
      </c>
      <c r="C23" s="1494"/>
      <c r="D23" s="1494"/>
      <c r="E23" s="1494"/>
      <c r="F23" s="1494"/>
      <c r="G23" s="1494"/>
      <c r="H23" s="1494"/>
      <c r="I23" s="1487"/>
      <c r="J23" s="1488"/>
      <c r="K23" s="1489"/>
      <c r="P23" s="1488"/>
      <c r="Q23" s="1488"/>
      <c r="R23" s="1488"/>
    </row>
    <row r="24" spans="1:18" hidden="1" x14ac:dyDescent="0.2">
      <c r="A24" s="1492" t="s">
        <v>8</v>
      </c>
      <c r="B24" s="1493" t="s">
        <v>60</v>
      </c>
      <c r="C24" s="1494"/>
      <c r="D24" s="1494"/>
      <c r="E24" s="1494"/>
      <c r="F24" s="1494"/>
      <c r="G24" s="1494"/>
      <c r="H24" s="1494"/>
      <c r="I24" s="1487"/>
      <c r="J24" s="1488"/>
      <c r="K24" s="1489"/>
      <c r="P24" s="1488"/>
      <c r="Q24" s="1488"/>
      <c r="R24" s="1488"/>
    </row>
    <row r="25" spans="1:18" hidden="1" x14ac:dyDescent="0.2">
      <c r="A25" s="1492" t="s">
        <v>9</v>
      </c>
      <c r="B25" s="1493" t="s">
        <v>60</v>
      </c>
      <c r="C25" s="1494"/>
      <c r="D25" s="1494"/>
      <c r="E25" s="1494"/>
      <c r="F25" s="1494"/>
      <c r="G25" s="1494"/>
      <c r="H25" s="1494"/>
      <c r="I25" s="1487"/>
      <c r="J25" s="1488"/>
      <c r="K25" s="1489"/>
    </row>
    <row r="26" spans="1:18" hidden="1" x14ac:dyDescent="0.2">
      <c r="A26" s="1492" t="s">
        <v>10</v>
      </c>
      <c r="B26" s="1493" t="s">
        <v>60</v>
      </c>
      <c r="C26" s="1494"/>
      <c r="D26" s="1494"/>
      <c r="E26" s="1494"/>
      <c r="F26" s="1494"/>
      <c r="G26" s="1494"/>
      <c r="H26" s="1494"/>
      <c r="I26" s="1487"/>
      <c r="J26" s="1488"/>
      <c r="K26" s="1489"/>
    </row>
    <row r="27" spans="1:18" hidden="1" x14ac:dyDescent="0.2">
      <c r="A27" s="1484" t="s">
        <v>11</v>
      </c>
      <c r="B27" s="1485" t="s">
        <v>60</v>
      </c>
      <c r="C27" s="1486"/>
      <c r="D27" s="1486"/>
      <c r="E27" s="1486"/>
      <c r="F27" s="1486"/>
      <c r="G27" s="1486"/>
      <c r="H27" s="1486"/>
      <c r="I27" s="1487"/>
      <c r="J27" s="1488"/>
      <c r="K27" s="1489"/>
    </row>
    <row r="28" spans="1:18" hidden="1" x14ac:dyDescent="0.2">
      <c r="A28" s="1492" t="s">
        <v>12</v>
      </c>
      <c r="B28" s="1493" t="s">
        <v>60</v>
      </c>
      <c r="C28" s="1494"/>
      <c r="D28" s="1494"/>
      <c r="E28" s="1494"/>
      <c r="F28" s="1494"/>
      <c r="G28" s="1494"/>
      <c r="H28" s="1494"/>
      <c r="I28" s="1487"/>
      <c r="J28" s="1488"/>
      <c r="K28" s="1489"/>
    </row>
    <row r="29" spans="1:18" x14ac:dyDescent="0.2">
      <c r="A29" s="1484" t="s">
        <v>643</v>
      </c>
      <c r="B29" s="1485" t="s">
        <v>60</v>
      </c>
      <c r="C29" s="1486">
        <f>'Gen. Capacity'!C26</f>
        <v>80.624988740000006</v>
      </c>
      <c r="D29" s="1486">
        <f>'Gen. Capacity'!D26</f>
        <v>86.304581339999999</v>
      </c>
      <c r="E29" s="1486">
        <f>'Gen. Capacity'!E26</f>
        <v>80.624988740000006</v>
      </c>
      <c r="F29" s="1486">
        <f>'Gen. Capacity'!F26</f>
        <v>27.2202964096772</v>
      </c>
      <c r="G29" s="1486">
        <f>'Gen. Capacity'!G26</f>
        <v>27.2202964096772</v>
      </c>
      <c r="H29" s="1486">
        <f>'Gen. Capacity'!H26</f>
        <v>27.2202964096772</v>
      </c>
      <c r="I29" s="1487"/>
      <c r="J29" s="1488"/>
      <c r="K29" s="1489"/>
    </row>
    <row r="30" spans="1:18" x14ac:dyDescent="0.2">
      <c r="A30" s="1484" t="s">
        <v>13</v>
      </c>
      <c r="B30" s="1485" t="s">
        <v>60</v>
      </c>
      <c r="C30" s="1486">
        <f>'Gen. Capacity'!C29</f>
        <v>1458.6681605117362</v>
      </c>
      <c r="D30" s="1486">
        <f>'Gen. Capacity'!D29</f>
        <v>1330.1253644467904</v>
      </c>
      <c r="E30" s="1486">
        <f>'Gen. Capacity'!E29</f>
        <v>1458.8508328224391</v>
      </c>
      <c r="F30" s="1486">
        <f>'Gen. Capacity'!F29</f>
        <v>1416.1459672475219</v>
      </c>
      <c r="G30" s="1486">
        <f>'Gen. Capacity'!G29</f>
        <v>1477.5370478924401</v>
      </c>
      <c r="H30" s="1486">
        <f>'Gen. Capacity'!H29</f>
        <v>1434.2294011862321</v>
      </c>
      <c r="I30" s="1487"/>
      <c r="J30" s="337"/>
      <c r="K30" s="1489"/>
    </row>
    <row r="31" spans="1:18" s="1490" customFormat="1" x14ac:dyDescent="0.2">
      <c r="A31" s="1484" t="s">
        <v>14</v>
      </c>
      <c r="B31" s="1485" t="s">
        <v>60</v>
      </c>
      <c r="C31" s="1486">
        <f>'Gen. Capacity'!C23</f>
        <v>1307.6464463609816</v>
      </c>
      <c r="D31" s="1486">
        <f>'Gen. Capacity'!D23</f>
        <v>1425.1410370776484</v>
      </c>
      <c r="E31" s="1486">
        <f>'Gen. Capacity'!E23</f>
        <v>1343.8034373609817</v>
      </c>
      <c r="F31" s="1486">
        <f>'Gen. Capacity'!F23</f>
        <v>1166.7055885445816</v>
      </c>
      <c r="G31" s="1486">
        <f>'Gen. Capacity'!G23</f>
        <v>1165.3572545445816</v>
      </c>
      <c r="H31" s="1486">
        <f>'Gen. Capacity'!H23</f>
        <v>1164.0072095445817</v>
      </c>
      <c r="I31" s="1487"/>
      <c r="J31" s="1488"/>
      <c r="K31" s="1489"/>
    </row>
    <row r="32" spans="1:18" hidden="1" x14ac:dyDescent="0.2">
      <c r="A32" s="1484" t="s">
        <v>15</v>
      </c>
      <c r="B32" s="1485" t="s">
        <v>60</v>
      </c>
      <c r="C32" s="1486"/>
      <c r="D32" s="1486"/>
      <c r="E32" s="1486"/>
      <c r="F32" s="1486"/>
      <c r="G32" s="1486"/>
      <c r="H32" s="1486"/>
      <c r="I32" s="1487"/>
      <c r="J32" s="1488"/>
      <c r="K32" s="1489"/>
    </row>
    <row r="33" spans="1:11" hidden="1" x14ac:dyDescent="0.2">
      <c r="A33" s="1484" t="s">
        <v>111</v>
      </c>
      <c r="B33" s="1485" t="s">
        <v>60</v>
      </c>
      <c r="C33" s="1486"/>
      <c r="D33" s="1486"/>
      <c r="E33" s="1486"/>
      <c r="F33" s="1486"/>
      <c r="G33" s="1486"/>
      <c r="H33" s="1486"/>
      <c r="I33" s="1487"/>
      <c r="J33" s="1488"/>
      <c r="K33" s="1489"/>
    </row>
    <row r="34" spans="1:11" s="1490" customFormat="1" hidden="1" x14ac:dyDescent="0.2">
      <c r="A34" s="1484" t="s">
        <v>422</v>
      </c>
      <c r="B34" s="1485" t="s">
        <v>60</v>
      </c>
      <c r="C34" s="1486"/>
      <c r="D34" s="1486"/>
      <c r="E34" s="1486"/>
      <c r="F34" s="1486"/>
      <c r="G34" s="1486"/>
      <c r="H34" s="1486"/>
      <c r="I34" s="1487"/>
      <c r="J34" s="1488"/>
      <c r="K34" s="1489"/>
    </row>
    <row r="35" spans="1:11" hidden="1" x14ac:dyDescent="0.2">
      <c r="A35" s="1492" t="s">
        <v>463</v>
      </c>
      <c r="B35" s="1493" t="s">
        <v>60</v>
      </c>
      <c r="C35" s="1494"/>
      <c r="D35" s="1494"/>
      <c r="E35" s="1494"/>
      <c r="F35" s="1494"/>
      <c r="G35" s="1494"/>
      <c r="H35" s="1494"/>
      <c r="I35" s="1487"/>
      <c r="J35" s="1488"/>
      <c r="K35" s="1489"/>
    </row>
    <row r="36" spans="1:11" hidden="1" x14ac:dyDescent="0.2">
      <c r="A36" s="1496" t="s">
        <v>464</v>
      </c>
      <c r="B36" s="1497" t="s">
        <v>60</v>
      </c>
      <c r="C36" s="1498"/>
      <c r="D36" s="1498"/>
      <c r="E36" s="1498"/>
      <c r="F36" s="1498"/>
      <c r="G36" s="1498"/>
      <c r="H36" s="1498"/>
      <c r="I36" s="1487"/>
      <c r="J36" s="1488"/>
      <c r="K36" s="1489"/>
    </row>
    <row r="37" spans="1:11" s="1490" customFormat="1" hidden="1" x14ac:dyDescent="0.2">
      <c r="A37" s="1484" t="s">
        <v>538</v>
      </c>
      <c r="B37" s="1485" t="s">
        <v>60</v>
      </c>
      <c r="C37" s="1486"/>
      <c r="D37" s="1486"/>
      <c r="E37" s="1486"/>
      <c r="F37" s="1486"/>
      <c r="G37" s="1486"/>
      <c r="H37" s="1486"/>
      <c r="I37" s="1487"/>
      <c r="J37" s="1488"/>
      <c r="K37" s="1489"/>
    </row>
    <row r="38" spans="1:11" hidden="1" x14ac:dyDescent="0.2">
      <c r="A38" s="1492" t="s">
        <v>19</v>
      </c>
      <c r="B38" s="1493" t="s">
        <v>60</v>
      </c>
      <c r="C38" s="1494"/>
      <c r="D38" s="1494"/>
      <c r="E38" s="1494"/>
      <c r="F38" s="1494"/>
      <c r="G38" s="1499"/>
      <c r="H38" s="1494"/>
      <c r="I38" s="1487"/>
      <c r="J38" s="1488"/>
      <c r="K38" s="1489"/>
    </row>
    <row r="39" spans="1:11" hidden="1" x14ac:dyDescent="0.2">
      <c r="A39" s="1492" t="s">
        <v>739</v>
      </c>
      <c r="B39" s="1493" t="s">
        <v>60</v>
      </c>
      <c r="C39" s="1494"/>
      <c r="D39" s="1494"/>
      <c r="E39" s="1494"/>
      <c r="F39" s="1494"/>
      <c r="G39" s="1494"/>
      <c r="H39" s="1494"/>
      <c r="I39" s="1487"/>
      <c r="J39" s="1488"/>
      <c r="K39" s="1489"/>
    </row>
    <row r="40" spans="1:11" hidden="1" x14ac:dyDescent="0.2">
      <c r="A40" s="1484" t="s">
        <v>817</v>
      </c>
      <c r="B40" s="1485" t="s">
        <v>60</v>
      </c>
      <c r="C40" s="1486"/>
      <c r="D40" s="1486"/>
      <c r="E40" s="1486"/>
      <c r="F40" s="1486"/>
      <c r="G40" s="1486"/>
      <c r="H40" s="1486"/>
      <c r="I40" s="1487"/>
      <c r="J40" s="1488"/>
      <c r="K40" s="1489"/>
    </row>
    <row r="41" spans="1:11" hidden="1" x14ac:dyDescent="0.2">
      <c r="A41" s="1484" t="s">
        <v>818</v>
      </c>
      <c r="B41" s="1485" t="s">
        <v>60</v>
      </c>
      <c r="C41" s="1486"/>
      <c r="D41" s="1486"/>
      <c r="E41" s="1486"/>
      <c r="F41" s="1486"/>
      <c r="G41" s="1486"/>
      <c r="H41" s="1486"/>
      <c r="I41" s="1487"/>
      <c r="J41" s="1488"/>
      <c r="K41" s="1489"/>
    </row>
    <row r="42" spans="1:11" hidden="1" x14ac:dyDescent="0.2">
      <c r="A42" s="1484" t="s">
        <v>819</v>
      </c>
      <c r="B42" s="1485" t="s">
        <v>60</v>
      </c>
      <c r="C42" s="1486"/>
      <c r="D42" s="1486"/>
      <c r="E42" s="1486"/>
      <c r="F42" s="1486"/>
      <c r="G42" s="1486"/>
      <c r="H42" s="1486"/>
      <c r="I42" s="1487"/>
      <c r="J42" s="1488"/>
      <c r="K42" s="1489"/>
    </row>
    <row r="43" spans="1:11" x14ac:dyDescent="0.2">
      <c r="A43" s="1500" t="s">
        <v>31</v>
      </c>
      <c r="B43" s="1501" t="s">
        <v>60</v>
      </c>
      <c r="C43" s="1502" t="e">
        <f t="shared" ref="C43:H43" si="3">SUM(C12:C42)</f>
        <v>#REF!</v>
      </c>
      <c r="D43" s="1502" t="e">
        <f t="shared" si="3"/>
        <v>#REF!</v>
      </c>
      <c r="E43" s="1502" t="e">
        <f t="shared" si="3"/>
        <v>#REF!</v>
      </c>
      <c r="F43" s="1502" t="e">
        <f t="shared" si="3"/>
        <v>#REF!</v>
      </c>
      <c r="G43" s="1502" t="e">
        <f t="shared" si="3"/>
        <v>#REF!</v>
      </c>
      <c r="H43" s="1502" t="e">
        <f t="shared" si="3"/>
        <v>#REF!</v>
      </c>
      <c r="I43" s="1487"/>
      <c r="J43" s="1488"/>
      <c r="K43" s="1489"/>
    </row>
    <row r="44" spans="1:11" hidden="1" x14ac:dyDescent="0.2">
      <c r="A44" s="1479"/>
      <c r="C44" s="1503"/>
      <c r="D44" s="1503"/>
      <c r="E44" s="1503"/>
      <c r="F44" s="1503"/>
      <c r="G44" s="1503"/>
      <c r="H44" s="1503"/>
    </row>
    <row r="45" spans="1:11" hidden="1" x14ac:dyDescent="0.2">
      <c r="A45" s="1479"/>
      <c r="C45" s="1503"/>
      <c r="D45" s="1503"/>
      <c r="E45" s="1503"/>
      <c r="F45" s="1503"/>
      <c r="G45" s="1503"/>
      <c r="H45" s="1503"/>
    </row>
    <row r="46" spans="1:11" hidden="1" x14ac:dyDescent="0.2">
      <c r="A46" s="1479"/>
      <c r="C46" s="1473" t="e">
        <f t="shared" ref="C46:H46" si="4">C43-C44+C45</f>
        <v>#REF!</v>
      </c>
      <c r="D46" s="1473" t="e">
        <f t="shared" si="4"/>
        <v>#REF!</v>
      </c>
      <c r="E46" s="1473" t="e">
        <f t="shared" si="4"/>
        <v>#REF!</v>
      </c>
      <c r="F46" s="1473" t="e">
        <f t="shared" si="4"/>
        <v>#REF!</v>
      </c>
      <c r="G46" s="1473" t="e">
        <f t="shared" si="4"/>
        <v>#REF!</v>
      </c>
      <c r="H46" s="1473" t="e">
        <f t="shared" si="4"/>
        <v>#REF!</v>
      </c>
      <c r="I46" s="1473"/>
    </row>
    <row r="47" spans="1:11" x14ac:dyDescent="0.2">
      <c r="A47" s="1479"/>
      <c r="C47" s="1473"/>
      <c r="D47" s="1473"/>
      <c r="E47" s="1473"/>
      <c r="F47" s="1473"/>
      <c r="G47" s="1473"/>
      <c r="H47" s="1473"/>
      <c r="I47" s="1473"/>
    </row>
    <row r="48" spans="1:11" ht="13.2" thickBot="1" x14ac:dyDescent="0.25">
      <c r="A48" s="3076" t="s">
        <v>55</v>
      </c>
      <c r="B48" s="3077"/>
      <c r="C48" s="3077"/>
      <c r="D48" s="3077"/>
      <c r="E48" s="3077"/>
      <c r="F48" s="3077"/>
      <c r="G48" s="3077"/>
      <c r="H48" s="3077"/>
    </row>
    <row r="49" spans="1:9" ht="13.2" thickBot="1" x14ac:dyDescent="0.25">
      <c r="A49" s="1504"/>
      <c r="B49" s="1505"/>
      <c r="C49" s="1505"/>
      <c r="D49" s="1505"/>
      <c r="E49" s="1505"/>
      <c r="F49" s="1505"/>
      <c r="G49" s="1505"/>
      <c r="H49" s="1506"/>
    </row>
    <row r="50" spans="1:9" ht="13.2" thickBot="1" x14ac:dyDescent="0.25">
      <c r="A50" s="1507"/>
      <c r="B50" s="1508" t="s">
        <v>36</v>
      </c>
      <c r="C50" s="1509">
        <f t="shared" ref="C50:H50" si="5">C4</f>
        <v>46023</v>
      </c>
      <c r="D50" s="1509">
        <f t="shared" si="5"/>
        <v>46054</v>
      </c>
      <c r="E50" s="1509">
        <f t="shared" si="5"/>
        <v>46082</v>
      </c>
      <c r="F50" s="1509">
        <f t="shared" si="5"/>
        <v>46113</v>
      </c>
      <c r="G50" s="1509">
        <f t="shared" si="5"/>
        <v>46143</v>
      </c>
      <c r="H50" s="1509">
        <f t="shared" si="5"/>
        <v>46174</v>
      </c>
    </row>
    <row r="51" spans="1:9" ht="13.2" thickBot="1" x14ac:dyDescent="0.25">
      <c r="A51" s="1510" t="s">
        <v>55</v>
      </c>
      <c r="B51" s="1511" t="s">
        <v>42</v>
      </c>
      <c r="C51" s="1512" t="e">
        <f t="shared" ref="C51:H51" si="6">(C43)*1000000/C8</f>
        <v>#REF!</v>
      </c>
      <c r="D51" s="1512" t="e">
        <f t="shared" si="6"/>
        <v>#REF!</v>
      </c>
      <c r="E51" s="1512" t="e">
        <f t="shared" si="6"/>
        <v>#REF!</v>
      </c>
      <c r="F51" s="1512" t="e">
        <f t="shared" si="6"/>
        <v>#REF!</v>
      </c>
      <c r="G51" s="1512" t="e">
        <f t="shared" si="6"/>
        <v>#REF!</v>
      </c>
      <c r="H51" s="1512" t="e">
        <f t="shared" si="6"/>
        <v>#REF!</v>
      </c>
      <c r="I51" s="1488" t="e">
        <f>C51+D51+E51+F51+G51+H51</f>
        <v>#REF!</v>
      </c>
    </row>
    <row r="52" spans="1:9" x14ac:dyDescent="0.2">
      <c r="A52" s="1513"/>
      <c r="B52" s="1514"/>
      <c r="C52" s="1515"/>
      <c r="D52" s="1515"/>
      <c r="E52" s="1515"/>
      <c r="F52" s="1515"/>
      <c r="G52" s="1515"/>
      <c r="H52" s="1515"/>
    </row>
    <row r="104" spans="3:8" x14ac:dyDescent="0.2">
      <c r="C104" s="1489"/>
      <c r="D104" s="1489"/>
      <c r="E104" s="1489"/>
      <c r="F104" s="1489"/>
      <c r="G104" s="1489"/>
      <c r="H104" s="1489"/>
    </row>
  </sheetData>
  <mergeCells count="21">
    <mergeCell ref="N10:O10"/>
    <mergeCell ref="P10:Q10"/>
    <mergeCell ref="R10:S10"/>
    <mergeCell ref="T10:U10"/>
    <mergeCell ref="V10:W10"/>
    <mergeCell ref="AV10:AW10"/>
    <mergeCell ref="AX10:AY10"/>
    <mergeCell ref="A48:H48"/>
    <mergeCell ref="AJ10:AK10"/>
    <mergeCell ref="AL10:AM10"/>
    <mergeCell ref="AN10:AO10"/>
    <mergeCell ref="AP10:AQ10"/>
    <mergeCell ref="AR10:AS10"/>
    <mergeCell ref="AT10:AU10"/>
    <mergeCell ref="X10:Y10"/>
    <mergeCell ref="Z10:AA10"/>
    <mergeCell ref="AB10:AC10"/>
    <mergeCell ref="AD10:AE10"/>
    <mergeCell ref="AF10:AG10"/>
    <mergeCell ref="AH10:AI10"/>
    <mergeCell ref="A10:H10"/>
  </mergeCells>
  <pageMargins left="0.75" right="0.37" top="1" bottom="1" header="0" footer="0"/>
  <pageSetup paperSize="9" scale="59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8001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28001" r:id="rId4" name="CommandButton1"/>
      </mc:Fallback>
    </mc:AlternateContent>
  </control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">
    <tabColor rgb="FF00B050"/>
    <pageSetUpPr fitToPage="1"/>
  </sheetPr>
  <dimension ref="A1:XFD114"/>
  <sheetViews>
    <sheetView showGridLines="0" topLeftCell="A13" workbookViewId="0">
      <selection activeCell="B2" sqref="B2"/>
    </sheetView>
  </sheetViews>
  <sheetFormatPr defaultColWidth="11" defaultRowHeight="12.6" x14ac:dyDescent="0.2"/>
  <cols>
    <col min="1" max="1" width="42.08984375" style="1463" customWidth="1"/>
    <col min="2" max="2" width="11" style="1463"/>
    <col min="3" max="3" width="19.08984375" style="1463" bestFit="1" customWidth="1"/>
    <col min="4" max="5" width="17.36328125" style="1463" bestFit="1" customWidth="1"/>
    <col min="6" max="6" width="16.36328125" style="1463" bestFit="1" customWidth="1"/>
    <col min="7" max="8" width="17.36328125" style="1463" bestFit="1" customWidth="1"/>
    <col min="9" max="9" width="36.08984375" style="1463" bestFit="1" customWidth="1"/>
    <col min="10" max="10" width="11" style="1463"/>
    <col min="11" max="11" width="18.7265625" style="1463" customWidth="1"/>
    <col min="12" max="16384" width="11" style="1463"/>
  </cols>
  <sheetData>
    <row r="1" spans="1:54" s="1455" customFormat="1" ht="22.2" x14ac:dyDescent="0.35">
      <c r="A1" s="1454" t="s">
        <v>1061</v>
      </c>
      <c r="D1" s="1456">
        <v>0.94400644600000005</v>
      </c>
      <c r="I1" s="1457"/>
      <c r="J1" s="1457"/>
    </row>
    <row r="2" spans="1:54" s="1455" customFormat="1" ht="22.2" x14ac:dyDescent="0.35">
      <c r="A2" s="1458"/>
      <c r="D2" s="1459"/>
      <c r="I2" s="1457"/>
      <c r="J2" s="1457"/>
    </row>
    <row r="4" spans="1:54" x14ac:dyDescent="0.2">
      <c r="A4" s="1460" t="s">
        <v>62</v>
      </c>
      <c r="B4" s="1461" t="s">
        <v>36</v>
      </c>
      <c r="C4" s="1462">
        <f>'Gen. Capacity 220'!C4</f>
        <v>46023</v>
      </c>
      <c r="D4" s="1462">
        <f>'Gen. Capacity 220'!D4</f>
        <v>46054</v>
      </c>
      <c r="E4" s="1462">
        <f>'Gen. Capacity 220'!E4</f>
        <v>46082</v>
      </c>
      <c r="F4" s="1462">
        <f>'Gen. Capacity 220'!F4</f>
        <v>46113</v>
      </c>
      <c r="G4" s="1462">
        <f>'Gen. Capacity 220'!G4</f>
        <v>46143</v>
      </c>
      <c r="H4" s="1462">
        <f>'Gen. Capacity 220'!H4</f>
        <v>46174</v>
      </c>
      <c r="M4" s="337"/>
    </row>
    <row r="5" spans="1:54" x14ac:dyDescent="0.2">
      <c r="A5" s="1471" t="s">
        <v>869</v>
      </c>
      <c r="B5" s="1472" t="s">
        <v>39</v>
      </c>
      <c r="C5" s="1516">
        <f>'Gen. Capacity 220'!C8</f>
        <v>0</v>
      </c>
      <c r="D5" s="1516">
        <f>'Gen. Capacity 220'!D8</f>
        <v>0</v>
      </c>
      <c r="E5" s="1516">
        <f>'Gen. Capacity 220'!E8</f>
        <v>0</v>
      </c>
      <c r="F5" s="1516">
        <f>'Gen. Capacity 220'!F8</f>
        <v>1642.0165860808311</v>
      </c>
      <c r="G5" s="1516">
        <f>'Gen. Capacity 220'!G8</f>
        <v>1651.3599339260745</v>
      </c>
      <c r="H5" s="1516">
        <f>'Gen. Capacity 220'!H8</f>
        <v>1553.5606771555347</v>
      </c>
      <c r="I5" s="1482"/>
      <c r="J5" s="1482"/>
      <c r="K5" s="1482"/>
      <c r="L5" s="1482"/>
      <c r="M5" s="1480"/>
      <c r="N5" s="1482"/>
      <c r="O5" s="1482"/>
      <c r="P5" s="1482"/>
      <c r="Q5" s="1482"/>
      <c r="R5" s="1482"/>
      <c r="S5" s="1482"/>
      <c r="T5" s="1482"/>
      <c r="U5" s="1482"/>
      <c r="V5" s="1482"/>
      <c r="W5" s="1482"/>
      <c r="X5" s="1482"/>
      <c r="Y5" s="1482"/>
      <c r="Z5" s="1482"/>
      <c r="AA5" s="1482"/>
      <c r="AB5" s="1482"/>
      <c r="AC5" s="1482"/>
      <c r="AD5" s="1482"/>
      <c r="AE5" s="1482"/>
      <c r="AF5" s="1482"/>
      <c r="AG5" s="1482"/>
      <c r="AH5" s="1482"/>
      <c r="AI5" s="1482"/>
      <c r="AJ5" s="1482"/>
      <c r="AK5" s="1482"/>
      <c r="AL5" s="1482"/>
      <c r="AM5" s="1482"/>
      <c r="AN5" s="1482"/>
      <c r="AO5" s="1482"/>
      <c r="AP5" s="1482"/>
      <c r="AQ5" s="1482"/>
      <c r="AR5" s="1482"/>
      <c r="AS5" s="1482"/>
      <c r="AT5" s="1482"/>
      <c r="AU5" s="1482"/>
      <c r="AV5" s="1482"/>
      <c r="AW5" s="1482"/>
      <c r="AX5" s="1482"/>
      <c r="AY5" s="1482"/>
      <c r="AZ5" s="1479"/>
      <c r="BA5" s="1483"/>
      <c r="BB5" s="1483"/>
    </row>
    <row r="6" spans="1:54" x14ac:dyDescent="0.2">
      <c r="A6" s="1471" t="s">
        <v>870</v>
      </c>
      <c r="B6" s="1472" t="s">
        <v>39</v>
      </c>
      <c r="C6" s="1517">
        <f>'tx consumer data'!B4*$D$1</f>
        <v>15.694107164750001</v>
      </c>
      <c r="D6" s="1517">
        <f>'tx consumer data'!C4*$D$1</f>
        <v>15.3334023017334</v>
      </c>
      <c r="E6" s="1517">
        <f>'tx consumer data'!D4*$D$1</f>
        <v>15.620380261317402</v>
      </c>
      <c r="F6" s="1517">
        <f>'tx consumer data'!E4*$D$1</f>
        <v>16.3644461420546</v>
      </c>
      <c r="G6" s="1517">
        <f>'tx consumer data'!F4*$D$1</f>
        <v>13.5419612691592</v>
      </c>
      <c r="H6" s="1517">
        <f>'tx consumer data'!G4*$D$1</f>
        <v>14.9623133678108</v>
      </c>
      <c r="I6" s="1482"/>
      <c r="J6" s="1482"/>
      <c r="K6" s="1482"/>
      <c r="L6" s="1482"/>
      <c r="M6" s="1480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2"/>
      <c r="AG6" s="1482"/>
      <c r="AH6" s="1482"/>
      <c r="AI6" s="1482"/>
      <c r="AJ6" s="1482"/>
      <c r="AK6" s="1482"/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79"/>
      <c r="BA6" s="1483"/>
      <c r="BB6" s="1483"/>
    </row>
    <row r="7" spans="1:54" x14ac:dyDescent="0.2">
      <c r="A7" s="1471" t="s">
        <v>871</v>
      </c>
      <c r="B7" s="1472" t="s">
        <v>39</v>
      </c>
      <c r="C7" s="1516">
        <f t="shared" ref="C7:H7" si="0">C5-C6</f>
        <v>-15.694107164750001</v>
      </c>
      <c r="D7" s="1516">
        <f t="shared" si="0"/>
        <v>-15.3334023017334</v>
      </c>
      <c r="E7" s="1516">
        <f t="shared" si="0"/>
        <v>-15.620380261317402</v>
      </c>
      <c r="F7" s="1516">
        <f t="shared" si="0"/>
        <v>1625.6521399387764</v>
      </c>
      <c r="G7" s="1516">
        <f t="shared" si="0"/>
        <v>1637.8179726569153</v>
      </c>
      <c r="H7" s="1516">
        <f t="shared" si="0"/>
        <v>1538.5983637877239</v>
      </c>
      <c r="I7" s="1482"/>
      <c r="J7" s="1482"/>
      <c r="K7" s="1482"/>
      <c r="L7" s="1482"/>
      <c r="M7" s="1480"/>
      <c r="N7" s="1482"/>
      <c r="O7" s="1482"/>
      <c r="P7" s="1482"/>
      <c r="Q7" s="1482"/>
      <c r="R7" s="1482"/>
      <c r="S7" s="1482"/>
      <c r="T7" s="1482"/>
      <c r="U7" s="1482"/>
      <c r="V7" s="1482"/>
      <c r="W7" s="1482"/>
      <c r="X7" s="1482"/>
      <c r="Y7" s="1482"/>
      <c r="Z7" s="1482"/>
      <c r="AA7" s="1482"/>
      <c r="AB7" s="1482"/>
      <c r="AC7" s="1482"/>
      <c r="AD7" s="1482"/>
      <c r="AE7" s="1482"/>
      <c r="AF7" s="1482"/>
      <c r="AG7" s="1482"/>
      <c r="AH7" s="1482"/>
      <c r="AI7" s="1482"/>
      <c r="AJ7" s="1482"/>
      <c r="AK7" s="1482"/>
      <c r="AL7" s="1482"/>
      <c r="AM7" s="1482"/>
      <c r="AN7" s="1482"/>
      <c r="AO7" s="1482"/>
      <c r="AP7" s="1482"/>
      <c r="AQ7" s="1482"/>
      <c r="AR7" s="1482"/>
      <c r="AS7" s="1482"/>
      <c r="AT7" s="1482"/>
      <c r="AU7" s="1482"/>
      <c r="AV7" s="1482"/>
      <c r="AW7" s="1482"/>
      <c r="AX7" s="1482"/>
      <c r="AY7" s="1482"/>
      <c r="AZ7" s="1479"/>
      <c r="BA7" s="1483"/>
      <c r="BB7" s="1483"/>
    </row>
    <row r="8" spans="1:54" ht="18" customHeight="1" x14ac:dyDescent="0.2">
      <c r="A8" s="1464" t="s">
        <v>872</v>
      </c>
      <c r="B8" s="1475" t="s">
        <v>39</v>
      </c>
      <c r="C8" s="1466">
        <f>'MW voltage wise'!F12</f>
        <v>0</v>
      </c>
      <c r="D8" s="1466">
        <f>'MW voltage wise'!G12</f>
        <v>0</v>
      </c>
      <c r="E8" s="1466">
        <f>'MW voltage wise'!H12</f>
        <v>0</v>
      </c>
      <c r="F8" s="1466">
        <f>'MW voltage wise'!I12</f>
        <v>515.71072214402363</v>
      </c>
      <c r="G8" s="1466">
        <f>'MW voltage wise'!J12</f>
        <v>591.26217542839618</v>
      </c>
      <c r="H8" s="1466">
        <f>'MW voltage wise'!K12</f>
        <v>574.87213820043758</v>
      </c>
      <c r="I8" s="1467"/>
      <c r="J8" s="1467"/>
      <c r="K8" s="1467"/>
      <c r="L8" s="314"/>
    </row>
    <row r="9" spans="1:54" x14ac:dyDescent="0.2">
      <c r="A9" s="1471" t="s">
        <v>873</v>
      </c>
      <c r="B9" s="1518" t="s">
        <v>37</v>
      </c>
      <c r="C9" s="1519">
        <f>'Loss %'!$F$16</f>
        <v>1.46E-2</v>
      </c>
      <c r="D9" s="1519">
        <f>'Loss %'!$F$16</f>
        <v>1.46E-2</v>
      </c>
      <c r="E9" s="1519">
        <f>'Loss %'!$F$16</f>
        <v>1.46E-2</v>
      </c>
      <c r="F9" s="1519">
        <f>'Loss %'!$F$16</f>
        <v>1.46E-2</v>
      </c>
      <c r="G9" s="1519">
        <f>'Loss %'!$F$16</f>
        <v>1.46E-2</v>
      </c>
      <c r="H9" s="1519">
        <f>'Loss %'!$F$16</f>
        <v>1.46E-2</v>
      </c>
      <c r="I9" s="1467"/>
      <c r="J9" s="1482"/>
      <c r="K9" s="1482"/>
      <c r="L9" s="1482"/>
      <c r="M9" s="1480"/>
      <c r="N9" s="1482"/>
      <c r="O9" s="1482"/>
      <c r="P9" s="1482"/>
      <c r="Q9" s="1482"/>
      <c r="R9" s="1482"/>
      <c r="S9" s="1482"/>
      <c r="T9" s="1482"/>
      <c r="U9" s="1482"/>
      <c r="V9" s="1482"/>
      <c r="W9" s="1482"/>
      <c r="X9" s="1482"/>
      <c r="Y9" s="1482"/>
      <c r="Z9" s="1482"/>
      <c r="AA9" s="1482"/>
      <c r="AB9" s="1482"/>
      <c r="AC9" s="1482"/>
      <c r="AD9" s="1482"/>
      <c r="AE9" s="1482"/>
      <c r="AF9" s="1482"/>
      <c r="AG9" s="1482"/>
      <c r="AH9" s="1482"/>
      <c r="AI9" s="1482"/>
      <c r="AJ9" s="1482"/>
      <c r="AK9" s="1482"/>
      <c r="AL9" s="1482"/>
      <c r="AM9" s="1482"/>
      <c r="AN9" s="1482"/>
      <c r="AO9" s="1482"/>
      <c r="AP9" s="1482"/>
      <c r="AQ9" s="1482"/>
      <c r="AR9" s="1482"/>
      <c r="AS9" s="1482"/>
      <c r="AT9" s="1482"/>
      <c r="AU9" s="1482"/>
      <c r="AV9" s="1482"/>
      <c r="AW9" s="1482"/>
      <c r="AX9" s="1482"/>
      <c r="AY9" s="1482"/>
      <c r="AZ9" s="1479"/>
      <c r="BA9" s="1483"/>
      <c r="BB9" s="1483"/>
    </row>
    <row r="10" spans="1:54" x14ac:dyDescent="0.2">
      <c r="A10" s="1471" t="s">
        <v>873</v>
      </c>
      <c r="B10" s="1472" t="s">
        <v>39</v>
      </c>
      <c r="C10" s="1520">
        <f t="shared" ref="C10:H10" si="1">(C8+C7)*C9</f>
        <v>-0.22913396460535002</v>
      </c>
      <c r="D10" s="1520">
        <f t="shared" si="1"/>
        <v>-0.22386767360530765</v>
      </c>
      <c r="E10" s="1520">
        <f t="shared" si="1"/>
        <v>-0.22805755181523407</v>
      </c>
      <c r="F10" s="1520">
        <f t="shared" si="1"/>
        <v>31.263897786408879</v>
      </c>
      <c r="G10" s="1520">
        <f t="shared" si="1"/>
        <v>32.544570162045545</v>
      </c>
      <c r="H10" s="1520">
        <f t="shared" si="1"/>
        <v>30.856669329027156</v>
      </c>
      <c r="I10" s="1482"/>
      <c r="J10" s="1482"/>
      <c r="K10" s="1482"/>
      <c r="L10" s="1482"/>
      <c r="M10" s="1480"/>
      <c r="N10" s="1482"/>
      <c r="O10" s="1482"/>
      <c r="P10" s="1482"/>
      <c r="Q10" s="1482"/>
      <c r="R10" s="1482"/>
      <c r="S10" s="1482"/>
      <c r="T10" s="1482"/>
      <c r="U10" s="1482"/>
      <c r="V10" s="1482"/>
      <c r="W10" s="1482"/>
      <c r="X10" s="1482"/>
      <c r="Y10" s="1482"/>
      <c r="Z10" s="1482"/>
      <c r="AA10" s="1482"/>
      <c r="AB10" s="1482"/>
      <c r="AC10" s="1482"/>
      <c r="AD10" s="1482"/>
      <c r="AE10" s="1482"/>
      <c r="AF10" s="1482"/>
      <c r="AG10" s="1482"/>
      <c r="AH10" s="1482"/>
      <c r="AI10" s="1482"/>
      <c r="AJ10" s="1482"/>
      <c r="AK10" s="1482"/>
      <c r="AL10" s="1482"/>
      <c r="AM10" s="1482"/>
      <c r="AN10" s="1482"/>
      <c r="AO10" s="1482"/>
      <c r="AP10" s="1482"/>
      <c r="AQ10" s="1482"/>
      <c r="AR10" s="1482"/>
      <c r="AS10" s="1482"/>
      <c r="AT10" s="1482"/>
      <c r="AU10" s="1482"/>
      <c r="AV10" s="1482"/>
      <c r="AW10" s="1482"/>
      <c r="AX10" s="1482"/>
      <c r="AY10" s="1482"/>
      <c r="AZ10" s="1479"/>
      <c r="BA10" s="1483"/>
      <c r="BB10" s="1483"/>
    </row>
    <row r="11" spans="1:54" ht="21.75" customHeight="1" x14ac:dyDescent="0.2">
      <c r="A11" s="1464" t="s">
        <v>874</v>
      </c>
      <c r="B11" s="1475" t="s">
        <v>39</v>
      </c>
      <c r="C11" s="1466">
        <f t="shared" ref="C11:H11" si="2">C7+C8-C10</f>
        <v>-15.464973200144652</v>
      </c>
      <c r="D11" s="1466">
        <f t="shared" si="2"/>
        <v>-15.109534628128094</v>
      </c>
      <c r="E11" s="1466">
        <f t="shared" si="2"/>
        <v>-15.392322709502169</v>
      </c>
      <c r="F11" s="1466">
        <f t="shared" si="2"/>
        <v>2110.0989642963909</v>
      </c>
      <c r="G11" s="1466">
        <f t="shared" si="2"/>
        <v>2196.5355779232659</v>
      </c>
      <c r="H11" s="1466">
        <f t="shared" si="2"/>
        <v>2082.613832659134</v>
      </c>
      <c r="I11" s="1467"/>
      <c r="J11" s="1467"/>
      <c r="K11" s="1467"/>
      <c r="L11" s="314"/>
    </row>
    <row r="12" spans="1:54" ht="15" customHeight="1" x14ac:dyDescent="0.2">
      <c r="A12" s="1476"/>
      <c r="C12" s="1478"/>
      <c r="D12" s="1478"/>
      <c r="E12" s="1478"/>
      <c r="F12" s="1478"/>
      <c r="G12" s="1478"/>
      <c r="H12" s="1478"/>
      <c r="I12" s="1467"/>
      <c r="J12" s="1467"/>
      <c r="K12" s="1467"/>
      <c r="L12" s="314"/>
    </row>
    <row r="13" spans="1:54" ht="15" customHeight="1" x14ac:dyDescent="0.2">
      <c r="A13" s="1476"/>
      <c r="B13" s="1477"/>
      <c r="C13" s="1478"/>
      <c r="D13" s="1478"/>
      <c r="E13" s="1478"/>
      <c r="F13" s="1478"/>
      <c r="G13" s="1478"/>
      <c r="H13" s="1478"/>
      <c r="I13" s="1467"/>
      <c r="J13" s="1467"/>
      <c r="K13" s="1467"/>
      <c r="L13" s="314"/>
    </row>
    <row r="14" spans="1:54" x14ac:dyDescent="0.2">
      <c r="A14" s="3075" t="s">
        <v>54</v>
      </c>
      <c r="B14" s="3078"/>
      <c r="C14" s="3078"/>
      <c r="D14" s="3078"/>
      <c r="E14" s="3078"/>
      <c r="F14" s="3078"/>
      <c r="G14" s="3078"/>
      <c r="H14" s="3078"/>
      <c r="I14" s="1479"/>
      <c r="J14" s="1479"/>
      <c r="K14" s="1479"/>
      <c r="M14" s="1480"/>
      <c r="N14" s="3075"/>
      <c r="O14" s="3075"/>
      <c r="P14" s="3075"/>
      <c r="Q14" s="3075"/>
      <c r="R14" s="3075"/>
      <c r="S14" s="3075"/>
      <c r="T14" s="3075"/>
      <c r="U14" s="3075"/>
      <c r="V14" s="3075"/>
      <c r="W14" s="3075"/>
      <c r="X14" s="3075"/>
      <c r="Y14" s="3075"/>
      <c r="Z14" s="3075"/>
      <c r="AA14" s="3075"/>
      <c r="AB14" s="3075"/>
      <c r="AC14" s="3075"/>
      <c r="AD14" s="3075"/>
      <c r="AE14" s="3075"/>
      <c r="AF14" s="3075"/>
      <c r="AG14" s="3075"/>
      <c r="AH14" s="3075"/>
      <c r="AI14" s="3075"/>
      <c r="AJ14" s="3075"/>
      <c r="AK14" s="3075"/>
      <c r="AL14" s="3075"/>
      <c r="AM14" s="3075"/>
      <c r="AN14" s="3075"/>
      <c r="AO14" s="3075"/>
      <c r="AP14" s="3075"/>
      <c r="AQ14" s="3075"/>
      <c r="AR14" s="3075"/>
      <c r="AS14" s="3075"/>
      <c r="AT14" s="3075"/>
      <c r="AU14" s="3075"/>
      <c r="AV14" s="3075"/>
      <c r="AW14" s="3075"/>
      <c r="AX14" s="3075"/>
      <c r="AY14" s="3075"/>
      <c r="AZ14" s="1479"/>
    </row>
    <row r="15" spans="1:54" x14ac:dyDescent="0.2">
      <c r="A15" s="1481" t="s">
        <v>61</v>
      </c>
      <c r="B15" s="1461" t="s">
        <v>36</v>
      </c>
      <c r="C15" s="1462">
        <f t="shared" ref="C15:H15" si="3">C4</f>
        <v>46023</v>
      </c>
      <c r="D15" s="1462">
        <f t="shared" si="3"/>
        <v>46054</v>
      </c>
      <c r="E15" s="1462">
        <f t="shared" si="3"/>
        <v>46082</v>
      </c>
      <c r="F15" s="1462">
        <f t="shared" si="3"/>
        <v>46113</v>
      </c>
      <c r="G15" s="1462">
        <f t="shared" si="3"/>
        <v>46143</v>
      </c>
      <c r="H15" s="1462">
        <f t="shared" si="3"/>
        <v>46174</v>
      </c>
      <c r="I15" s="1482"/>
      <c r="J15" s="1482"/>
      <c r="K15" s="1482"/>
      <c r="L15" s="1482"/>
      <c r="M15" s="1480"/>
      <c r="N15" s="1482"/>
      <c r="O15" s="1482"/>
      <c r="P15" s="1482"/>
      <c r="Q15" s="1482"/>
      <c r="R15" s="1482"/>
      <c r="S15" s="1482"/>
      <c r="T15" s="1482"/>
      <c r="U15" s="1482"/>
      <c r="V15" s="1482"/>
      <c r="W15" s="1482"/>
      <c r="X15" s="1482"/>
      <c r="Y15" s="1482"/>
      <c r="Z15" s="1482"/>
      <c r="AA15" s="1482"/>
      <c r="AB15" s="1482"/>
      <c r="AC15" s="1482"/>
      <c r="AD15" s="1482"/>
      <c r="AE15" s="1482"/>
      <c r="AF15" s="1482"/>
      <c r="AG15" s="1482"/>
      <c r="AH15" s="1482"/>
      <c r="AI15" s="1482"/>
      <c r="AJ15" s="1482"/>
      <c r="AK15" s="1482"/>
      <c r="AL15" s="1482"/>
      <c r="AM15" s="1482"/>
      <c r="AN15" s="1482"/>
      <c r="AO15" s="1482"/>
      <c r="AP15" s="1482"/>
      <c r="AQ15" s="1482"/>
      <c r="AR15" s="1482"/>
      <c r="AS15" s="1482"/>
      <c r="AT15" s="1482"/>
      <c r="AU15" s="1482"/>
      <c r="AV15" s="1482"/>
      <c r="AW15" s="1482"/>
      <c r="AX15" s="1482"/>
      <c r="AY15" s="1482"/>
      <c r="AZ15" s="1479"/>
      <c r="BA15" s="1483"/>
      <c r="BB15" s="1483"/>
    </row>
    <row r="16" spans="1:54" x14ac:dyDescent="0.2">
      <c r="A16" s="1521"/>
      <c r="B16" s="1522"/>
      <c r="C16" s="1522"/>
      <c r="D16" s="1522"/>
      <c r="E16" s="1522"/>
      <c r="F16" s="1522"/>
      <c r="G16" s="1522"/>
      <c r="H16" s="1522"/>
      <c r="I16" s="1482"/>
      <c r="J16" s="1482"/>
      <c r="K16" s="1482"/>
      <c r="L16" s="1482"/>
      <c r="M16" s="1480"/>
      <c r="N16" s="1482"/>
      <c r="O16" s="1482"/>
      <c r="P16" s="1482"/>
      <c r="Q16" s="1482"/>
      <c r="R16" s="1482"/>
      <c r="S16" s="1482"/>
      <c r="T16" s="1482"/>
      <c r="U16" s="1482"/>
      <c r="V16" s="1482"/>
      <c r="W16" s="1482"/>
      <c r="X16" s="1482"/>
      <c r="Y16" s="1482"/>
      <c r="Z16" s="1482"/>
      <c r="AA16" s="1482"/>
      <c r="AB16" s="1482"/>
      <c r="AC16" s="1482"/>
      <c r="AD16" s="1482"/>
      <c r="AE16" s="1482"/>
      <c r="AF16" s="1482"/>
      <c r="AG16" s="1482"/>
      <c r="AH16" s="1482"/>
      <c r="AI16" s="1482"/>
      <c r="AJ16" s="1482"/>
      <c r="AK16" s="1482"/>
      <c r="AL16" s="1482"/>
      <c r="AM16" s="1482"/>
      <c r="AN16" s="1482"/>
      <c r="AO16" s="1482"/>
      <c r="AP16" s="1482"/>
      <c r="AQ16" s="1482"/>
      <c r="AR16" s="1482"/>
      <c r="AS16" s="1482"/>
      <c r="AT16" s="1482"/>
      <c r="AU16" s="1482"/>
      <c r="AV16" s="1482"/>
      <c r="AW16" s="1482"/>
      <c r="AX16" s="1482"/>
      <c r="AY16" s="1482"/>
      <c r="AZ16" s="1479"/>
      <c r="BA16" s="1483"/>
      <c r="BB16" s="1483"/>
    </row>
    <row r="17" spans="1:18" x14ac:dyDescent="0.2">
      <c r="A17" s="1484" t="s">
        <v>57</v>
      </c>
      <c r="B17" s="1485" t="s">
        <v>60</v>
      </c>
      <c r="C17" s="1486">
        <f>'hydro en &amp; capcost voltage wise'!E39</f>
        <v>59.664999971279073</v>
      </c>
      <c r="D17" s="1486">
        <f>'hydro en &amp; capcost voltage wise'!F39</f>
        <v>71.969656948488378</v>
      </c>
      <c r="E17" s="1486">
        <f>'hydro en &amp; capcost voltage wise'!G39</f>
        <v>59.662744971279068</v>
      </c>
      <c r="F17" s="1486">
        <f>'hydro en &amp; capcost voltage wise'!H39</f>
        <v>70.261289003224604</v>
      </c>
      <c r="G17" s="1486">
        <f>'hydro en &amp; capcost voltage wise'!I39</f>
        <v>70.26016100322461</v>
      </c>
      <c r="H17" s="1486">
        <f>'hydro en &amp; capcost voltage wise'!J39</f>
        <v>70.259034003224613</v>
      </c>
      <c r="I17" s="1487"/>
      <c r="J17" s="1488"/>
      <c r="K17" s="1489"/>
      <c r="P17" s="1488"/>
      <c r="Q17" s="1488"/>
      <c r="R17" s="1488"/>
    </row>
    <row r="18" spans="1:18" x14ac:dyDescent="0.2">
      <c r="A18" s="1484" t="s">
        <v>58</v>
      </c>
      <c r="B18" s="1485" t="s">
        <v>60</v>
      </c>
      <c r="C18" s="1486">
        <f>'hydro en &amp; capcost voltage wise'!E51</f>
        <v>423.97343092853475</v>
      </c>
      <c r="D18" s="1486">
        <f>'hydro en &amp; capcost voltage wise'!F51</f>
        <v>465.02808267520135</v>
      </c>
      <c r="E18" s="1486">
        <f>'hydro en &amp; capcost voltage wise'!G51</f>
        <v>431.61499481742356</v>
      </c>
      <c r="F18" s="1486">
        <f>'hydro en &amp; capcost voltage wise'!H51</f>
        <v>462.46402558183365</v>
      </c>
      <c r="G18" s="1486">
        <f>'hydro en &amp; capcost voltage wise'!I51</f>
        <v>462.38636258183368</v>
      </c>
      <c r="H18" s="1486">
        <f>'hydro en &amp; capcost voltage wise'!J51</f>
        <v>462.30827858183363</v>
      </c>
      <c r="I18" s="1487"/>
      <c r="J18" s="1488"/>
      <c r="K18" s="1489"/>
      <c r="P18" s="1488"/>
      <c r="Q18" s="1488"/>
      <c r="R18" s="1488"/>
    </row>
    <row r="19" spans="1:18" x14ac:dyDescent="0.2">
      <c r="A19" s="1484" t="s">
        <v>65</v>
      </c>
      <c r="B19" s="1485" t="s">
        <v>60</v>
      </c>
      <c r="C19" s="1486">
        <f>'hydro en &amp; capcost voltage wise'!E59</f>
        <v>145.80725337647056</v>
      </c>
      <c r="D19" s="1486">
        <f>'hydro en &amp; capcost voltage wise'!F59</f>
        <v>169.26731437647058</v>
      </c>
      <c r="E19" s="1486">
        <f>'hydro en &amp; capcost voltage wise'!G59</f>
        <v>178.62961537647055</v>
      </c>
      <c r="F19" s="1486">
        <f>'hydro en &amp; capcost voltage wise'!H59</f>
        <v>191.03634444564779</v>
      </c>
      <c r="G19" s="1486">
        <f>'hydro en &amp; capcost voltage wise'!I59</f>
        <v>190.83044844564779</v>
      </c>
      <c r="H19" s="1486">
        <f>'hydro en &amp; capcost voltage wise'!J59</f>
        <v>190.62319344564779</v>
      </c>
      <c r="I19" s="1487"/>
      <c r="J19" s="1488"/>
      <c r="K19" s="1489"/>
      <c r="P19" s="1488"/>
      <c r="Q19" s="1488"/>
      <c r="R19" s="1488"/>
    </row>
    <row r="20" spans="1:18" s="1490" customFormat="1" x14ac:dyDescent="0.2">
      <c r="A20" s="1484" t="s">
        <v>0</v>
      </c>
      <c r="B20" s="1485" t="s">
        <v>60</v>
      </c>
      <c r="C20" s="1486">
        <f>'Gen. Capacity'!C19</f>
        <v>16.048242112000001</v>
      </c>
      <c r="D20" s="1486">
        <f>'Gen. Capacity'!D19</f>
        <v>22.106474222000003</v>
      </c>
      <c r="E20" s="1486">
        <f>'Gen. Capacity'!E19</f>
        <v>16.048242112000001</v>
      </c>
      <c r="F20" s="1486">
        <f>'Gen. Capacity'!F19</f>
        <v>20.210975686004531</v>
      </c>
      <c r="G20" s="1486">
        <f>'Gen. Capacity'!G19</f>
        <v>20.210975686004531</v>
      </c>
      <c r="H20" s="1486">
        <f>'Gen. Capacity'!H19</f>
        <v>20.210975686004531</v>
      </c>
      <c r="I20" s="1487"/>
      <c r="J20" s="1488"/>
      <c r="K20" s="1489"/>
      <c r="P20" s="1488"/>
      <c r="Q20" s="1488"/>
      <c r="R20" s="1488"/>
    </row>
    <row r="21" spans="1:18" s="1490" customFormat="1" x14ac:dyDescent="0.2">
      <c r="A21" s="1484" t="s">
        <v>369</v>
      </c>
      <c r="B21" s="1485" t="s">
        <v>60</v>
      </c>
      <c r="C21" s="1486">
        <f>'Gen. Capacity'!C17</f>
        <v>90.437624292999985</v>
      </c>
      <c r="D21" s="1486">
        <f>'Gen. Capacity'!D17</f>
        <v>99.611563662999984</v>
      </c>
      <c r="E21" s="1486">
        <f>'Gen. Capacity'!E17</f>
        <v>95.093336292999979</v>
      </c>
      <c r="F21" s="1486">
        <f>'Gen. Capacity'!F17</f>
        <v>49.80132920498648</v>
      </c>
      <c r="G21" s="1486">
        <f>'Gen. Capacity'!G17</f>
        <v>49.772915204986482</v>
      </c>
      <c r="H21" s="1486">
        <f>'Gen. Capacity'!H17</f>
        <v>49.74424120498648</v>
      </c>
      <c r="I21" s="1487"/>
      <c r="J21" s="1488"/>
      <c r="K21" s="1489"/>
      <c r="P21" s="1491"/>
      <c r="Q21" s="1491"/>
      <c r="R21" s="1491"/>
    </row>
    <row r="22" spans="1:18" s="1490" customFormat="1" x14ac:dyDescent="0.2">
      <c r="A22" s="1484" t="s">
        <v>424</v>
      </c>
      <c r="B22" s="1485" t="s">
        <v>60</v>
      </c>
      <c r="C22" s="1486">
        <f>'Gen. Capacity'!C18</f>
        <v>93.021555923999998</v>
      </c>
      <c r="D22" s="1486">
        <f>'Gen. Capacity'!D18</f>
        <v>102.45678535385916</v>
      </c>
      <c r="E22" s="1486">
        <f>'Gen. Capacity'!E18</f>
        <v>97.810288318366204</v>
      </c>
      <c r="F22" s="1486">
        <f>'Gen. Capacity'!F18</f>
        <v>51.224224206119679</v>
      </c>
      <c r="G22" s="1486">
        <f>'Gen. Capacity'!G18</f>
        <v>51.194998856725505</v>
      </c>
      <c r="H22" s="1486">
        <f>'Gen. Capacity'!H18</f>
        <v>51.165505608295227</v>
      </c>
      <c r="I22" s="1487"/>
      <c r="J22" s="1488"/>
      <c r="K22" s="1489"/>
      <c r="P22" s="1491"/>
      <c r="Q22" s="1491"/>
      <c r="R22" s="1491"/>
    </row>
    <row r="23" spans="1:18" hidden="1" x14ac:dyDescent="0.2">
      <c r="A23" s="1492" t="s">
        <v>3</v>
      </c>
      <c r="B23" s="1493" t="s">
        <v>60</v>
      </c>
      <c r="C23" s="1494"/>
      <c r="D23" s="1494"/>
      <c r="E23" s="1494"/>
      <c r="F23" s="1494"/>
      <c r="G23" s="1494"/>
      <c r="H23" s="1494"/>
      <c r="I23" s="1487"/>
      <c r="J23" s="1488"/>
      <c r="K23" s="1489"/>
      <c r="P23" s="1488"/>
      <c r="Q23" s="1488"/>
      <c r="R23" s="1488"/>
    </row>
    <row r="24" spans="1:18" x14ac:dyDescent="0.2">
      <c r="A24" s="1484" t="s">
        <v>4</v>
      </c>
      <c r="B24" s="1485" t="s">
        <v>60</v>
      </c>
      <c r="C24" s="1486" t="e">
        <f>'Gen. Capacity'!#REF!</f>
        <v>#REF!</v>
      </c>
      <c r="D24" s="1486" t="e">
        <f>'Gen. Capacity'!#REF!</f>
        <v>#REF!</v>
      </c>
      <c r="E24" s="1486" t="e">
        <f>'Gen. Capacity'!#REF!</f>
        <v>#REF!</v>
      </c>
      <c r="F24" s="1486" t="e">
        <f>'Gen. Capacity'!#REF!</f>
        <v>#REF!</v>
      </c>
      <c r="G24" s="1486" t="e">
        <f>'Gen. Capacity'!#REF!</f>
        <v>#REF!</v>
      </c>
      <c r="H24" s="1486" t="e">
        <f>'Gen. Capacity'!#REF!</f>
        <v>#REF!</v>
      </c>
      <c r="I24" s="1487"/>
      <c r="J24" s="1488"/>
      <c r="K24" s="1489"/>
      <c r="P24" s="1488"/>
      <c r="Q24" s="1488"/>
      <c r="R24" s="1488"/>
    </row>
    <row r="25" spans="1:18" s="1490" customFormat="1" hidden="1" x14ac:dyDescent="0.2">
      <c r="A25" s="1484" t="s">
        <v>5</v>
      </c>
      <c r="B25" s="1485" t="s">
        <v>60</v>
      </c>
      <c r="C25" s="1486"/>
      <c r="D25" s="1486"/>
      <c r="E25" s="1486"/>
      <c r="F25" s="1486"/>
      <c r="G25" s="1486"/>
      <c r="H25" s="1486"/>
      <c r="I25" s="1487"/>
      <c r="J25" s="1488"/>
      <c r="K25" s="1489"/>
      <c r="P25" s="1491"/>
      <c r="Q25" s="1491"/>
      <c r="R25" s="1491"/>
    </row>
    <row r="26" spans="1:18" hidden="1" x14ac:dyDescent="0.2">
      <c r="A26" s="1484" t="s">
        <v>803</v>
      </c>
      <c r="B26" s="1485" t="s">
        <v>60</v>
      </c>
      <c r="C26" s="1486"/>
      <c r="D26" s="1486"/>
      <c r="E26" s="1486"/>
      <c r="F26" s="1486"/>
      <c r="G26" s="1486"/>
      <c r="H26" s="1486"/>
      <c r="I26" s="1487"/>
      <c r="J26" s="1495"/>
      <c r="K26" s="1489"/>
      <c r="P26" s="1473"/>
      <c r="Q26" s="1473"/>
      <c r="R26" s="1473"/>
    </row>
    <row r="27" spans="1:18" hidden="1" x14ac:dyDescent="0.2">
      <c r="A27" s="1492" t="s">
        <v>7</v>
      </c>
      <c r="B27" s="1493" t="s">
        <v>60</v>
      </c>
      <c r="C27" s="1494"/>
      <c r="D27" s="1494"/>
      <c r="E27" s="1494"/>
      <c r="F27" s="1494"/>
      <c r="G27" s="1494"/>
      <c r="H27" s="1494"/>
      <c r="I27" s="1487"/>
      <c r="J27" s="1488"/>
      <c r="K27" s="1489"/>
      <c r="P27" s="1488"/>
      <c r="Q27" s="1488"/>
      <c r="R27" s="1488"/>
    </row>
    <row r="28" spans="1:18" hidden="1" x14ac:dyDescent="0.2">
      <c r="A28" s="1492" t="s">
        <v>8</v>
      </c>
      <c r="B28" s="1493" t="s">
        <v>60</v>
      </c>
      <c r="C28" s="1494"/>
      <c r="D28" s="1494"/>
      <c r="E28" s="1494"/>
      <c r="F28" s="1494"/>
      <c r="G28" s="1494"/>
      <c r="H28" s="1494"/>
      <c r="I28" s="1487"/>
      <c r="J28" s="1488"/>
      <c r="K28" s="1489"/>
      <c r="P28" s="1488"/>
      <c r="Q28" s="1488"/>
      <c r="R28" s="1488"/>
    </row>
    <row r="29" spans="1:18" hidden="1" x14ac:dyDescent="0.2">
      <c r="A29" s="1492" t="s">
        <v>9</v>
      </c>
      <c r="B29" s="1493" t="s">
        <v>60</v>
      </c>
      <c r="C29" s="1494"/>
      <c r="D29" s="1494"/>
      <c r="E29" s="1494"/>
      <c r="F29" s="1494"/>
      <c r="G29" s="1494"/>
      <c r="H29" s="1494"/>
      <c r="I29" s="1487"/>
      <c r="J29" s="1488"/>
      <c r="K29" s="1489"/>
    </row>
    <row r="30" spans="1:18" hidden="1" x14ac:dyDescent="0.2">
      <c r="A30" s="1492" t="s">
        <v>10</v>
      </c>
      <c r="B30" s="1493" t="s">
        <v>60</v>
      </c>
      <c r="C30" s="1494"/>
      <c r="D30" s="1494"/>
      <c r="E30" s="1494"/>
      <c r="F30" s="1494"/>
      <c r="G30" s="1494"/>
      <c r="H30" s="1494"/>
      <c r="I30" s="1487"/>
      <c r="J30" s="1488"/>
      <c r="K30" s="1489"/>
    </row>
    <row r="31" spans="1:18" x14ac:dyDescent="0.2">
      <c r="A31" s="1484" t="s">
        <v>11</v>
      </c>
      <c r="B31" s="1485" t="s">
        <v>60</v>
      </c>
      <c r="C31" s="1486" t="e">
        <f>'Gen. Capacity'!#REF!</f>
        <v>#REF!</v>
      </c>
      <c r="D31" s="1486" t="e">
        <f>'Gen. Capacity'!#REF!</f>
        <v>#REF!</v>
      </c>
      <c r="E31" s="1486" t="e">
        <f>'Gen. Capacity'!#REF!</f>
        <v>#REF!</v>
      </c>
      <c r="F31" s="1486" t="e">
        <f>'Gen. Capacity'!#REF!</f>
        <v>#REF!</v>
      </c>
      <c r="G31" s="1486" t="e">
        <f>'Gen. Capacity'!#REF!</f>
        <v>#REF!</v>
      </c>
      <c r="H31" s="1486" t="e">
        <f>'Gen. Capacity'!#REF!</f>
        <v>#REF!</v>
      </c>
      <c r="I31" s="1487"/>
      <c r="J31" s="1488"/>
      <c r="K31" s="1489"/>
    </row>
    <row r="32" spans="1:18" hidden="1" x14ac:dyDescent="0.2">
      <c r="A32" s="1492" t="s">
        <v>12</v>
      </c>
      <c r="B32" s="1493" t="s">
        <v>60</v>
      </c>
      <c r="C32" s="1494"/>
      <c r="D32" s="1494"/>
      <c r="E32" s="1494"/>
      <c r="F32" s="1494"/>
      <c r="G32" s="1494"/>
      <c r="H32" s="1494"/>
      <c r="I32" s="1487"/>
      <c r="J32" s="1488"/>
      <c r="K32" s="1489"/>
    </row>
    <row r="33" spans="1:11" hidden="1" x14ac:dyDescent="0.2">
      <c r="A33" s="1484" t="s">
        <v>643</v>
      </c>
      <c r="B33" s="1485" t="s">
        <v>60</v>
      </c>
      <c r="C33" s="1486"/>
      <c r="D33" s="1486"/>
      <c r="E33" s="1486"/>
      <c r="F33" s="1486"/>
      <c r="G33" s="1486"/>
      <c r="H33" s="1486"/>
      <c r="I33" s="1487"/>
      <c r="J33" s="1488"/>
      <c r="K33" s="1489"/>
    </row>
    <row r="34" spans="1:11" hidden="1" x14ac:dyDescent="0.2">
      <c r="A34" s="1484" t="s">
        <v>13</v>
      </c>
      <c r="B34" s="1485" t="s">
        <v>60</v>
      </c>
      <c r="C34" s="1486"/>
      <c r="D34" s="1486"/>
      <c r="E34" s="1486"/>
      <c r="F34" s="1486"/>
      <c r="G34" s="1486"/>
      <c r="H34" s="1486"/>
      <c r="I34" s="1487"/>
      <c r="J34" s="1488"/>
      <c r="K34" s="1489"/>
    </row>
    <row r="35" spans="1:11" s="1490" customFormat="1" hidden="1" x14ac:dyDescent="0.2">
      <c r="A35" s="1484" t="s">
        <v>14</v>
      </c>
      <c r="B35" s="1485" t="s">
        <v>60</v>
      </c>
      <c r="C35" s="1486"/>
      <c r="D35" s="1486"/>
      <c r="E35" s="1486"/>
      <c r="F35" s="1486"/>
      <c r="G35" s="1486"/>
      <c r="H35" s="1486"/>
      <c r="I35" s="1487"/>
      <c r="J35" s="1488"/>
      <c r="K35" s="1489"/>
    </row>
    <row r="36" spans="1:11" hidden="1" x14ac:dyDescent="0.2">
      <c r="A36" s="1523" t="s">
        <v>15</v>
      </c>
      <c r="B36" s="1524" t="s">
        <v>60</v>
      </c>
      <c r="C36" s="1525"/>
      <c r="D36" s="1525"/>
      <c r="E36" s="1525"/>
      <c r="F36" s="1525"/>
      <c r="G36" s="1525"/>
      <c r="H36" s="1525"/>
      <c r="I36" s="1487" t="s">
        <v>875</v>
      </c>
      <c r="J36" s="1488"/>
      <c r="K36" s="1489"/>
    </row>
    <row r="37" spans="1:11" x14ac:dyDescent="0.2">
      <c r="A37" s="1484" t="s">
        <v>111</v>
      </c>
      <c r="B37" s="1485" t="s">
        <v>60</v>
      </c>
      <c r="C37" s="1486">
        <f>'Gen. Capacity'!C20</f>
        <v>28.836685009999997</v>
      </c>
      <c r="D37" s="1486">
        <f>'Gen. Capacity'!D20</f>
        <v>39.722570829999995</v>
      </c>
      <c r="E37" s="1486">
        <f>'Gen. Capacity'!E20</f>
        <v>28.836685009999997</v>
      </c>
      <c r="F37" s="1486">
        <f>'Gen. Capacity'!F20</f>
        <v>36.316597677976901</v>
      </c>
      <c r="G37" s="1486">
        <f>'Gen. Capacity'!G20</f>
        <v>36.316597677976901</v>
      </c>
      <c r="H37" s="1486">
        <f>'Gen. Capacity'!H20</f>
        <v>36.316597677976901</v>
      </c>
      <c r="I37" s="1487"/>
      <c r="J37" s="1488"/>
      <c r="K37" s="1489"/>
    </row>
    <row r="38" spans="1:11" s="1490" customFormat="1" hidden="1" x14ac:dyDescent="0.2">
      <c r="A38" s="1484" t="s">
        <v>422</v>
      </c>
      <c r="B38" s="1485" t="s">
        <v>60</v>
      </c>
      <c r="C38" s="1486"/>
      <c r="D38" s="1486"/>
      <c r="E38" s="1486"/>
      <c r="F38" s="1486"/>
      <c r="G38" s="1486"/>
      <c r="H38" s="1486"/>
      <c r="I38" s="1487"/>
      <c r="J38" s="1488"/>
      <c r="K38" s="1489"/>
    </row>
    <row r="39" spans="1:11" hidden="1" x14ac:dyDescent="0.2">
      <c r="A39" s="1492" t="s">
        <v>463</v>
      </c>
      <c r="B39" s="1493" t="s">
        <v>60</v>
      </c>
      <c r="C39" s="1494"/>
      <c r="D39" s="1494"/>
      <c r="E39" s="1494"/>
      <c r="F39" s="1494"/>
      <c r="G39" s="1494"/>
      <c r="H39" s="1494"/>
      <c r="I39" s="1487"/>
      <c r="J39" s="1488"/>
      <c r="K39" s="1489"/>
    </row>
    <row r="40" spans="1:11" hidden="1" x14ac:dyDescent="0.2">
      <c r="A40" s="1496" t="s">
        <v>464</v>
      </c>
      <c r="B40" s="1497" t="s">
        <v>60</v>
      </c>
      <c r="C40" s="1498"/>
      <c r="D40" s="1498"/>
      <c r="E40" s="1498"/>
      <c r="F40" s="1498"/>
      <c r="G40" s="1498"/>
      <c r="H40" s="1498"/>
      <c r="I40" s="1487"/>
      <c r="J40" s="1488"/>
      <c r="K40" s="1489"/>
    </row>
    <row r="41" spans="1:11" s="1490" customFormat="1" hidden="1" x14ac:dyDescent="0.2">
      <c r="A41" s="1484" t="s">
        <v>538</v>
      </c>
      <c r="B41" s="1485" t="s">
        <v>60</v>
      </c>
      <c r="C41" s="1486"/>
      <c r="D41" s="1486"/>
      <c r="E41" s="1486"/>
      <c r="F41" s="1486"/>
      <c r="G41" s="1486"/>
      <c r="H41" s="1486"/>
      <c r="I41" s="1487"/>
      <c r="J41" s="1488"/>
      <c r="K41" s="1489"/>
    </row>
    <row r="42" spans="1:11" hidden="1" x14ac:dyDescent="0.2">
      <c r="A42" s="1492" t="s">
        <v>19</v>
      </c>
      <c r="B42" s="1493" t="s">
        <v>60</v>
      </c>
      <c r="C42" s="1494"/>
      <c r="D42" s="1494"/>
      <c r="E42" s="1494"/>
      <c r="F42" s="1494"/>
      <c r="G42" s="1499"/>
      <c r="H42" s="1494"/>
      <c r="I42" s="1487"/>
      <c r="J42" s="1488"/>
      <c r="K42" s="1489"/>
    </row>
    <row r="43" spans="1:11" hidden="1" x14ac:dyDescent="0.2">
      <c r="A43" s="1492" t="s">
        <v>739</v>
      </c>
      <c r="B43" s="1493" t="s">
        <v>60</v>
      </c>
      <c r="C43" s="1494"/>
      <c r="D43" s="1494"/>
      <c r="E43" s="1494"/>
      <c r="F43" s="1494"/>
      <c r="G43" s="1494"/>
      <c r="H43" s="1494"/>
      <c r="I43" s="1487"/>
      <c r="J43" s="1488"/>
      <c r="K43" s="1489"/>
    </row>
    <row r="44" spans="1:11" hidden="1" x14ac:dyDescent="0.2">
      <c r="A44" s="1484" t="s">
        <v>817</v>
      </c>
      <c r="B44" s="1485" t="s">
        <v>60</v>
      </c>
      <c r="C44" s="1486"/>
      <c r="D44" s="1486"/>
      <c r="E44" s="1486"/>
      <c r="F44" s="1486"/>
      <c r="G44" s="1486"/>
      <c r="H44" s="1486"/>
      <c r="I44" s="1487"/>
      <c r="J44" s="1488"/>
      <c r="K44" s="1489"/>
    </row>
    <row r="45" spans="1:11" hidden="1" x14ac:dyDescent="0.2">
      <c r="A45" s="1484" t="s">
        <v>818</v>
      </c>
      <c r="B45" s="1485" t="s">
        <v>60</v>
      </c>
      <c r="C45" s="1486"/>
      <c r="D45" s="1486"/>
      <c r="E45" s="1486"/>
      <c r="F45" s="1486"/>
      <c r="G45" s="1486"/>
      <c r="H45" s="1486"/>
      <c r="I45" s="1487"/>
      <c r="J45" s="1488"/>
      <c r="K45" s="1489"/>
    </row>
    <row r="46" spans="1:11" hidden="1" x14ac:dyDescent="0.2">
      <c r="A46" s="1484" t="s">
        <v>819</v>
      </c>
      <c r="B46" s="1485" t="s">
        <v>60</v>
      </c>
      <c r="C46" s="1486"/>
      <c r="D46" s="1486"/>
      <c r="E46" s="1486"/>
      <c r="F46" s="1486"/>
      <c r="G46" s="1486"/>
      <c r="H46" s="1486"/>
      <c r="I46" s="1487"/>
      <c r="J46" s="1488"/>
      <c r="K46" s="1489"/>
    </row>
    <row r="47" spans="1:11" x14ac:dyDescent="0.2">
      <c r="A47" s="1500" t="s">
        <v>31</v>
      </c>
      <c r="B47" s="1501" t="s">
        <v>60</v>
      </c>
      <c r="C47" s="1502" t="e">
        <f t="shared" ref="C47:H47" si="4">SUM(C17:C46)</f>
        <v>#REF!</v>
      </c>
      <c r="D47" s="1502" t="e">
        <f t="shared" si="4"/>
        <v>#REF!</v>
      </c>
      <c r="E47" s="1502" t="e">
        <f t="shared" si="4"/>
        <v>#REF!</v>
      </c>
      <c r="F47" s="1502" t="e">
        <f t="shared" si="4"/>
        <v>#REF!</v>
      </c>
      <c r="G47" s="1502" t="e">
        <f t="shared" si="4"/>
        <v>#REF!</v>
      </c>
      <c r="H47" s="1502" t="e">
        <f t="shared" si="4"/>
        <v>#REF!</v>
      </c>
      <c r="I47" s="1487"/>
      <c r="J47" s="1488"/>
      <c r="K47" s="1489"/>
    </row>
    <row r="48" spans="1:11" x14ac:dyDescent="0.2">
      <c r="A48" s="1500" t="s">
        <v>876</v>
      </c>
      <c r="B48" s="1501" t="s">
        <v>60</v>
      </c>
      <c r="C48" s="1502" t="e">
        <f>'Gen. Capacity 220'!C43-('Gen. Capacity 220'!C51*'Gen. Capacity 132'!C6/1000000)</f>
        <v>#REF!</v>
      </c>
      <c r="D48" s="1502" t="e">
        <f>'Gen. Capacity 220'!D43-('Gen. Capacity 220'!D51*'Gen. Capacity 132'!D6/1000000)</f>
        <v>#REF!</v>
      </c>
      <c r="E48" s="1502" t="e">
        <f>'Gen. Capacity 220'!E43-('Gen. Capacity 220'!E51*'Gen. Capacity 132'!E6/1000000)</f>
        <v>#REF!</v>
      </c>
      <c r="F48" s="1502" t="e">
        <f>'Gen. Capacity 220'!F43-('Gen. Capacity 220'!F51*'Gen. Capacity 132'!F6/1000000)</f>
        <v>#REF!</v>
      </c>
      <c r="G48" s="1502" t="e">
        <f>'Gen. Capacity 220'!G43-('Gen. Capacity 220'!G51*'Gen. Capacity 132'!G6/1000000)</f>
        <v>#REF!</v>
      </c>
      <c r="H48" s="1502" t="e">
        <f>'Gen. Capacity 220'!H43-('Gen. Capacity 220'!H51*'Gen. Capacity 132'!H6/1000000)</f>
        <v>#REF!</v>
      </c>
      <c r="I48" s="1487"/>
      <c r="J48" s="1488"/>
      <c r="K48" s="1489"/>
    </row>
    <row r="49" spans="1:16384" x14ac:dyDescent="0.2">
      <c r="A49" s="1500" t="s">
        <v>877</v>
      </c>
      <c r="B49" s="1501" t="s">
        <v>60</v>
      </c>
      <c r="C49" s="1502" t="e">
        <f t="shared" ref="C49:H49" si="5">C47+C48</f>
        <v>#REF!</v>
      </c>
      <c r="D49" s="1502" t="e">
        <f t="shared" si="5"/>
        <v>#REF!</v>
      </c>
      <c r="E49" s="1502" t="e">
        <f t="shared" si="5"/>
        <v>#REF!</v>
      </c>
      <c r="F49" s="1502" t="e">
        <f t="shared" si="5"/>
        <v>#REF!</v>
      </c>
      <c r="G49" s="1502" t="e">
        <f t="shared" si="5"/>
        <v>#REF!</v>
      </c>
      <c r="H49" s="1502" t="e">
        <f t="shared" si="5"/>
        <v>#REF!</v>
      </c>
      <c r="I49" s="1487"/>
      <c r="J49" s="1488"/>
      <c r="K49" s="1489"/>
    </row>
    <row r="50" spans="1:16384" ht="13.5" hidden="1" customHeight="1" x14ac:dyDescent="0.2">
      <c r="A50" s="1479"/>
      <c r="C50" s="1503"/>
      <c r="D50" s="1503"/>
      <c r="E50" s="1503"/>
      <c r="F50" s="1503"/>
      <c r="G50" s="1503"/>
      <c r="H50" s="1503"/>
    </row>
    <row r="51" spans="1:16384" ht="13.5" hidden="1" customHeight="1" x14ac:dyDescent="0.2">
      <c r="A51" s="1479"/>
      <c r="C51" s="1503"/>
      <c r="D51" s="1503"/>
      <c r="E51" s="1503"/>
      <c r="F51" s="1503"/>
      <c r="G51" s="1503"/>
      <c r="H51" s="1503"/>
    </row>
    <row r="52" spans="1:16384" hidden="1" x14ac:dyDescent="0.2">
      <c r="A52" s="1479"/>
      <c r="C52" s="1473" t="e">
        <f t="shared" ref="C52:H52" si="6">C49-C50+C51</f>
        <v>#REF!</v>
      </c>
      <c r="D52" s="1473" t="e">
        <f t="shared" si="6"/>
        <v>#REF!</v>
      </c>
      <c r="E52" s="1473" t="e">
        <f t="shared" si="6"/>
        <v>#REF!</v>
      </c>
      <c r="F52" s="1473" t="e">
        <f t="shared" si="6"/>
        <v>#REF!</v>
      </c>
      <c r="G52" s="1473" t="e">
        <f t="shared" si="6"/>
        <v>#REF!</v>
      </c>
      <c r="H52" s="1473" t="e">
        <f t="shared" si="6"/>
        <v>#REF!</v>
      </c>
      <c r="I52" s="1473"/>
    </row>
    <row r="53" spans="1:16384" x14ac:dyDescent="0.2">
      <c r="A53" s="3075"/>
      <c r="B53" s="3078"/>
      <c r="C53" s="3078"/>
      <c r="D53" s="3078"/>
      <c r="E53" s="3078"/>
      <c r="F53" s="3078"/>
      <c r="G53" s="3078"/>
      <c r="H53" s="3078"/>
    </row>
    <row r="54" spans="1:16384" ht="13.2" thickBot="1" x14ac:dyDescent="0.25">
      <c r="A54" s="3075" t="s">
        <v>55</v>
      </c>
      <c r="B54" s="3078"/>
      <c r="C54" s="3078"/>
      <c r="D54" s="3078"/>
      <c r="E54" s="3078"/>
      <c r="F54" s="3078"/>
      <c r="G54" s="3078"/>
      <c r="H54" s="3078"/>
      <c r="I54" s="3075" t="s">
        <v>55</v>
      </c>
      <c r="J54" s="3078"/>
      <c r="K54" s="3078"/>
      <c r="L54" s="3078"/>
      <c r="M54" s="3078"/>
      <c r="N54" s="3078"/>
      <c r="O54" s="3078"/>
      <c r="P54" s="3078"/>
      <c r="Q54" s="3075" t="s">
        <v>55</v>
      </c>
      <c r="R54" s="3078"/>
      <c r="S54" s="3078"/>
      <c r="T54" s="3078"/>
      <c r="U54" s="3078"/>
      <c r="V54" s="3078"/>
      <c r="W54" s="3078"/>
      <c r="X54" s="3078"/>
      <c r="Y54" s="3075" t="s">
        <v>55</v>
      </c>
      <c r="Z54" s="3078"/>
      <c r="AA54" s="3078"/>
      <c r="AB54" s="3078"/>
      <c r="AC54" s="3078"/>
      <c r="AD54" s="3078"/>
      <c r="AE54" s="3078"/>
      <c r="AF54" s="3078"/>
      <c r="AG54" s="3075" t="s">
        <v>55</v>
      </c>
      <c r="AH54" s="3078"/>
      <c r="AI54" s="3078"/>
      <c r="AJ54" s="3078"/>
      <c r="AK54" s="3078"/>
      <c r="AL54" s="3078"/>
      <c r="AM54" s="3078"/>
      <c r="AN54" s="3078"/>
      <c r="AO54" s="3075" t="s">
        <v>55</v>
      </c>
      <c r="AP54" s="3078"/>
      <c r="AQ54" s="3078"/>
      <c r="AR54" s="3078"/>
      <c r="AS54" s="3078"/>
      <c r="AT54" s="3078"/>
      <c r="AU54" s="3078"/>
      <c r="AV54" s="3078"/>
      <c r="AW54" s="3075" t="s">
        <v>55</v>
      </c>
      <c r="AX54" s="3078"/>
      <c r="AY54" s="3078"/>
      <c r="AZ54" s="3078"/>
      <c r="BA54" s="3078"/>
      <c r="BB54" s="3078"/>
      <c r="BC54" s="3078"/>
      <c r="BD54" s="3078"/>
      <c r="BE54" s="3075" t="s">
        <v>55</v>
      </c>
      <c r="BF54" s="3078"/>
      <c r="BG54" s="3078"/>
      <c r="BH54" s="3078"/>
      <c r="BI54" s="3078"/>
      <c r="BJ54" s="3078"/>
      <c r="BK54" s="3078"/>
      <c r="BL54" s="3078"/>
      <c r="BM54" s="3075" t="s">
        <v>55</v>
      </c>
      <c r="BN54" s="3078"/>
      <c r="BO54" s="3078"/>
      <c r="BP54" s="3078"/>
      <c r="BQ54" s="3078"/>
      <c r="BR54" s="3078"/>
      <c r="BS54" s="3078"/>
      <c r="BT54" s="3078"/>
      <c r="BU54" s="3075" t="s">
        <v>55</v>
      </c>
      <c r="BV54" s="3078"/>
      <c r="BW54" s="3078"/>
      <c r="BX54" s="3078"/>
      <c r="BY54" s="3078"/>
      <c r="BZ54" s="3078"/>
      <c r="CA54" s="3078"/>
      <c r="CB54" s="3078"/>
      <c r="CC54" s="3075" t="s">
        <v>55</v>
      </c>
      <c r="CD54" s="3078"/>
      <c r="CE54" s="3078"/>
      <c r="CF54" s="3078"/>
      <c r="CG54" s="3078"/>
      <c r="CH54" s="3078"/>
      <c r="CI54" s="3078"/>
      <c r="CJ54" s="3078"/>
      <c r="CK54" s="3075" t="s">
        <v>55</v>
      </c>
      <c r="CL54" s="3078"/>
      <c r="CM54" s="3078"/>
      <c r="CN54" s="3078"/>
      <c r="CO54" s="3078"/>
      <c r="CP54" s="3078"/>
      <c r="CQ54" s="3078"/>
      <c r="CR54" s="3078"/>
      <c r="CS54" s="3075" t="s">
        <v>55</v>
      </c>
      <c r="CT54" s="3078"/>
      <c r="CU54" s="3078"/>
      <c r="CV54" s="3078"/>
      <c r="CW54" s="3078"/>
      <c r="CX54" s="3078"/>
      <c r="CY54" s="3078"/>
      <c r="CZ54" s="3078"/>
      <c r="DA54" s="3075" t="s">
        <v>55</v>
      </c>
      <c r="DB54" s="3078"/>
      <c r="DC54" s="3078"/>
      <c r="DD54" s="3078"/>
      <c r="DE54" s="3078"/>
      <c r="DF54" s="3078"/>
      <c r="DG54" s="3078"/>
      <c r="DH54" s="3078"/>
      <c r="DI54" s="3075" t="s">
        <v>55</v>
      </c>
      <c r="DJ54" s="3078"/>
      <c r="DK54" s="3078"/>
      <c r="DL54" s="3078"/>
      <c r="DM54" s="3078"/>
      <c r="DN54" s="3078"/>
      <c r="DO54" s="3078"/>
      <c r="DP54" s="3078"/>
      <c r="DQ54" s="3075" t="s">
        <v>55</v>
      </c>
      <c r="DR54" s="3078"/>
      <c r="DS54" s="3078"/>
      <c r="DT54" s="3078"/>
      <c r="DU54" s="3078"/>
      <c r="DV54" s="3078"/>
      <c r="DW54" s="3078"/>
      <c r="DX54" s="3078"/>
      <c r="DY54" s="3075" t="s">
        <v>55</v>
      </c>
      <c r="DZ54" s="3078"/>
      <c r="EA54" s="3078"/>
      <c r="EB54" s="3078"/>
      <c r="EC54" s="3078"/>
      <c r="ED54" s="3078"/>
      <c r="EE54" s="3078"/>
      <c r="EF54" s="3078"/>
      <c r="EG54" s="3075" t="s">
        <v>55</v>
      </c>
      <c r="EH54" s="3078"/>
      <c r="EI54" s="3078"/>
      <c r="EJ54" s="3078"/>
      <c r="EK54" s="3078"/>
      <c r="EL54" s="3078"/>
      <c r="EM54" s="3078"/>
      <c r="EN54" s="3078"/>
      <c r="EO54" s="3075" t="s">
        <v>55</v>
      </c>
      <c r="EP54" s="3078"/>
      <c r="EQ54" s="3078"/>
      <c r="ER54" s="3078"/>
      <c r="ES54" s="3078"/>
      <c r="ET54" s="3078"/>
      <c r="EU54" s="3078"/>
      <c r="EV54" s="3078"/>
      <c r="EW54" s="3075" t="s">
        <v>55</v>
      </c>
      <c r="EX54" s="3078"/>
      <c r="EY54" s="3078"/>
      <c r="EZ54" s="3078"/>
      <c r="FA54" s="3078"/>
      <c r="FB54" s="3078"/>
      <c r="FC54" s="3078"/>
      <c r="FD54" s="3078"/>
      <c r="FE54" s="3075" t="s">
        <v>55</v>
      </c>
      <c r="FF54" s="3078"/>
      <c r="FG54" s="3078"/>
      <c r="FH54" s="3078"/>
      <c r="FI54" s="3078"/>
      <c r="FJ54" s="3078"/>
      <c r="FK54" s="3078"/>
      <c r="FL54" s="3078"/>
      <c r="FM54" s="3075" t="s">
        <v>55</v>
      </c>
      <c r="FN54" s="3078"/>
      <c r="FO54" s="3078"/>
      <c r="FP54" s="3078"/>
      <c r="FQ54" s="3078"/>
      <c r="FR54" s="3078"/>
      <c r="FS54" s="3078"/>
      <c r="FT54" s="3078"/>
      <c r="FU54" s="3075" t="s">
        <v>55</v>
      </c>
      <c r="FV54" s="3078"/>
      <c r="FW54" s="3078"/>
      <c r="FX54" s="3078"/>
      <c r="FY54" s="3078"/>
      <c r="FZ54" s="3078"/>
      <c r="GA54" s="3078"/>
      <c r="GB54" s="3078"/>
      <c r="GC54" s="3075" t="s">
        <v>55</v>
      </c>
      <c r="GD54" s="3078"/>
      <c r="GE54" s="3078"/>
      <c r="GF54" s="3078"/>
      <c r="GG54" s="3078"/>
      <c r="GH54" s="3078"/>
      <c r="GI54" s="3078"/>
      <c r="GJ54" s="3078"/>
      <c r="GK54" s="3075" t="s">
        <v>55</v>
      </c>
      <c r="GL54" s="3078"/>
      <c r="GM54" s="3078"/>
      <c r="GN54" s="3078"/>
      <c r="GO54" s="3078"/>
      <c r="GP54" s="3078"/>
      <c r="GQ54" s="3078"/>
      <c r="GR54" s="3078"/>
      <c r="GS54" s="3075" t="s">
        <v>55</v>
      </c>
      <c r="GT54" s="3078"/>
      <c r="GU54" s="3078"/>
      <c r="GV54" s="3078"/>
      <c r="GW54" s="3078"/>
      <c r="GX54" s="3078"/>
      <c r="GY54" s="3078"/>
      <c r="GZ54" s="3078"/>
      <c r="HA54" s="3075" t="s">
        <v>55</v>
      </c>
      <c r="HB54" s="3078"/>
      <c r="HC54" s="3078"/>
      <c r="HD54" s="3078"/>
      <c r="HE54" s="3078"/>
      <c r="HF54" s="3078"/>
      <c r="HG54" s="3078"/>
      <c r="HH54" s="3078"/>
      <c r="HI54" s="3075" t="s">
        <v>55</v>
      </c>
      <c r="HJ54" s="3078"/>
      <c r="HK54" s="3078"/>
      <c r="HL54" s="3078"/>
      <c r="HM54" s="3078"/>
      <c r="HN54" s="3078"/>
      <c r="HO54" s="3078"/>
      <c r="HP54" s="3078"/>
      <c r="HQ54" s="3075" t="s">
        <v>55</v>
      </c>
      <c r="HR54" s="3078"/>
      <c r="HS54" s="3078"/>
      <c r="HT54" s="3078"/>
      <c r="HU54" s="3078"/>
      <c r="HV54" s="3078"/>
      <c r="HW54" s="3078"/>
      <c r="HX54" s="3078"/>
      <c r="HY54" s="3075" t="s">
        <v>55</v>
      </c>
      <c r="HZ54" s="3078"/>
      <c r="IA54" s="3078"/>
      <c r="IB54" s="3078"/>
      <c r="IC54" s="3078"/>
      <c r="ID54" s="3078"/>
      <c r="IE54" s="3078"/>
      <c r="IF54" s="3078"/>
      <c r="IG54" s="3075" t="s">
        <v>55</v>
      </c>
      <c r="IH54" s="3078"/>
      <c r="II54" s="3078"/>
      <c r="IJ54" s="3078"/>
      <c r="IK54" s="3078"/>
      <c r="IL54" s="3078"/>
      <c r="IM54" s="3078"/>
      <c r="IN54" s="3078"/>
      <c r="IO54" s="3075" t="s">
        <v>55</v>
      </c>
      <c r="IP54" s="3078"/>
      <c r="IQ54" s="3078"/>
      <c r="IR54" s="3078"/>
      <c r="IS54" s="3078"/>
      <c r="IT54" s="3078"/>
      <c r="IU54" s="3078"/>
      <c r="IV54" s="3078"/>
      <c r="IW54" s="3075" t="s">
        <v>55</v>
      </c>
      <c r="IX54" s="3078"/>
      <c r="IY54" s="3078"/>
      <c r="IZ54" s="3078"/>
      <c r="JA54" s="3078"/>
      <c r="JB54" s="3078"/>
      <c r="JC54" s="3078"/>
      <c r="JD54" s="3078"/>
      <c r="JE54" s="3075" t="s">
        <v>55</v>
      </c>
      <c r="JF54" s="3078"/>
      <c r="JG54" s="3078"/>
      <c r="JH54" s="3078"/>
      <c r="JI54" s="3078"/>
      <c r="JJ54" s="3078"/>
      <c r="JK54" s="3078"/>
      <c r="JL54" s="3078"/>
      <c r="JM54" s="3075" t="s">
        <v>55</v>
      </c>
      <c r="JN54" s="3078"/>
      <c r="JO54" s="3078"/>
      <c r="JP54" s="3078"/>
      <c r="JQ54" s="3078"/>
      <c r="JR54" s="3078"/>
      <c r="JS54" s="3078"/>
      <c r="JT54" s="3078"/>
      <c r="JU54" s="3075" t="s">
        <v>55</v>
      </c>
      <c r="JV54" s="3078"/>
      <c r="JW54" s="3078"/>
      <c r="JX54" s="3078"/>
      <c r="JY54" s="3078"/>
      <c r="JZ54" s="3078"/>
      <c r="KA54" s="3078"/>
      <c r="KB54" s="3078"/>
      <c r="KC54" s="3075" t="s">
        <v>55</v>
      </c>
      <c r="KD54" s="3078"/>
      <c r="KE54" s="3078"/>
      <c r="KF54" s="3078"/>
      <c r="KG54" s="3078"/>
      <c r="KH54" s="3078"/>
      <c r="KI54" s="3078"/>
      <c r="KJ54" s="3078"/>
      <c r="KK54" s="3075" t="s">
        <v>55</v>
      </c>
      <c r="KL54" s="3078"/>
      <c r="KM54" s="3078"/>
      <c r="KN54" s="3078"/>
      <c r="KO54" s="3078"/>
      <c r="KP54" s="3078"/>
      <c r="KQ54" s="3078"/>
      <c r="KR54" s="3078"/>
      <c r="KS54" s="3075" t="s">
        <v>55</v>
      </c>
      <c r="KT54" s="3078"/>
      <c r="KU54" s="3078"/>
      <c r="KV54" s="3078"/>
      <c r="KW54" s="3078"/>
      <c r="KX54" s="3078"/>
      <c r="KY54" s="3078"/>
      <c r="KZ54" s="3078"/>
      <c r="LA54" s="3075" t="s">
        <v>55</v>
      </c>
      <c r="LB54" s="3078"/>
      <c r="LC54" s="3078"/>
      <c r="LD54" s="3078"/>
      <c r="LE54" s="3078"/>
      <c r="LF54" s="3078"/>
      <c r="LG54" s="3078"/>
      <c r="LH54" s="3078"/>
      <c r="LI54" s="3075" t="s">
        <v>55</v>
      </c>
      <c r="LJ54" s="3078"/>
      <c r="LK54" s="3078"/>
      <c r="LL54" s="3078"/>
      <c r="LM54" s="3078"/>
      <c r="LN54" s="3078"/>
      <c r="LO54" s="3078"/>
      <c r="LP54" s="3078"/>
      <c r="LQ54" s="3075" t="s">
        <v>55</v>
      </c>
      <c r="LR54" s="3078"/>
      <c r="LS54" s="3078"/>
      <c r="LT54" s="3078"/>
      <c r="LU54" s="3078"/>
      <c r="LV54" s="3078"/>
      <c r="LW54" s="3078"/>
      <c r="LX54" s="3078"/>
      <c r="LY54" s="3075" t="s">
        <v>55</v>
      </c>
      <c r="LZ54" s="3078"/>
      <c r="MA54" s="3078"/>
      <c r="MB54" s="3078"/>
      <c r="MC54" s="3078"/>
      <c r="MD54" s="3078"/>
      <c r="ME54" s="3078"/>
      <c r="MF54" s="3078"/>
      <c r="MG54" s="3075" t="s">
        <v>55</v>
      </c>
      <c r="MH54" s="3078"/>
      <c r="MI54" s="3078"/>
      <c r="MJ54" s="3078"/>
      <c r="MK54" s="3078"/>
      <c r="ML54" s="3078"/>
      <c r="MM54" s="3078"/>
      <c r="MN54" s="3078"/>
      <c r="MO54" s="3075" t="s">
        <v>55</v>
      </c>
      <c r="MP54" s="3078"/>
      <c r="MQ54" s="3078"/>
      <c r="MR54" s="3078"/>
      <c r="MS54" s="3078"/>
      <c r="MT54" s="3078"/>
      <c r="MU54" s="3078"/>
      <c r="MV54" s="3078"/>
      <c r="MW54" s="3075" t="s">
        <v>55</v>
      </c>
      <c r="MX54" s="3078"/>
      <c r="MY54" s="3078"/>
      <c r="MZ54" s="3078"/>
      <c r="NA54" s="3078"/>
      <c r="NB54" s="3078"/>
      <c r="NC54" s="3078"/>
      <c r="ND54" s="3078"/>
      <c r="NE54" s="3075" t="s">
        <v>55</v>
      </c>
      <c r="NF54" s="3078"/>
      <c r="NG54" s="3078"/>
      <c r="NH54" s="3078"/>
      <c r="NI54" s="3078"/>
      <c r="NJ54" s="3078"/>
      <c r="NK54" s="3078"/>
      <c r="NL54" s="3078"/>
      <c r="NM54" s="3075" t="s">
        <v>55</v>
      </c>
      <c r="NN54" s="3078"/>
      <c r="NO54" s="3078"/>
      <c r="NP54" s="3078"/>
      <c r="NQ54" s="3078"/>
      <c r="NR54" s="3078"/>
      <c r="NS54" s="3078"/>
      <c r="NT54" s="3078"/>
      <c r="NU54" s="3075" t="s">
        <v>55</v>
      </c>
      <c r="NV54" s="3078"/>
      <c r="NW54" s="3078"/>
      <c r="NX54" s="3078"/>
      <c r="NY54" s="3078"/>
      <c r="NZ54" s="3078"/>
      <c r="OA54" s="3078"/>
      <c r="OB54" s="3078"/>
      <c r="OC54" s="3075" t="s">
        <v>55</v>
      </c>
      <c r="OD54" s="3078"/>
      <c r="OE54" s="3078"/>
      <c r="OF54" s="3078"/>
      <c r="OG54" s="3078"/>
      <c r="OH54" s="3078"/>
      <c r="OI54" s="3078"/>
      <c r="OJ54" s="3078"/>
      <c r="OK54" s="3075" t="s">
        <v>55</v>
      </c>
      <c r="OL54" s="3078"/>
      <c r="OM54" s="3078"/>
      <c r="ON54" s="3078"/>
      <c r="OO54" s="3078"/>
      <c r="OP54" s="3078"/>
      <c r="OQ54" s="3078"/>
      <c r="OR54" s="3078"/>
      <c r="OS54" s="3075" t="s">
        <v>55</v>
      </c>
      <c r="OT54" s="3078"/>
      <c r="OU54" s="3078"/>
      <c r="OV54" s="3078"/>
      <c r="OW54" s="3078"/>
      <c r="OX54" s="3078"/>
      <c r="OY54" s="3078"/>
      <c r="OZ54" s="3078"/>
      <c r="PA54" s="3075" t="s">
        <v>55</v>
      </c>
      <c r="PB54" s="3078"/>
      <c r="PC54" s="3078"/>
      <c r="PD54" s="3078"/>
      <c r="PE54" s="3078"/>
      <c r="PF54" s="3078"/>
      <c r="PG54" s="3078"/>
      <c r="PH54" s="3078"/>
      <c r="PI54" s="3075" t="s">
        <v>55</v>
      </c>
      <c r="PJ54" s="3078"/>
      <c r="PK54" s="3078"/>
      <c r="PL54" s="3078"/>
      <c r="PM54" s="3078"/>
      <c r="PN54" s="3078"/>
      <c r="PO54" s="3078"/>
      <c r="PP54" s="3078"/>
      <c r="PQ54" s="3075" t="s">
        <v>55</v>
      </c>
      <c r="PR54" s="3078"/>
      <c r="PS54" s="3078"/>
      <c r="PT54" s="3078"/>
      <c r="PU54" s="3078"/>
      <c r="PV54" s="3078"/>
      <c r="PW54" s="3078"/>
      <c r="PX54" s="3078"/>
      <c r="PY54" s="3075" t="s">
        <v>55</v>
      </c>
      <c r="PZ54" s="3078"/>
      <c r="QA54" s="3078"/>
      <c r="QB54" s="3078"/>
      <c r="QC54" s="3078"/>
      <c r="QD54" s="3078"/>
      <c r="QE54" s="3078"/>
      <c r="QF54" s="3078"/>
      <c r="QG54" s="3075" t="s">
        <v>55</v>
      </c>
      <c r="QH54" s="3078"/>
      <c r="QI54" s="3078"/>
      <c r="QJ54" s="3078"/>
      <c r="QK54" s="3078"/>
      <c r="QL54" s="3078"/>
      <c r="QM54" s="3078"/>
      <c r="QN54" s="3078"/>
      <c r="QO54" s="3075" t="s">
        <v>55</v>
      </c>
      <c r="QP54" s="3078"/>
      <c r="QQ54" s="3078"/>
      <c r="QR54" s="3078"/>
      <c r="QS54" s="3078"/>
      <c r="QT54" s="3078"/>
      <c r="QU54" s="3078"/>
      <c r="QV54" s="3078"/>
      <c r="QW54" s="3075" t="s">
        <v>55</v>
      </c>
      <c r="QX54" s="3078"/>
      <c r="QY54" s="3078"/>
      <c r="QZ54" s="3078"/>
      <c r="RA54" s="3078"/>
      <c r="RB54" s="3078"/>
      <c r="RC54" s="3078"/>
      <c r="RD54" s="3078"/>
      <c r="RE54" s="3075" t="s">
        <v>55</v>
      </c>
      <c r="RF54" s="3078"/>
      <c r="RG54" s="3078"/>
      <c r="RH54" s="3078"/>
      <c r="RI54" s="3078"/>
      <c r="RJ54" s="3078"/>
      <c r="RK54" s="3078"/>
      <c r="RL54" s="3078"/>
      <c r="RM54" s="3075" t="s">
        <v>55</v>
      </c>
      <c r="RN54" s="3078"/>
      <c r="RO54" s="3078"/>
      <c r="RP54" s="3078"/>
      <c r="RQ54" s="3078"/>
      <c r="RR54" s="3078"/>
      <c r="RS54" s="3078"/>
      <c r="RT54" s="3078"/>
      <c r="RU54" s="3075" t="s">
        <v>55</v>
      </c>
      <c r="RV54" s="3078"/>
      <c r="RW54" s="3078"/>
      <c r="RX54" s="3078"/>
      <c r="RY54" s="3078"/>
      <c r="RZ54" s="3078"/>
      <c r="SA54" s="3078"/>
      <c r="SB54" s="3078"/>
      <c r="SC54" s="3075" t="s">
        <v>55</v>
      </c>
      <c r="SD54" s="3078"/>
      <c r="SE54" s="3078"/>
      <c r="SF54" s="3078"/>
      <c r="SG54" s="3078"/>
      <c r="SH54" s="3078"/>
      <c r="SI54" s="3078"/>
      <c r="SJ54" s="3078"/>
      <c r="SK54" s="3075" t="s">
        <v>55</v>
      </c>
      <c r="SL54" s="3078"/>
      <c r="SM54" s="3078"/>
      <c r="SN54" s="3078"/>
      <c r="SO54" s="3078"/>
      <c r="SP54" s="3078"/>
      <c r="SQ54" s="3078"/>
      <c r="SR54" s="3078"/>
      <c r="SS54" s="3075" t="s">
        <v>55</v>
      </c>
      <c r="ST54" s="3078"/>
      <c r="SU54" s="3078"/>
      <c r="SV54" s="3078"/>
      <c r="SW54" s="3078"/>
      <c r="SX54" s="3078"/>
      <c r="SY54" s="3078"/>
      <c r="SZ54" s="3078"/>
      <c r="TA54" s="3075" t="s">
        <v>55</v>
      </c>
      <c r="TB54" s="3078"/>
      <c r="TC54" s="3078"/>
      <c r="TD54" s="3078"/>
      <c r="TE54" s="3078"/>
      <c r="TF54" s="3078"/>
      <c r="TG54" s="3078"/>
      <c r="TH54" s="3078"/>
      <c r="TI54" s="3075" t="s">
        <v>55</v>
      </c>
      <c r="TJ54" s="3078"/>
      <c r="TK54" s="3078"/>
      <c r="TL54" s="3078"/>
      <c r="TM54" s="3078"/>
      <c r="TN54" s="3078"/>
      <c r="TO54" s="3078"/>
      <c r="TP54" s="3078"/>
      <c r="TQ54" s="3075" t="s">
        <v>55</v>
      </c>
      <c r="TR54" s="3078"/>
      <c r="TS54" s="3078"/>
      <c r="TT54" s="3078"/>
      <c r="TU54" s="3078"/>
      <c r="TV54" s="3078"/>
      <c r="TW54" s="3078"/>
      <c r="TX54" s="3078"/>
      <c r="TY54" s="3075" t="s">
        <v>55</v>
      </c>
      <c r="TZ54" s="3078"/>
      <c r="UA54" s="3078"/>
      <c r="UB54" s="3078"/>
      <c r="UC54" s="3078"/>
      <c r="UD54" s="3078"/>
      <c r="UE54" s="3078"/>
      <c r="UF54" s="3078"/>
      <c r="UG54" s="3075" t="s">
        <v>55</v>
      </c>
      <c r="UH54" s="3078"/>
      <c r="UI54" s="3078"/>
      <c r="UJ54" s="3078"/>
      <c r="UK54" s="3078"/>
      <c r="UL54" s="3078"/>
      <c r="UM54" s="3078"/>
      <c r="UN54" s="3078"/>
      <c r="UO54" s="3075" t="s">
        <v>55</v>
      </c>
      <c r="UP54" s="3078"/>
      <c r="UQ54" s="3078"/>
      <c r="UR54" s="3078"/>
      <c r="US54" s="3078"/>
      <c r="UT54" s="3078"/>
      <c r="UU54" s="3078"/>
      <c r="UV54" s="3078"/>
      <c r="UW54" s="3075" t="s">
        <v>55</v>
      </c>
      <c r="UX54" s="3078"/>
      <c r="UY54" s="3078"/>
      <c r="UZ54" s="3078"/>
      <c r="VA54" s="3078"/>
      <c r="VB54" s="3078"/>
      <c r="VC54" s="3078"/>
      <c r="VD54" s="3078"/>
      <c r="VE54" s="3075" t="s">
        <v>55</v>
      </c>
      <c r="VF54" s="3078"/>
      <c r="VG54" s="3078"/>
      <c r="VH54" s="3078"/>
      <c r="VI54" s="3078"/>
      <c r="VJ54" s="3078"/>
      <c r="VK54" s="3078"/>
      <c r="VL54" s="3078"/>
      <c r="VM54" s="3075" t="s">
        <v>55</v>
      </c>
      <c r="VN54" s="3078"/>
      <c r="VO54" s="3078"/>
      <c r="VP54" s="3078"/>
      <c r="VQ54" s="3078"/>
      <c r="VR54" s="3078"/>
      <c r="VS54" s="3078"/>
      <c r="VT54" s="3078"/>
      <c r="VU54" s="3075" t="s">
        <v>55</v>
      </c>
      <c r="VV54" s="3078"/>
      <c r="VW54" s="3078"/>
      <c r="VX54" s="3078"/>
      <c r="VY54" s="3078"/>
      <c r="VZ54" s="3078"/>
      <c r="WA54" s="3078"/>
      <c r="WB54" s="3078"/>
      <c r="WC54" s="3075" t="s">
        <v>55</v>
      </c>
      <c r="WD54" s="3078"/>
      <c r="WE54" s="3078"/>
      <c r="WF54" s="3078"/>
      <c r="WG54" s="3078"/>
      <c r="WH54" s="3078"/>
      <c r="WI54" s="3078"/>
      <c r="WJ54" s="3078"/>
      <c r="WK54" s="3075" t="s">
        <v>55</v>
      </c>
      <c r="WL54" s="3078"/>
      <c r="WM54" s="3078"/>
      <c r="WN54" s="3078"/>
      <c r="WO54" s="3078"/>
      <c r="WP54" s="3078"/>
      <c r="WQ54" s="3078"/>
      <c r="WR54" s="3078"/>
      <c r="WS54" s="3075" t="s">
        <v>55</v>
      </c>
      <c r="WT54" s="3078"/>
      <c r="WU54" s="3078"/>
      <c r="WV54" s="3078"/>
      <c r="WW54" s="3078"/>
      <c r="WX54" s="3078"/>
      <c r="WY54" s="3078"/>
      <c r="WZ54" s="3078"/>
      <c r="XA54" s="3075" t="s">
        <v>55</v>
      </c>
      <c r="XB54" s="3078"/>
      <c r="XC54" s="3078"/>
      <c r="XD54" s="3078"/>
      <c r="XE54" s="3078"/>
      <c r="XF54" s="3078"/>
      <c r="XG54" s="3078"/>
      <c r="XH54" s="3078"/>
      <c r="XI54" s="3075" t="s">
        <v>55</v>
      </c>
      <c r="XJ54" s="3078"/>
      <c r="XK54" s="3078"/>
      <c r="XL54" s="3078"/>
      <c r="XM54" s="3078"/>
      <c r="XN54" s="3078"/>
      <c r="XO54" s="3078"/>
      <c r="XP54" s="3078"/>
      <c r="XQ54" s="3075" t="s">
        <v>55</v>
      </c>
      <c r="XR54" s="3078"/>
      <c r="XS54" s="3078"/>
      <c r="XT54" s="3078"/>
      <c r="XU54" s="3078"/>
      <c r="XV54" s="3078"/>
      <c r="XW54" s="3078"/>
      <c r="XX54" s="3078"/>
      <c r="XY54" s="3075" t="s">
        <v>55</v>
      </c>
      <c r="XZ54" s="3078"/>
      <c r="YA54" s="3078"/>
      <c r="YB54" s="3078"/>
      <c r="YC54" s="3078"/>
      <c r="YD54" s="3078"/>
      <c r="YE54" s="3078"/>
      <c r="YF54" s="3078"/>
      <c r="YG54" s="3075" t="s">
        <v>55</v>
      </c>
      <c r="YH54" s="3078"/>
      <c r="YI54" s="3078"/>
      <c r="YJ54" s="3078"/>
      <c r="YK54" s="3078"/>
      <c r="YL54" s="3078"/>
      <c r="YM54" s="3078"/>
      <c r="YN54" s="3078"/>
      <c r="YO54" s="3075" t="s">
        <v>55</v>
      </c>
      <c r="YP54" s="3078"/>
      <c r="YQ54" s="3078"/>
      <c r="YR54" s="3078"/>
      <c r="YS54" s="3078"/>
      <c r="YT54" s="3078"/>
      <c r="YU54" s="3078"/>
      <c r="YV54" s="3078"/>
      <c r="YW54" s="3075" t="s">
        <v>55</v>
      </c>
      <c r="YX54" s="3078"/>
      <c r="YY54" s="3078"/>
      <c r="YZ54" s="3078"/>
      <c r="ZA54" s="3078"/>
      <c r="ZB54" s="3078"/>
      <c r="ZC54" s="3078"/>
      <c r="ZD54" s="3078"/>
      <c r="ZE54" s="3075" t="s">
        <v>55</v>
      </c>
      <c r="ZF54" s="3078"/>
      <c r="ZG54" s="3078"/>
      <c r="ZH54" s="3078"/>
      <c r="ZI54" s="3078"/>
      <c r="ZJ54" s="3078"/>
      <c r="ZK54" s="3078"/>
      <c r="ZL54" s="3078"/>
      <c r="ZM54" s="3075" t="s">
        <v>55</v>
      </c>
      <c r="ZN54" s="3078"/>
      <c r="ZO54" s="3078"/>
      <c r="ZP54" s="3078"/>
      <c r="ZQ54" s="3078"/>
      <c r="ZR54" s="3078"/>
      <c r="ZS54" s="3078"/>
      <c r="ZT54" s="3078"/>
      <c r="ZU54" s="3075" t="s">
        <v>55</v>
      </c>
      <c r="ZV54" s="3078"/>
      <c r="ZW54" s="3078"/>
      <c r="ZX54" s="3078"/>
      <c r="ZY54" s="3078"/>
      <c r="ZZ54" s="3078"/>
      <c r="AAA54" s="3078"/>
      <c r="AAB54" s="3078"/>
      <c r="AAC54" s="3075" t="s">
        <v>55</v>
      </c>
      <c r="AAD54" s="3078"/>
      <c r="AAE54" s="3078"/>
      <c r="AAF54" s="3078"/>
      <c r="AAG54" s="3078"/>
      <c r="AAH54" s="3078"/>
      <c r="AAI54" s="3078"/>
      <c r="AAJ54" s="3078"/>
      <c r="AAK54" s="3075" t="s">
        <v>55</v>
      </c>
      <c r="AAL54" s="3078"/>
      <c r="AAM54" s="3078"/>
      <c r="AAN54" s="3078"/>
      <c r="AAO54" s="3078"/>
      <c r="AAP54" s="3078"/>
      <c r="AAQ54" s="3078"/>
      <c r="AAR54" s="3078"/>
      <c r="AAS54" s="3075" t="s">
        <v>55</v>
      </c>
      <c r="AAT54" s="3078"/>
      <c r="AAU54" s="3078"/>
      <c r="AAV54" s="3078"/>
      <c r="AAW54" s="3078"/>
      <c r="AAX54" s="3078"/>
      <c r="AAY54" s="3078"/>
      <c r="AAZ54" s="3078"/>
      <c r="ABA54" s="3075" t="s">
        <v>55</v>
      </c>
      <c r="ABB54" s="3078"/>
      <c r="ABC54" s="3078"/>
      <c r="ABD54" s="3078"/>
      <c r="ABE54" s="3078"/>
      <c r="ABF54" s="3078"/>
      <c r="ABG54" s="3078"/>
      <c r="ABH54" s="3078"/>
      <c r="ABI54" s="3075" t="s">
        <v>55</v>
      </c>
      <c r="ABJ54" s="3078"/>
      <c r="ABK54" s="3078"/>
      <c r="ABL54" s="3078"/>
      <c r="ABM54" s="3078"/>
      <c r="ABN54" s="3078"/>
      <c r="ABO54" s="3078"/>
      <c r="ABP54" s="3078"/>
      <c r="ABQ54" s="3075" t="s">
        <v>55</v>
      </c>
      <c r="ABR54" s="3078"/>
      <c r="ABS54" s="3078"/>
      <c r="ABT54" s="3078"/>
      <c r="ABU54" s="3078"/>
      <c r="ABV54" s="3078"/>
      <c r="ABW54" s="3078"/>
      <c r="ABX54" s="3078"/>
      <c r="ABY54" s="3075" t="s">
        <v>55</v>
      </c>
      <c r="ABZ54" s="3078"/>
      <c r="ACA54" s="3078"/>
      <c r="ACB54" s="3078"/>
      <c r="ACC54" s="3078"/>
      <c r="ACD54" s="3078"/>
      <c r="ACE54" s="3078"/>
      <c r="ACF54" s="3078"/>
      <c r="ACG54" s="3075" t="s">
        <v>55</v>
      </c>
      <c r="ACH54" s="3078"/>
      <c r="ACI54" s="3078"/>
      <c r="ACJ54" s="3078"/>
      <c r="ACK54" s="3078"/>
      <c r="ACL54" s="3078"/>
      <c r="ACM54" s="3078"/>
      <c r="ACN54" s="3078"/>
      <c r="ACO54" s="3075" t="s">
        <v>55</v>
      </c>
      <c r="ACP54" s="3078"/>
      <c r="ACQ54" s="3078"/>
      <c r="ACR54" s="3078"/>
      <c r="ACS54" s="3078"/>
      <c r="ACT54" s="3078"/>
      <c r="ACU54" s="3078"/>
      <c r="ACV54" s="3078"/>
      <c r="ACW54" s="3075" t="s">
        <v>55</v>
      </c>
      <c r="ACX54" s="3078"/>
      <c r="ACY54" s="3078"/>
      <c r="ACZ54" s="3078"/>
      <c r="ADA54" s="3078"/>
      <c r="ADB54" s="3078"/>
      <c r="ADC54" s="3078"/>
      <c r="ADD54" s="3078"/>
      <c r="ADE54" s="3075" t="s">
        <v>55</v>
      </c>
      <c r="ADF54" s="3078"/>
      <c r="ADG54" s="3078"/>
      <c r="ADH54" s="3078"/>
      <c r="ADI54" s="3078"/>
      <c r="ADJ54" s="3078"/>
      <c r="ADK54" s="3078"/>
      <c r="ADL54" s="3078"/>
      <c r="ADM54" s="3075" t="s">
        <v>55</v>
      </c>
      <c r="ADN54" s="3078"/>
      <c r="ADO54" s="3078"/>
      <c r="ADP54" s="3078"/>
      <c r="ADQ54" s="3078"/>
      <c r="ADR54" s="3078"/>
      <c r="ADS54" s="3078"/>
      <c r="ADT54" s="3078"/>
      <c r="ADU54" s="3075" t="s">
        <v>55</v>
      </c>
      <c r="ADV54" s="3078"/>
      <c r="ADW54" s="3078"/>
      <c r="ADX54" s="3078"/>
      <c r="ADY54" s="3078"/>
      <c r="ADZ54" s="3078"/>
      <c r="AEA54" s="3078"/>
      <c r="AEB54" s="3078"/>
      <c r="AEC54" s="3075" t="s">
        <v>55</v>
      </c>
      <c r="AED54" s="3078"/>
      <c r="AEE54" s="3078"/>
      <c r="AEF54" s="3078"/>
      <c r="AEG54" s="3078"/>
      <c r="AEH54" s="3078"/>
      <c r="AEI54" s="3078"/>
      <c r="AEJ54" s="3078"/>
      <c r="AEK54" s="3075" t="s">
        <v>55</v>
      </c>
      <c r="AEL54" s="3078"/>
      <c r="AEM54" s="3078"/>
      <c r="AEN54" s="3078"/>
      <c r="AEO54" s="3078"/>
      <c r="AEP54" s="3078"/>
      <c r="AEQ54" s="3078"/>
      <c r="AER54" s="3078"/>
      <c r="AES54" s="3075" t="s">
        <v>55</v>
      </c>
      <c r="AET54" s="3078"/>
      <c r="AEU54" s="3078"/>
      <c r="AEV54" s="3078"/>
      <c r="AEW54" s="3078"/>
      <c r="AEX54" s="3078"/>
      <c r="AEY54" s="3078"/>
      <c r="AEZ54" s="3078"/>
      <c r="AFA54" s="3075" t="s">
        <v>55</v>
      </c>
      <c r="AFB54" s="3078"/>
      <c r="AFC54" s="3078"/>
      <c r="AFD54" s="3078"/>
      <c r="AFE54" s="3078"/>
      <c r="AFF54" s="3078"/>
      <c r="AFG54" s="3078"/>
      <c r="AFH54" s="3078"/>
      <c r="AFI54" s="3075" t="s">
        <v>55</v>
      </c>
      <c r="AFJ54" s="3078"/>
      <c r="AFK54" s="3078"/>
      <c r="AFL54" s="3078"/>
      <c r="AFM54" s="3078"/>
      <c r="AFN54" s="3078"/>
      <c r="AFO54" s="3078"/>
      <c r="AFP54" s="3078"/>
      <c r="AFQ54" s="3075" t="s">
        <v>55</v>
      </c>
      <c r="AFR54" s="3078"/>
      <c r="AFS54" s="3078"/>
      <c r="AFT54" s="3078"/>
      <c r="AFU54" s="3078"/>
      <c r="AFV54" s="3078"/>
      <c r="AFW54" s="3078"/>
      <c r="AFX54" s="3078"/>
      <c r="AFY54" s="3075" t="s">
        <v>55</v>
      </c>
      <c r="AFZ54" s="3078"/>
      <c r="AGA54" s="3078"/>
      <c r="AGB54" s="3078"/>
      <c r="AGC54" s="3078"/>
      <c r="AGD54" s="3078"/>
      <c r="AGE54" s="3078"/>
      <c r="AGF54" s="3078"/>
      <c r="AGG54" s="3075" t="s">
        <v>55</v>
      </c>
      <c r="AGH54" s="3078"/>
      <c r="AGI54" s="3078"/>
      <c r="AGJ54" s="3078"/>
      <c r="AGK54" s="3078"/>
      <c r="AGL54" s="3078"/>
      <c r="AGM54" s="3078"/>
      <c r="AGN54" s="3078"/>
      <c r="AGO54" s="3075" t="s">
        <v>55</v>
      </c>
      <c r="AGP54" s="3078"/>
      <c r="AGQ54" s="3078"/>
      <c r="AGR54" s="3078"/>
      <c r="AGS54" s="3078"/>
      <c r="AGT54" s="3078"/>
      <c r="AGU54" s="3078"/>
      <c r="AGV54" s="3078"/>
      <c r="AGW54" s="3075" t="s">
        <v>55</v>
      </c>
      <c r="AGX54" s="3078"/>
      <c r="AGY54" s="3078"/>
      <c r="AGZ54" s="3078"/>
      <c r="AHA54" s="3078"/>
      <c r="AHB54" s="3078"/>
      <c r="AHC54" s="3078"/>
      <c r="AHD54" s="3078"/>
      <c r="AHE54" s="3075" t="s">
        <v>55</v>
      </c>
      <c r="AHF54" s="3078"/>
      <c r="AHG54" s="3078"/>
      <c r="AHH54" s="3078"/>
      <c r="AHI54" s="3078"/>
      <c r="AHJ54" s="3078"/>
      <c r="AHK54" s="3078"/>
      <c r="AHL54" s="3078"/>
      <c r="AHM54" s="3075" t="s">
        <v>55</v>
      </c>
      <c r="AHN54" s="3078"/>
      <c r="AHO54" s="3078"/>
      <c r="AHP54" s="3078"/>
      <c r="AHQ54" s="3078"/>
      <c r="AHR54" s="3078"/>
      <c r="AHS54" s="3078"/>
      <c r="AHT54" s="3078"/>
      <c r="AHU54" s="3075" t="s">
        <v>55</v>
      </c>
      <c r="AHV54" s="3078"/>
      <c r="AHW54" s="3078"/>
      <c r="AHX54" s="3078"/>
      <c r="AHY54" s="3078"/>
      <c r="AHZ54" s="3078"/>
      <c r="AIA54" s="3078"/>
      <c r="AIB54" s="3078"/>
      <c r="AIC54" s="3075" t="s">
        <v>55</v>
      </c>
      <c r="AID54" s="3078"/>
      <c r="AIE54" s="3078"/>
      <c r="AIF54" s="3078"/>
      <c r="AIG54" s="3078"/>
      <c r="AIH54" s="3078"/>
      <c r="AII54" s="3078"/>
      <c r="AIJ54" s="3078"/>
      <c r="AIK54" s="3075" t="s">
        <v>55</v>
      </c>
      <c r="AIL54" s="3078"/>
      <c r="AIM54" s="3078"/>
      <c r="AIN54" s="3078"/>
      <c r="AIO54" s="3078"/>
      <c r="AIP54" s="3078"/>
      <c r="AIQ54" s="3078"/>
      <c r="AIR54" s="3078"/>
      <c r="AIS54" s="3075" t="s">
        <v>55</v>
      </c>
      <c r="AIT54" s="3078"/>
      <c r="AIU54" s="3078"/>
      <c r="AIV54" s="3078"/>
      <c r="AIW54" s="3078"/>
      <c r="AIX54" s="3078"/>
      <c r="AIY54" s="3078"/>
      <c r="AIZ54" s="3078"/>
      <c r="AJA54" s="3075" t="s">
        <v>55</v>
      </c>
      <c r="AJB54" s="3078"/>
      <c r="AJC54" s="3078"/>
      <c r="AJD54" s="3078"/>
      <c r="AJE54" s="3078"/>
      <c r="AJF54" s="3078"/>
      <c r="AJG54" s="3078"/>
      <c r="AJH54" s="3078"/>
      <c r="AJI54" s="3075" t="s">
        <v>55</v>
      </c>
      <c r="AJJ54" s="3078"/>
      <c r="AJK54" s="3078"/>
      <c r="AJL54" s="3078"/>
      <c r="AJM54" s="3078"/>
      <c r="AJN54" s="3078"/>
      <c r="AJO54" s="3078"/>
      <c r="AJP54" s="3078"/>
      <c r="AJQ54" s="3075" t="s">
        <v>55</v>
      </c>
      <c r="AJR54" s="3078"/>
      <c r="AJS54" s="3078"/>
      <c r="AJT54" s="3078"/>
      <c r="AJU54" s="3078"/>
      <c r="AJV54" s="3078"/>
      <c r="AJW54" s="3078"/>
      <c r="AJX54" s="3078"/>
      <c r="AJY54" s="3075" t="s">
        <v>55</v>
      </c>
      <c r="AJZ54" s="3078"/>
      <c r="AKA54" s="3078"/>
      <c r="AKB54" s="3078"/>
      <c r="AKC54" s="3078"/>
      <c r="AKD54" s="3078"/>
      <c r="AKE54" s="3078"/>
      <c r="AKF54" s="3078"/>
      <c r="AKG54" s="3075" t="s">
        <v>55</v>
      </c>
      <c r="AKH54" s="3078"/>
      <c r="AKI54" s="3078"/>
      <c r="AKJ54" s="3078"/>
      <c r="AKK54" s="3078"/>
      <c r="AKL54" s="3078"/>
      <c r="AKM54" s="3078"/>
      <c r="AKN54" s="3078"/>
      <c r="AKO54" s="3075" t="s">
        <v>55</v>
      </c>
      <c r="AKP54" s="3078"/>
      <c r="AKQ54" s="3078"/>
      <c r="AKR54" s="3078"/>
      <c r="AKS54" s="3078"/>
      <c r="AKT54" s="3078"/>
      <c r="AKU54" s="3078"/>
      <c r="AKV54" s="3078"/>
      <c r="AKW54" s="3075" t="s">
        <v>55</v>
      </c>
      <c r="AKX54" s="3078"/>
      <c r="AKY54" s="3078"/>
      <c r="AKZ54" s="3078"/>
      <c r="ALA54" s="3078"/>
      <c r="ALB54" s="3078"/>
      <c r="ALC54" s="3078"/>
      <c r="ALD54" s="3078"/>
      <c r="ALE54" s="3075" t="s">
        <v>55</v>
      </c>
      <c r="ALF54" s="3078"/>
      <c r="ALG54" s="3078"/>
      <c r="ALH54" s="3078"/>
      <c r="ALI54" s="3078"/>
      <c r="ALJ54" s="3078"/>
      <c r="ALK54" s="3078"/>
      <c r="ALL54" s="3078"/>
      <c r="ALM54" s="3075" t="s">
        <v>55</v>
      </c>
      <c r="ALN54" s="3078"/>
      <c r="ALO54" s="3078"/>
      <c r="ALP54" s="3078"/>
      <c r="ALQ54" s="3078"/>
      <c r="ALR54" s="3078"/>
      <c r="ALS54" s="3078"/>
      <c r="ALT54" s="3078"/>
      <c r="ALU54" s="3075" t="s">
        <v>55</v>
      </c>
      <c r="ALV54" s="3078"/>
      <c r="ALW54" s="3078"/>
      <c r="ALX54" s="3078"/>
      <c r="ALY54" s="3078"/>
      <c r="ALZ54" s="3078"/>
      <c r="AMA54" s="3078"/>
      <c r="AMB54" s="3078"/>
      <c r="AMC54" s="3075" t="s">
        <v>55</v>
      </c>
      <c r="AMD54" s="3078"/>
      <c r="AME54" s="3078"/>
      <c r="AMF54" s="3078"/>
      <c r="AMG54" s="3078"/>
      <c r="AMH54" s="3078"/>
      <c r="AMI54" s="3078"/>
      <c r="AMJ54" s="3078"/>
      <c r="AMK54" s="3075" t="s">
        <v>55</v>
      </c>
      <c r="AML54" s="3078"/>
      <c r="AMM54" s="3078"/>
      <c r="AMN54" s="3078"/>
      <c r="AMO54" s="3078"/>
      <c r="AMP54" s="3078"/>
      <c r="AMQ54" s="3078"/>
      <c r="AMR54" s="3078"/>
      <c r="AMS54" s="3075" t="s">
        <v>55</v>
      </c>
      <c r="AMT54" s="3078"/>
      <c r="AMU54" s="3078"/>
      <c r="AMV54" s="3078"/>
      <c r="AMW54" s="3078"/>
      <c r="AMX54" s="3078"/>
      <c r="AMY54" s="3078"/>
      <c r="AMZ54" s="3078"/>
      <c r="ANA54" s="3075" t="s">
        <v>55</v>
      </c>
      <c r="ANB54" s="3078"/>
      <c r="ANC54" s="3078"/>
      <c r="AND54" s="3078"/>
      <c r="ANE54" s="3078"/>
      <c r="ANF54" s="3078"/>
      <c r="ANG54" s="3078"/>
      <c r="ANH54" s="3078"/>
      <c r="ANI54" s="3075" t="s">
        <v>55</v>
      </c>
      <c r="ANJ54" s="3078"/>
      <c r="ANK54" s="3078"/>
      <c r="ANL54" s="3078"/>
      <c r="ANM54" s="3078"/>
      <c r="ANN54" s="3078"/>
      <c r="ANO54" s="3078"/>
      <c r="ANP54" s="3078"/>
      <c r="ANQ54" s="3075" t="s">
        <v>55</v>
      </c>
      <c r="ANR54" s="3078"/>
      <c r="ANS54" s="3078"/>
      <c r="ANT54" s="3078"/>
      <c r="ANU54" s="3078"/>
      <c r="ANV54" s="3078"/>
      <c r="ANW54" s="3078"/>
      <c r="ANX54" s="3078"/>
      <c r="ANY54" s="3075" t="s">
        <v>55</v>
      </c>
      <c r="ANZ54" s="3078"/>
      <c r="AOA54" s="3078"/>
      <c r="AOB54" s="3078"/>
      <c r="AOC54" s="3078"/>
      <c r="AOD54" s="3078"/>
      <c r="AOE54" s="3078"/>
      <c r="AOF54" s="3078"/>
      <c r="AOG54" s="3075" t="s">
        <v>55</v>
      </c>
      <c r="AOH54" s="3078"/>
      <c r="AOI54" s="3078"/>
      <c r="AOJ54" s="3078"/>
      <c r="AOK54" s="3078"/>
      <c r="AOL54" s="3078"/>
      <c r="AOM54" s="3078"/>
      <c r="AON54" s="3078"/>
      <c r="AOO54" s="3075" t="s">
        <v>55</v>
      </c>
      <c r="AOP54" s="3078"/>
      <c r="AOQ54" s="3078"/>
      <c r="AOR54" s="3078"/>
      <c r="AOS54" s="3078"/>
      <c r="AOT54" s="3078"/>
      <c r="AOU54" s="3078"/>
      <c r="AOV54" s="3078"/>
      <c r="AOW54" s="3075" t="s">
        <v>55</v>
      </c>
      <c r="AOX54" s="3078"/>
      <c r="AOY54" s="3078"/>
      <c r="AOZ54" s="3078"/>
      <c r="APA54" s="3078"/>
      <c r="APB54" s="3078"/>
      <c r="APC54" s="3078"/>
      <c r="APD54" s="3078"/>
      <c r="APE54" s="3075" t="s">
        <v>55</v>
      </c>
      <c r="APF54" s="3078"/>
      <c r="APG54" s="3078"/>
      <c r="APH54" s="3078"/>
      <c r="API54" s="3078"/>
      <c r="APJ54" s="3078"/>
      <c r="APK54" s="3078"/>
      <c r="APL54" s="3078"/>
      <c r="APM54" s="3075" t="s">
        <v>55</v>
      </c>
      <c r="APN54" s="3078"/>
      <c r="APO54" s="3078"/>
      <c r="APP54" s="3078"/>
      <c r="APQ54" s="3078"/>
      <c r="APR54" s="3078"/>
      <c r="APS54" s="3078"/>
      <c r="APT54" s="3078"/>
      <c r="APU54" s="3075" t="s">
        <v>55</v>
      </c>
      <c r="APV54" s="3078"/>
      <c r="APW54" s="3078"/>
      <c r="APX54" s="3078"/>
      <c r="APY54" s="3078"/>
      <c r="APZ54" s="3078"/>
      <c r="AQA54" s="3078"/>
      <c r="AQB54" s="3078"/>
      <c r="AQC54" s="3075" t="s">
        <v>55</v>
      </c>
      <c r="AQD54" s="3078"/>
      <c r="AQE54" s="3078"/>
      <c r="AQF54" s="3078"/>
      <c r="AQG54" s="3078"/>
      <c r="AQH54" s="3078"/>
      <c r="AQI54" s="3078"/>
      <c r="AQJ54" s="3078"/>
      <c r="AQK54" s="3075" t="s">
        <v>55</v>
      </c>
      <c r="AQL54" s="3078"/>
      <c r="AQM54" s="3078"/>
      <c r="AQN54" s="3078"/>
      <c r="AQO54" s="3078"/>
      <c r="AQP54" s="3078"/>
      <c r="AQQ54" s="3078"/>
      <c r="AQR54" s="3078"/>
      <c r="AQS54" s="3075" t="s">
        <v>55</v>
      </c>
      <c r="AQT54" s="3078"/>
      <c r="AQU54" s="3078"/>
      <c r="AQV54" s="3078"/>
      <c r="AQW54" s="3078"/>
      <c r="AQX54" s="3078"/>
      <c r="AQY54" s="3078"/>
      <c r="AQZ54" s="3078"/>
      <c r="ARA54" s="3075" t="s">
        <v>55</v>
      </c>
      <c r="ARB54" s="3078"/>
      <c r="ARC54" s="3078"/>
      <c r="ARD54" s="3078"/>
      <c r="ARE54" s="3078"/>
      <c r="ARF54" s="3078"/>
      <c r="ARG54" s="3078"/>
      <c r="ARH54" s="3078"/>
      <c r="ARI54" s="3075" t="s">
        <v>55</v>
      </c>
      <c r="ARJ54" s="3078"/>
      <c r="ARK54" s="3078"/>
      <c r="ARL54" s="3078"/>
      <c r="ARM54" s="3078"/>
      <c r="ARN54" s="3078"/>
      <c r="ARO54" s="3078"/>
      <c r="ARP54" s="3078"/>
      <c r="ARQ54" s="3075" t="s">
        <v>55</v>
      </c>
      <c r="ARR54" s="3078"/>
      <c r="ARS54" s="3078"/>
      <c r="ART54" s="3078"/>
      <c r="ARU54" s="3078"/>
      <c r="ARV54" s="3078"/>
      <c r="ARW54" s="3078"/>
      <c r="ARX54" s="3078"/>
      <c r="ARY54" s="3075" t="s">
        <v>55</v>
      </c>
      <c r="ARZ54" s="3078"/>
      <c r="ASA54" s="3078"/>
      <c r="ASB54" s="3078"/>
      <c r="ASC54" s="3078"/>
      <c r="ASD54" s="3078"/>
      <c r="ASE54" s="3078"/>
      <c r="ASF54" s="3078"/>
      <c r="ASG54" s="3075" t="s">
        <v>55</v>
      </c>
      <c r="ASH54" s="3078"/>
      <c r="ASI54" s="3078"/>
      <c r="ASJ54" s="3078"/>
      <c r="ASK54" s="3078"/>
      <c r="ASL54" s="3078"/>
      <c r="ASM54" s="3078"/>
      <c r="ASN54" s="3078"/>
      <c r="ASO54" s="3075" t="s">
        <v>55</v>
      </c>
      <c r="ASP54" s="3078"/>
      <c r="ASQ54" s="3078"/>
      <c r="ASR54" s="3078"/>
      <c r="ASS54" s="3078"/>
      <c r="AST54" s="3078"/>
      <c r="ASU54" s="3078"/>
      <c r="ASV54" s="3078"/>
      <c r="ASW54" s="3075" t="s">
        <v>55</v>
      </c>
      <c r="ASX54" s="3078"/>
      <c r="ASY54" s="3078"/>
      <c r="ASZ54" s="3078"/>
      <c r="ATA54" s="3078"/>
      <c r="ATB54" s="3078"/>
      <c r="ATC54" s="3078"/>
      <c r="ATD54" s="3078"/>
      <c r="ATE54" s="3075" t="s">
        <v>55</v>
      </c>
      <c r="ATF54" s="3078"/>
      <c r="ATG54" s="3078"/>
      <c r="ATH54" s="3078"/>
      <c r="ATI54" s="3078"/>
      <c r="ATJ54" s="3078"/>
      <c r="ATK54" s="3078"/>
      <c r="ATL54" s="3078"/>
      <c r="ATM54" s="3075" t="s">
        <v>55</v>
      </c>
      <c r="ATN54" s="3078"/>
      <c r="ATO54" s="3078"/>
      <c r="ATP54" s="3078"/>
      <c r="ATQ54" s="3078"/>
      <c r="ATR54" s="3078"/>
      <c r="ATS54" s="3078"/>
      <c r="ATT54" s="3078"/>
      <c r="ATU54" s="3075" t="s">
        <v>55</v>
      </c>
      <c r="ATV54" s="3078"/>
      <c r="ATW54" s="3078"/>
      <c r="ATX54" s="3078"/>
      <c r="ATY54" s="3078"/>
      <c r="ATZ54" s="3078"/>
      <c r="AUA54" s="3078"/>
      <c r="AUB54" s="3078"/>
      <c r="AUC54" s="3075" t="s">
        <v>55</v>
      </c>
      <c r="AUD54" s="3078"/>
      <c r="AUE54" s="3078"/>
      <c r="AUF54" s="3078"/>
      <c r="AUG54" s="3078"/>
      <c r="AUH54" s="3078"/>
      <c r="AUI54" s="3078"/>
      <c r="AUJ54" s="3078"/>
      <c r="AUK54" s="3075" t="s">
        <v>55</v>
      </c>
      <c r="AUL54" s="3078"/>
      <c r="AUM54" s="3078"/>
      <c r="AUN54" s="3078"/>
      <c r="AUO54" s="3078"/>
      <c r="AUP54" s="3078"/>
      <c r="AUQ54" s="3078"/>
      <c r="AUR54" s="3078"/>
      <c r="AUS54" s="3075" t="s">
        <v>55</v>
      </c>
      <c r="AUT54" s="3078"/>
      <c r="AUU54" s="3078"/>
      <c r="AUV54" s="3078"/>
      <c r="AUW54" s="3078"/>
      <c r="AUX54" s="3078"/>
      <c r="AUY54" s="3078"/>
      <c r="AUZ54" s="3078"/>
      <c r="AVA54" s="3075" t="s">
        <v>55</v>
      </c>
      <c r="AVB54" s="3078"/>
      <c r="AVC54" s="3078"/>
      <c r="AVD54" s="3078"/>
      <c r="AVE54" s="3078"/>
      <c r="AVF54" s="3078"/>
      <c r="AVG54" s="3078"/>
      <c r="AVH54" s="3078"/>
      <c r="AVI54" s="3075" t="s">
        <v>55</v>
      </c>
      <c r="AVJ54" s="3078"/>
      <c r="AVK54" s="3078"/>
      <c r="AVL54" s="3078"/>
      <c r="AVM54" s="3078"/>
      <c r="AVN54" s="3078"/>
      <c r="AVO54" s="3078"/>
      <c r="AVP54" s="3078"/>
      <c r="AVQ54" s="3075" t="s">
        <v>55</v>
      </c>
      <c r="AVR54" s="3078"/>
      <c r="AVS54" s="3078"/>
      <c r="AVT54" s="3078"/>
      <c r="AVU54" s="3078"/>
      <c r="AVV54" s="3078"/>
      <c r="AVW54" s="3078"/>
      <c r="AVX54" s="3078"/>
      <c r="AVY54" s="3075" t="s">
        <v>55</v>
      </c>
      <c r="AVZ54" s="3078"/>
      <c r="AWA54" s="3078"/>
      <c r="AWB54" s="3078"/>
      <c r="AWC54" s="3078"/>
      <c r="AWD54" s="3078"/>
      <c r="AWE54" s="3078"/>
      <c r="AWF54" s="3078"/>
      <c r="AWG54" s="3075" t="s">
        <v>55</v>
      </c>
      <c r="AWH54" s="3078"/>
      <c r="AWI54" s="3078"/>
      <c r="AWJ54" s="3078"/>
      <c r="AWK54" s="3078"/>
      <c r="AWL54" s="3078"/>
      <c r="AWM54" s="3078"/>
      <c r="AWN54" s="3078"/>
      <c r="AWO54" s="3075" t="s">
        <v>55</v>
      </c>
      <c r="AWP54" s="3078"/>
      <c r="AWQ54" s="3078"/>
      <c r="AWR54" s="3078"/>
      <c r="AWS54" s="3078"/>
      <c r="AWT54" s="3078"/>
      <c r="AWU54" s="3078"/>
      <c r="AWV54" s="3078"/>
      <c r="AWW54" s="3075" t="s">
        <v>55</v>
      </c>
      <c r="AWX54" s="3078"/>
      <c r="AWY54" s="3078"/>
      <c r="AWZ54" s="3078"/>
      <c r="AXA54" s="3078"/>
      <c r="AXB54" s="3078"/>
      <c r="AXC54" s="3078"/>
      <c r="AXD54" s="3078"/>
      <c r="AXE54" s="3075" t="s">
        <v>55</v>
      </c>
      <c r="AXF54" s="3078"/>
      <c r="AXG54" s="3078"/>
      <c r="AXH54" s="3078"/>
      <c r="AXI54" s="3078"/>
      <c r="AXJ54" s="3078"/>
      <c r="AXK54" s="3078"/>
      <c r="AXL54" s="3078"/>
      <c r="AXM54" s="3075" t="s">
        <v>55</v>
      </c>
      <c r="AXN54" s="3078"/>
      <c r="AXO54" s="3078"/>
      <c r="AXP54" s="3078"/>
      <c r="AXQ54" s="3078"/>
      <c r="AXR54" s="3078"/>
      <c r="AXS54" s="3078"/>
      <c r="AXT54" s="3078"/>
      <c r="AXU54" s="3075" t="s">
        <v>55</v>
      </c>
      <c r="AXV54" s="3078"/>
      <c r="AXW54" s="3078"/>
      <c r="AXX54" s="3078"/>
      <c r="AXY54" s="3078"/>
      <c r="AXZ54" s="3078"/>
      <c r="AYA54" s="3078"/>
      <c r="AYB54" s="3078"/>
      <c r="AYC54" s="3075" t="s">
        <v>55</v>
      </c>
      <c r="AYD54" s="3078"/>
      <c r="AYE54" s="3078"/>
      <c r="AYF54" s="3078"/>
      <c r="AYG54" s="3078"/>
      <c r="AYH54" s="3078"/>
      <c r="AYI54" s="3078"/>
      <c r="AYJ54" s="3078"/>
      <c r="AYK54" s="3075" t="s">
        <v>55</v>
      </c>
      <c r="AYL54" s="3078"/>
      <c r="AYM54" s="3078"/>
      <c r="AYN54" s="3078"/>
      <c r="AYO54" s="3078"/>
      <c r="AYP54" s="3078"/>
      <c r="AYQ54" s="3078"/>
      <c r="AYR54" s="3078"/>
      <c r="AYS54" s="3075" t="s">
        <v>55</v>
      </c>
      <c r="AYT54" s="3078"/>
      <c r="AYU54" s="3078"/>
      <c r="AYV54" s="3078"/>
      <c r="AYW54" s="3078"/>
      <c r="AYX54" s="3078"/>
      <c r="AYY54" s="3078"/>
      <c r="AYZ54" s="3078"/>
      <c r="AZA54" s="3075" t="s">
        <v>55</v>
      </c>
      <c r="AZB54" s="3078"/>
      <c r="AZC54" s="3078"/>
      <c r="AZD54" s="3078"/>
      <c r="AZE54" s="3078"/>
      <c r="AZF54" s="3078"/>
      <c r="AZG54" s="3078"/>
      <c r="AZH54" s="3078"/>
      <c r="AZI54" s="3075" t="s">
        <v>55</v>
      </c>
      <c r="AZJ54" s="3078"/>
      <c r="AZK54" s="3078"/>
      <c r="AZL54" s="3078"/>
      <c r="AZM54" s="3078"/>
      <c r="AZN54" s="3078"/>
      <c r="AZO54" s="3078"/>
      <c r="AZP54" s="3078"/>
      <c r="AZQ54" s="3075" t="s">
        <v>55</v>
      </c>
      <c r="AZR54" s="3078"/>
      <c r="AZS54" s="3078"/>
      <c r="AZT54" s="3078"/>
      <c r="AZU54" s="3078"/>
      <c r="AZV54" s="3078"/>
      <c r="AZW54" s="3078"/>
      <c r="AZX54" s="3078"/>
      <c r="AZY54" s="3075" t="s">
        <v>55</v>
      </c>
      <c r="AZZ54" s="3078"/>
      <c r="BAA54" s="3078"/>
      <c r="BAB54" s="3078"/>
      <c r="BAC54" s="3078"/>
      <c r="BAD54" s="3078"/>
      <c r="BAE54" s="3078"/>
      <c r="BAF54" s="3078"/>
      <c r="BAG54" s="3075" t="s">
        <v>55</v>
      </c>
      <c r="BAH54" s="3078"/>
      <c r="BAI54" s="3078"/>
      <c r="BAJ54" s="3078"/>
      <c r="BAK54" s="3078"/>
      <c r="BAL54" s="3078"/>
      <c r="BAM54" s="3078"/>
      <c r="BAN54" s="3078"/>
      <c r="BAO54" s="3075" t="s">
        <v>55</v>
      </c>
      <c r="BAP54" s="3078"/>
      <c r="BAQ54" s="3078"/>
      <c r="BAR54" s="3078"/>
      <c r="BAS54" s="3078"/>
      <c r="BAT54" s="3078"/>
      <c r="BAU54" s="3078"/>
      <c r="BAV54" s="3078"/>
      <c r="BAW54" s="3075" t="s">
        <v>55</v>
      </c>
      <c r="BAX54" s="3078"/>
      <c r="BAY54" s="3078"/>
      <c r="BAZ54" s="3078"/>
      <c r="BBA54" s="3078"/>
      <c r="BBB54" s="3078"/>
      <c r="BBC54" s="3078"/>
      <c r="BBD54" s="3078"/>
      <c r="BBE54" s="3075" t="s">
        <v>55</v>
      </c>
      <c r="BBF54" s="3078"/>
      <c r="BBG54" s="3078"/>
      <c r="BBH54" s="3078"/>
      <c r="BBI54" s="3078"/>
      <c r="BBJ54" s="3078"/>
      <c r="BBK54" s="3078"/>
      <c r="BBL54" s="3078"/>
      <c r="BBM54" s="3075" t="s">
        <v>55</v>
      </c>
      <c r="BBN54" s="3078"/>
      <c r="BBO54" s="3078"/>
      <c r="BBP54" s="3078"/>
      <c r="BBQ54" s="3078"/>
      <c r="BBR54" s="3078"/>
      <c r="BBS54" s="3078"/>
      <c r="BBT54" s="3078"/>
      <c r="BBU54" s="3075" t="s">
        <v>55</v>
      </c>
      <c r="BBV54" s="3078"/>
      <c r="BBW54" s="3078"/>
      <c r="BBX54" s="3078"/>
      <c r="BBY54" s="3078"/>
      <c r="BBZ54" s="3078"/>
      <c r="BCA54" s="3078"/>
      <c r="BCB54" s="3078"/>
      <c r="BCC54" s="3075" t="s">
        <v>55</v>
      </c>
      <c r="BCD54" s="3078"/>
      <c r="BCE54" s="3078"/>
      <c r="BCF54" s="3078"/>
      <c r="BCG54" s="3078"/>
      <c r="BCH54" s="3078"/>
      <c r="BCI54" s="3078"/>
      <c r="BCJ54" s="3078"/>
      <c r="BCK54" s="3075" t="s">
        <v>55</v>
      </c>
      <c r="BCL54" s="3078"/>
      <c r="BCM54" s="3078"/>
      <c r="BCN54" s="3078"/>
      <c r="BCO54" s="3078"/>
      <c r="BCP54" s="3078"/>
      <c r="BCQ54" s="3078"/>
      <c r="BCR54" s="3078"/>
      <c r="BCS54" s="3075" t="s">
        <v>55</v>
      </c>
      <c r="BCT54" s="3078"/>
      <c r="BCU54" s="3078"/>
      <c r="BCV54" s="3078"/>
      <c r="BCW54" s="3078"/>
      <c r="BCX54" s="3078"/>
      <c r="BCY54" s="3078"/>
      <c r="BCZ54" s="3078"/>
      <c r="BDA54" s="3075" t="s">
        <v>55</v>
      </c>
      <c r="BDB54" s="3078"/>
      <c r="BDC54" s="3078"/>
      <c r="BDD54" s="3078"/>
      <c r="BDE54" s="3078"/>
      <c r="BDF54" s="3078"/>
      <c r="BDG54" s="3078"/>
      <c r="BDH54" s="3078"/>
      <c r="BDI54" s="3075" t="s">
        <v>55</v>
      </c>
      <c r="BDJ54" s="3078"/>
      <c r="BDK54" s="3078"/>
      <c r="BDL54" s="3078"/>
      <c r="BDM54" s="3078"/>
      <c r="BDN54" s="3078"/>
      <c r="BDO54" s="3078"/>
      <c r="BDP54" s="3078"/>
      <c r="BDQ54" s="3075" t="s">
        <v>55</v>
      </c>
      <c r="BDR54" s="3078"/>
      <c r="BDS54" s="3078"/>
      <c r="BDT54" s="3078"/>
      <c r="BDU54" s="3078"/>
      <c r="BDV54" s="3078"/>
      <c r="BDW54" s="3078"/>
      <c r="BDX54" s="3078"/>
      <c r="BDY54" s="3075" t="s">
        <v>55</v>
      </c>
      <c r="BDZ54" s="3078"/>
      <c r="BEA54" s="3078"/>
      <c r="BEB54" s="3078"/>
      <c r="BEC54" s="3078"/>
      <c r="BED54" s="3078"/>
      <c r="BEE54" s="3078"/>
      <c r="BEF54" s="3078"/>
      <c r="BEG54" s="3075" t="s">
        <v>55</v>
      </c>
      <c r="BEH54" s="3078"/>
      <c r="BEI54" s="3078"/>
      <c r="BEJ54" s="3078"/>
      <c r="BEK54" s="3078"/>
      <c r="BEL54" s="3078"/>
      <c r="BEM54" s="3078"/>
      <c r="BEN54" s="3078"/>
      <c r="BEO54" s="3075" t="s">
        <v>55</v>
      </c>
      <c r="BEP54" s="3078"/>
      <c r="BEQ54" s="3078"/>
      <c r="BER54" s="3078"/>
      <c r="BES54" s="3078"/>
      <c r="BET54" s="3078"/>
      <c r="BEU54" s="3078"/>
      <c r="BEV54" s="3078"/>
      <c r="BEW54" s="3075" t="s">
        <v>55</v>
      </c>
      <c r="BEX54" s="3078"/>
      <c r="BEY54" s="3078"/>
      <c r="BEZ54" s="3078"/>
      <c r="BFA54" s="3078"/>
      <c r="BFB54" s="3078"/>
      <c r="BFC54" s="3078"/>
      <c r="BFD54" s="3078"/>
      <c r="BFE54" s="3075" t="s">
        <v>55</v>
      </c>
      <c r="BFF54" s="3078"/>
      <c r="BFG54" s="3078"/>
      <c r="BFH54" s="3078"/>
      <c r="BFI54" s="3078"/>
      <c r="BFJ54" s="3078"/>
      <c r="BFK54" s="3078"/>
      <c r="BFL54" s="3078"/>
      <c r="BFM54" s="3075" t="s">
        <v>55</v>
      </c>
      <c r="BFN54" s="3078"/>
      <c r="BFO54" s="3078"/>
      <c r="BFP54" s="3078"/>
      <c r="BFQ54" s="3078"/>
      <c r="BFR54" s="3078"/>
      <c r="BFS54" s="3078"/>
      <c r="BFT54" s="3078"/>
      <c r="BFU54" s="3075" t="s">
        <v>55</v>
      </c>
      <c r="BFV54" s="3078"/>
      <c r="BFW54" s="3078"/>
      <c r="BFX54" s="3078"/>
      <c r="BFY54" s="3078"/>
      <c r="BFZ54" s="3078"/>
      <c r="BGA54" s="3078"/>
      <c r="BGB54" s="3078"/>
      <c r="BGC54" s="3075" t="s">
        <v>55</v>
      </c>
      <c r="BGD54" s="3078"/>
      <c r="BGE54" s="3078"/>
      <c r="BGF54" s="3078"/>
      <c r="BGG54" s="3078"/>
      <c r="BGH54" s="3078"/>
      <c r="BGI54" s="3078"/>
      <c r="BGJ54" s="3078"/>
      <c r="BGK54" s="3075" t="s">
        <v>55</v>
      </c>
      <c r="BGL54" s="3078"/>
      <c r="BGM54" s="3078"/>
      <c r="BGN54" s="3078"/>
      <c r="BGO54" s="3078"/>
      <c r="BGP54" s="3078"/>
      <c r="BGQ54" s="3078"/>
      <c r="BGR54" s="3078"/>
      <c r="BGS54" s="3075" t="s">
        <v>55</v>
      </c>
      <c r="BGT54" s="3078"/>
      <c r="BGU54" s="3078"/>
      <c r="BGV54" s="3078"/>
      <c r="BGW54" s="3078"/>
      <c r="BGX54" s="3078"/>
      <c r="BGY54" s="3078"/>
      <c r="BGZ54" s="3078"/>
      <c r="BHA54" s="3075" t="s">
        <v>55</v>
      </c>
      <c r="BHB54" s="3078"/>
      <c r="BHC54" s="3078"/>
      <c r="BHD54" s="3078"/>
      <c r="BHE54" s="3078"/>
      <c r="BHF54" s="3078"/>
      <c r="BHG54" s="3078"/>
      <c r="BHH54" s="3078"/>
      <c r="BHI54" s="3075" t="s">
        <v>55</v>
      </c>
      <c r="BHJ54" s="3078"/>
      <c r="BHK54" s="3078"/>
      <c r="BHL54" s="3078"/>
      <c r="BHM54" s="3078"/>
      <c r="BHN54" s="3078"/>
      <c r="BHO54" s="3078"/>
      <c r="BHP54" s="3078"/>
      <c r="BHQ54" s="3075" t="s">
        <v>55</v>
      </c>
      <c r="BHR54" s="3078"/>
      <c r="BHS54" s="3078"/>
      <c r="BHT54" s="3078"/>
      <c r="BHU54" s="3078"/>
      <c r="BHV54" s="3078"/>
      <c r="BHW54" s="3078"/>
      <c r="BHX54" s="3078"/>
      <c r="BHY54" s="3075" t="s">
        <v>55</v>
      </c>
      <c r="BHZ54" s="3078"/>
      <c r="BIA54" s="3078"/>
      <c r="BIB54" s="3078"/>
      <c r="BIC54" s="3078"/>
      <c r="BID54" s="3078"/>
      <c r="BIE54" s="3078"/>
      <c r="BIF54" s="3078"/>
      <c r="BIG54" s="3075" t="s">
        <v>55</v>
      </c>
      <c r="BIH54" s="3078"/>
      <c r="BII54" s="3078"/>
      <c r="BIJ54" s="3078"/>
      <c r="BIK54" s="3078"/>
      <c r="BIL54" s="3078"/>
      <c r="BIM54" s="3078"/>
      <c r="BIN54" s="3078"/>
      <c r="BIO54" s="3075" t="s">
        <v>55</v>
      </c>
      <c r="BIP54" s="3078"/>
      <c r="BIQ54" s="3078"/>
      <c r="BIR54" s="3078"/>
      <c r="BIS54" s="3078"/>
      <c r="BIT54" s="3078"/>
      <c r="BIU54" s="3078"/>
      <c r="BIV54" s="3078"/>
      <c r="BIW54" s="3075" t="s">
        <v>55</v>
      </c>
      <c r="BIX54" s="3078"/>
      <c r="BIY54" s="3078"/>
      <c r="BIZ54" s="3078"/>
      <c r="BJA54" s="3078"/>
      <c r="BJB54" s="3078"/>
      <c r="BJC54" s="3078"/>
      <c r="BJD54" s="3078"/>
      <c r="BJE54" s="3075" t="s">
        <v>55</v>
      </c>
      <c r="BJF54" s="3078"/>
      <c r="BJG54" s="3078"/>
      <c r="BJH54" s="3078"/>
      <c r="BJI54" s="3078"/>
      <c r="BJJ54" s="3078"/>
      <c r="BJK54" s="3078"/>
      <c r="BJL54" s="3078"/>
      <c r="BJM54" s="3075" t="s">
        <v>55</v>
      </c>
      <c r="BJN54" s="3078"/>
      <c r="BJO54" s="3078"/>
      <c r="BJP54" s="3078"/>
      <c r="BJQ54" s="3078"/>
      <c r="BJR54" s="3078"/>
      <c r="BJS54" s="3078"/>
      <c r="BJT54" s="3078"/>
      <c r="BJU54" s="3075" t="s">
        <v>55</v>
      </c>
      <c r="BJV54" s="3078"/>
      <c r="BJW54" s="3078"/>
      <c r="BJX54" s="3078"/>
      <c r="BJY54" s="3078"/>
      <c r="BJZ54" s="3078"/>
      <c r="BKA54" s="3078"/>
      <c r="BKB54" s="3078"/>
      <c r="BKC54" s="3075" t="s">
        <v>55</v>
      </c>
      <c r="BKD54" s="3078"/>
      <c r="BKE54" s="3078"/>
      <c r="BKF54" s="3078"/>
      <c r="BKG54" s="3078"/>
      <c r="BKH54" s="3078"/>
      <c r="BKI54" s="3078"/>
      <c r="BKJ54" s="3078"/>
      <c r="BKK54" s="3075" t="s">
        <v>55</v>
      </c>
      <c r="BKL54" s="3078"/>
      <c r="BKM54" s="3078"/>
      <c r="BKN54" s="3078"/>
      <c r="BKO54" s="3078"/>
      <c r="BKP54" s="3078"/>
      <c r="BKQ54" s="3078"/>
      <c r="BKR54" s="3078"/>
      <c r="BKS54" s="3075" t="s">
        <v>55</v>
      </c>
      <c r="BKT54" s="3078"/>
      <c r="BKU54" s="3078"/>
      <c r="BKV54" s="3078"/>
      <c r="BKW54" s="3078"/>
      <c r="BKX54" s="3078"/>
      <c r="BKY54" s="3078"/>
      <c r="BKZ54" s="3078"/>
      <c r="BLA54" s="3075" t="s">
        <v>55</v>
      </c>
      <c r="BLB54" s="3078"/>
      <c r="BLC54" s="3078"/>
      <c r="BLD54" s="3078"/>
      <c r="BLE54" s="3078"/>
      <c r="BLF54" s="3078"/>
      <c r="BLG54" s="3078"/>
      <c r="BLH54" s="3078"/>
      <c r="BLI54" s="3075" t="s">
        <v>55</v>
      </c>
      <c r="BLJ54" s="3078"/>
      <c r="BLK54" s="3078"/>
      <c r="BLL54" s="3078"/>
      <c r="BLM54" s="3078"/>
      <c r="BLN54" s="3078"/>
      <c r="BLO54" s="3078"/>
      <c r="BLP54" s="3078"/>
      <c r="BLQ54" s="3075" t="s">
        <v>55</v>
      </c>
      <c r="BLR54" s="3078"/>
      <c r="BLS54" s="3078"/>
      <c r="BLT54" s="3078"/>
      <c r="BLU54" s="3078"/>
      <c r="BLV54" s="3078"/>
      <c r="BLW54" s="3078"/>
      <c r="BLX54" s="3078"/>
      <c r="BLY54" s="3075" t="s">
        <v>55</v>
      </c>
      <c r="BLZ54" s="3078"/>
      <c r="BMA54" s="3078"/>
      <c r="BMB54" s="3078"/>
      <c r="BMC54" s="3078"/>
      <c r="BMD54" s="3078"/>
      <c r="BME54" s="3078"/>
      <c r="BMF54" s="3078"/>
      <c r="BMG54" s="3075" t="s">
        <v>55</v>
      </c>
      <c r="BMH54" s="3078"/>
      <c r="BMI54" s="3078"/>
      <c r="BMJ54" s="3078"/>
      <c r="BMK54" s="3078"/>
      <c r="BML54" s="3078"/>
      <c r="BMM54" s="3078"/>
      <c r="BMN54" s="3078"/>
      <c r="BMO54" s="3075" t="s">
        <v>55</v>
      </c>
      <c r="BMP54" s="3078"/>
      <c r="BMQ54" s="3078"/>
      <c r="BMR54" s="3078"/>
      <c r="BMS54" s="3078"/>
      <c r="BMT54" s="3078"/>
      <c r="BMU54" s="3078"/>
      <c r="BMV54" s="3078"/>
      <c r="BMW54" s="3075" t="s">
        <v>55</v>
      </c>
      <c r="BMX54" s="3078"/>
      <c r="BMY54" s="3078"/>
      <c r="BMZ54" s="3078"/>
      <c r="BNA54" s="3078"/>
      <c r="BNB54" s="3078"/>
      <c r="BNC54" s="3078"/>
      <c r="BND54" s="3078"/>
      <c r="BNE54" s="3075" t="s">
        <v>55</v>
      </c>
      <c r="BNF54" s="3078"/>
      <c r="BNG54" s="3078"/>
      <c r="BNH54" s="3078"/>
      <c r="BNI54" s="3078"/>
      <c r="BNJ54" s="3078"/>
      <c r="BNK54" s="3078"/>
      <c r="BNL54" s="3078"/>
      <c r="BNM54" s="3075" t="s">
        <v>55</v>
      </c>
      <c r="BNN54" s="3078"/>
      <c r="BNO54" s="3078"/>
      <c r="BNP54" s="3078"/>
      <c r="BNQ54" s="3078"/>
      <c r="BNR54" s="3078"/>
      <c r="BNS54" s="3078"/>
      <c r="BNT54" s="3078"/>
      <c r="BNU54" s="3075" t="s">
        <v>55</v>
      </c>
      <c r="BNV54" s="3078"/>
      <c r="BNW54" s="3078"/>
      <c r="BNX54" s="3078"/>
      <c r="BNY54" s="3078"/>
      <c r="BNZ54" s="3078"/>
      <c r="BOA54" s="3078"/>
      <c r="BOB54" s="3078"/>
      <c r="BOC54" s="3075" t="s">
        <v>55</v>
      </c>
      <c r="BOD54" s="3078"/>
      <c r="BOE54" s="3078"/>
      <c r="BOF54" s="3078"/>
      <c r="BOG54" s="3078"/>
      <c r="BOH54" s="3078"/>
      <c r="BOI54" s="3078"/>
      <c r="BOJ54" s="3078"/>
      <c r="BOK54" s="3075" t="s">
        <v>55</v>
      </c>
      <c r="BOL54" s="3078"/>
      <c r="BOM54" s="3078"/>
      <c r="BON54" s="3078"/>
      <c r="BOO54" s="3078"/>
      <c r="BOP54" s="3078"/>
      <c r="BOQ54" s="3078"/>
      <c r="BOR54" s="3078"/>
      <c r="BOS54" s="3075" t="s">
        <v>55</v>
      </c>
      <c r="BOT54" s="3078"/>
      <c r="BOU54" s="3078"/>
      <c r="BOV54" s="3078"/>
      <c r="BOW54" s="3078"/>
      <c r="BOX54" s="3078"/>
      <c r="BOY54" s="3078"/>
      <c r="BOZ54" s="3078"/>
      <c r="BPA54" s="3075" t="s">
        <v>55</v>
      </c>
      <c r="BPB54" s="3078"/>
      <c r="BPC54" s="3078"/>
      <c r="BPD54" s="3078"/>
      <c r="BPE54" s="3078"/>
      <c r="BPF54" s="3078"/>
      <c r="BPG54" s="3078"/>
      <c r="BPH54" s="3078"/>
      <c r="BPI54" s="3075" t="s">
        <v>55</v>
      </c>
      <c r="BPJ54" s="3078"/>
      <c r="BPK54" s="3078"/>
      <c r="BPL54" s="3078"/>
      <c r="BPM54" s="3078"/>
      <c r="BPN54" s="3078"/>
      <c r="BPO54" s="3078"/>
      <c r="BPP54" s="3078"/>
      <c r="BPQ54" s="3075" t="s">
        <v>55</v>
      </c>
      <c r="BPR54" s="3078"/>
      <c r="BPS54" s="3078"/>
      <c r="BPT54" s="3078"/>
      <c r="BPU54" s="3078"/>
      <c r="BPV54" s="3078"/>
      <c r="BPW54" s="3078"/>
      <c r="BPX54" s="3078"/>
      <c r="BPY54" s="3075" t="s">
        <v>55</v>
      </c>
      <c r="BPZ54" s="3078"/>
      <c r="BQA54" s="3078"/>
      <c r="BQB54" s="3078"/>
      <c r="BQC54" s="3078"/>
      <c r="BQD54" s="3078"/>
      <c r="BQE54" s="3078"/>
      <c r="BQF54" s="3078"/>
      <c r="BQG54" s="3075" t="s">
        <v>55</v>
      </c>
      <c r="BQH54" s="3078"/>
      <c r="BQI54" s="3078"/>
      <c r="BQJ54" s="3078"/>
      <c r="BQK54" s="3078"/>
      <c r="BQL54" s="3078"/>
      <c r="BQM54" s="3078"/>
      <c r="BQN54" s="3078"/>
      <c r="BQO54" s="3075" t="s">
        <v>55</v>
      </c>
      <c r="BQP54" s="3078"/>
      <c r="BQQ54" s="3078"/>
      <c r="BQR54" s="3078"/>
      <c r="BQS54" s="3078"/>
      <c r="BQT54" s="3078"/>
      <c r="BQU54" s="3078"/>
      <c r="BQV54" s="3078"/>
      <c r="BQW54" s="3075" t="s">
        <v>55</v>
      </c>
      <c r="BQX54" s="3078"/>
      <c r="BQY54" s="3078"/>
      <c r="BQZ54" s="3078"/>
      <c r="BRA54" s="3078"/>
      <c r="BRB54" s="3078"/>
      <c r="BRC54" s="3078"/>
      <c r="BRD54" s="3078"/>
      <c r="BRE54" s="3075" t="s">
        <v>55</v>
      </c>
      <c r="BRF54" s="3078"/>
      <c r="BRG54" s="3078"/>
      <c r="BRH54" s="3078"/>
      <c r="BRI54" s="3078"/>
      <c r="BRJ54" s="3078"/>
      <c r="BRK54" s="3078"/>
      <c r="BRL54" s="3078"/>
      <c r="BRM54" s="3075" t="s">
        <v>55</v>
      </c>
      <c r="BRN54" s="3078"/>
      <c r="BRO54" s="3078"/>
      <c r="BRP54" s="3078"/>
      <c r="BRQ54" s="3078"/>
      <c r="BRR54" s="3078"/>
      <c r="BRS54" s="3078"/>
      <c r="BRT54" s="3078"/>
      <c r="BRU54" s="3075" t="s">
        <v>55</v>
      </c>
      <c r="BRV54" s="3078"/>
      <c r="BRW54" s="3078"/>
      <c r="BRX54" s="3078"/>
      <c r="BRY54" s="3078"/>
      <c r="BRZ54" s="3078"/>
      <c r="BSA54" s="3078"/>
      <c r="BSB54" s="3078"/>
      <c r="BSC54" s="3075" t="s">
        <v>55</v>
      </c>
      <c r="BSD54" s="3078"/>
      <c r="BSE54" s="3078"/>
      <c r="BSF54" s="3078"/>
      <c r="BSG54" s="3078"/>
      <c r="BSH54" s="3078"/>
      <c r="BSI54" s="3078"/>
      <c r="BSJ54" s="3078"/>
      <c r="BSK54" s="3075" t="s">
        <v>55</v>
      </c>
      <c r="BSL54" s="3078"/>
      <c r="BSM54" s="3078"/>
      <c r="BSN54" s="3078"/>
      <c r="BSO54" s="3078"/>
      <c r="BSP54" s="3078"/>
      <c r="BSQ54" s="3078"/>
      <c r="BSR54" s="3078"/>
      <c r="BSS54" s="3075" t="s">
        <v>55</v>
      </c>
      <c r="BST54" s="3078"/>
      <c r="BSU54" s="3078"/>
      <c r="BSV54" s="3078"/>
      <c r="BSW54" s="3078"/>
      <c r="BSX54" s="3078"/>
      <c r="BSY54" s="3078"/>
      <c r="BSZ54" s="3078"/>
      <c r="BTA54" s="3075" t="s">
        <v>55</v>
      </c>
      <c r="BTB54" s="3078"/>
      <c r="BTC54" s="3078"/>
      <c r="BTD54" s="3078"/>
      <c r="BTE54" s="3078"/>
      <c r="BTF54" s="3078"/>
      <c r="BTG54" s="3078"/>
      <c r="BTH54" s="3078"/>
      <c r="BTI54" s="3075" t="s">
        <v>55</v>
      </c>
      <c r="BTJ54" s="3078"/>
      <c r="BTK54" s="3078"/>
      <c r="BTL54" s="3078"/>
      <c r="BTM54" s="3078"/>
      <c r="BTN54" s="3078"/>
      <c r="BTO54" s="3078"/>
      <c r="BTP54" s="3078"/>
      <c r="BTQ54" s="3075" t="s">
        <v>55</v>
      </c>
      <c r="BTR54" s="3078"/>
      <c r="BTS54" s="3078"/>
      <c r="BTT54" s="3078"/>
      <c r="BTU54" s="3078"/>
      <c r="BTV54" s="3078"/>
      <c r="BTW54" s="3078"/>
      <c r="BTX54" s="3078"/>
      <c r="BTY54" s="3075" t="s">
        <v>55</v>
      </c>
      <c r="BTZ54" s="3078"/>
      <c r="BUA54" s="3078"/>
      <c r="BUB54" s="3078"/>
      <c r="BUC54" s="3078"/>
      <c r="BUD54" s="3078"/>
      <c r="BUE54" s="3078"/>
      <c r="BUF54" s="3078"/>
      <c r="BUG54" s="3075" t="s">
        <v>55</v>
      </c>
      <c r="BUH54" s="3078"/>
      <c r="BUI54" s="3078"/>
      <c r="BUJ54" s="3078"/>
      <c r="BUK54" s="3078"/>
      <c r="BUL54" s="3078"/>
      <c r="BUM54" s="3078"/>
      <c r="BUN54" s="3078"/>
      <c r="BUO54" s="3075" t="s">
        <v>55</v>
      </c>
      <c r="BUP54" s="3078"/>
      <c r="BUQ54" s="3078"/>
      <c r="BUR54" s="3078"/>
      <c r="BUS54" s="3078"/>
      <c r="BUT54" s="3078"/>
      <c r="BUU54" s="3078"/>
      <c r="BUV54" s="3078"/>
      <c r="BUW54" s="3075" t="s">
        <v>55</v>
      </c>
      <c r="BUX54" s="3078"/>
      <c r="BUY54" s="3078"/>
      <c r="BUZ54" s="3078"/>
      <c r="BVA54" s="3078"/>
      <c r="BVB54" s="3078"/>
      <c r="BVC54" s="3078"/>
      <c r="BVD54" s="3078"/>
      <c r="BVE54" s="3075" t="s">
        <v>55</v>
      </c>
      <c r="BVF54" s="3078"/>
      <c r="BVG54" s="3078"/>
      <c r="BVH54" s="3078"/>
      <c r="BVI54" s="3078"/>
      <c r="BVJ54" s="3078"/>
      <c r="BVK54" s="3078"/>
      <c r="BVL54" s="3078"/>
      <c r="BVM54" s="3075" t="s">
        <v>55</v>
      </c>
      <c r="BVN54" s="3078"/>
      <c r="BVO54" s="3078"/>
      <c r="BVP54" s="3078"/>
      <c r="BVQ54" s="3078"/>
      <c r="BVR54" s="3078"/>
      <c r="BVS54" s="3078"/>
      <c r="BVT54" s="3078"/>
      <c r="BVU54" s="3075" t="s">
        <v>55</v>
      </c>
      <c r="BVV54" s="3078"/>
      <c r="BVW54" s="3078"/>
      <c r="BVX54" s="3078"/>
      <c r="BVY54" s="3078"/>
      <c r="BVZ54" s="3078"/>
      <c r="BWA54" s="3078"/>
      <c r="BWB54" s="3078"/>
      <c r="BWC54" s="3075" t="s">
        <v>55</v>
      </c>
      <c r="BWD54" s="3078"/>
      <c r="BWE54" s="3078"/>
      <c r="BWF54" s="3078"/>
      <c r="BWG54" s="3078"/>
      <c r="BWH54" s="3078"/>
      <c r="BWI54" s="3078"/>
      <c r="BWJ54" s="3078"/>
      <c r="BWK54" s="3075" t="s">
        <v>55</v>
      </c>
      <c r="BWL54" s="3078"/>
      <c r="BWM54" s="3078"/>
      <c r="BWN54" s="3078"/>
      <c r="BWO54" s="3078"/>
      <c r="BWP54" s="3078"/>
      <c r="BWQ54" s="3078"/>
      <c r="BWR54" s="3078"/>
      <c r="BWS54" s="3075" t="s">
        <v>55</v>
      </c>
      <c r="BWT54" s="3078"/>
      <c r="BWU54" s="3078"/>
      <c r="BWV54" s="3078"/>
      <c r="BWW54" s="3078"/>
      <c r="BWX54" s="3078"/>
      <c r="BWY54" s="3078"/>
      <c r="BWZ54" s="3078"/>
      <c r="BXA54" s="3075" t="s">
        <v>55</v>
      </c>
      <c r="BXB54" s="3078"/>
      <c r="BXC54" s="3078"/>
      <c r="BXD54" s="3078"/>
      <c r="BXE54" s="3078"/>
      <c r="BXF54" s="3078"/>
      <c r="BXG54" s="3078"/>
      <c r="BXH54" s="3078"/>
      <c r="BXI54" s="3075" t="s">
        <v>55</v>
      </c>
      <c r="BXJ54" s="3078"/>
      <c r="BXK54" s="3078"/>
      <c r="BXL54" s="3078"/>
      <c r="BXM54" s="3078"/>
      <c r="BXN54" s="3078"/>
      <c r="BXO54" s="3078"/>
      <c r="BXP54" s="3078"/>
      <c r="BXQ54" s="3075" t="s">
        <v>55</v>
      </c>
      <c r="BXR54" s="3078"/>
      <c r="BXS54" s="3078"/>
      <c r="BXT54" s="3078"/>
      <c r="BXU54" s="3078"/>
      <c r="BXV54" s="3078"/>
      <c r="BXW54" s="3078"/>
      <c r="BXX54" s="3078"/>
      <c r="BXY54" s="3075" t="s">
        <v>55</v>
      </c>
      <c r="BXZ54" s="3078"/>
      <c r="BYA54" s="3078"/>
      <c r="BYB54" s="3078"/>
      <c r="BYC54" s="3078"/>
      <c r="BYD54" s="3078"/>
      <c r="BYE54" s="3078"/>
      <c r="BYF54" s="3078"/>
      <c r="BYG54" s="3075" t="s">
        <v>55</v>
      </c>
      <c r="BYH54" s="3078"/>
      <c r="BYI54" s="3078"/>
      <c r="BYJ54" s="3078"/>
      <c r="BYK54" s="3078"/>
      <c r="BYL54" s="3078"/>
      <c r="BYM54" s="3078"/>
      <c r="BYN54" s="3078"/>
      <c r="BYO54" s="3075" t="s">
        <v>55</v>
      </c>
      <c r="BYP54" s="3078"/>
      <c r="BYQ54" s="3078"/>
      <c r="BYR54" s="3078"/>
      <c r="BYS54" s="3078"/>
      <c r="BYT54" s="3078"/>
      <c r="BYU54" s="3078"/>
      <c r="BYV54" s="3078"/>
      <c r="BYW54" s="3075" t="s">
        <v>55</v>
      </c>
      <c r="BYX54" s="3078"/>
      <c r="BYY54" s="3078"/>
      <c r="BYZ54" s="3078"/>
      <c r="BZA54" s="3078"/>
      <c r="BZB54" s="3078"/>
      <c r="BZC54" s="3078"/>
      <c r="BZD54" s="3078"/>
      <c r="BZE54" s="3075" t="s">
        <v>55</v>
      </c>
      <c r="BZF54" s="3078"/>
      <c r="BZG54" s="3078"/>
      <c r="BZH54" s="3078"/>
      <c r="BZI54" s="3078"/>
      <c r="BZJ54" s="3078"/>
      <c r="BZK54" s="3078"/>
      <c r="BZL54" s="3078"/>
      <c r="BZM54" s="3075" t="s">
        <v>55</v>
      </c>
      <c r="BZN54" s="3078"/>
      <c r="BZO54" s="3078"/>
      <c r="BZP54" s="3078"/>
      <c r="BZQ54" s="3078"/>
      <c r="BZR54" s="3078"/>
      <c r="BZS54" s="3078"/>
      <c r="BZT54" s="3078"/>
      <c r="BZU54" s="3075" t="s">
        <v>55</v>
      </c>
      <c r="BZV54" s="3078"/>
      <c r="BZW54" s="3078"/>
      <c r="BZX54" s="3078"/>
      <c r="BZY54" s="3078"/>
      <c r="BZZ54" s="3078"/>
      <c r="CAA54" s="3078"/>
      <c r="CAB54" s="3078"/>
      <c r="CAC54" s="3075" t="s">
        <v>55</v>
      </c>
      <c r="CAD54" s="3078"/>
      <c r="CAE54" s="3078"/>
      <c r="CAF54" s="3078"/>
      <c r="CAG54" s="3078"/>
      <c r="CAH54" s="3078"/>
      <c r="CAI54" s="3078"/>
      <c r="CAJ54" s="3078"/>
      <c r="CAK54" s="3075" t="s">
        <v>55</v>
      </c>
      <c r="CAL54" s="3078"/>
      <c r="CAM54" s="3078"/>
      <c r="CAN54" s="3078"/>
      <c r="CAO54" s="3078"/>
      <c r="CAP54" s="3078"/>
      <c r="CAQ54" s="3078"/>
      <c r="CAR54" s="3078"/>
      <c r="CAS54" s="3075" t="s">
        <v>55</v>
      </c>
      <c r="CAT54" s="3078"/>
      <c r="CAU54" s="3078"/>
      <c r="CAV54" s="3078"/>
      <c r="CAW54" s="3078"/>
      <c r="CAX54" s="3078"/>
      <c r="CAY54" s="3078"/>
      <c r="CAZ54" s="3078"/>
      <c r="CBA54" s="3075" t="s">
        <v>55</v>
      </c>
      <c r="CBB54" s="3078"/>
      <c r="CBC54" s="3078"/>
      <c r="CBD54" s="3078"/>
      <c r="CBE54" s="3078"/>
      <c r="CBF54" s="3078"/>
      <c r="CBG54" s="3078"/>
      <c r="CBH54" s="3078"/>
      <c r="CBI54" s="3075" t="s">
        <v>55</v>
      </c>
      <c r="CBJ54" s="3078"/>
      <c r="CBK54" s="3078"/>
      <c r="CBL54" s="3078"/>
      <c r="CBM54" s="3078"/>
      <c r="CBN54" s="3078"/>
      <c r="CBO54" s="3078"/>
      <c r="CBP54" s="3078"/>
      <c r="CBQ54" s="3075" t="s">
        <v>55</v>
      </c>
      <c r="CBR54" s="3078"/>
      <c r="CBS54" s="3078"/>
      <c r="CBT54" s="3078"/>
      <c r="CBU54" s="3078"/>
      <c r="CBV54" s="3078"/>
      <c r="CBW54" s="3078"/>
      <c r="CBX54" s="3078"/>
      <c r="CBY54" s="3075" t="s">
        <v>55</v>
      </c>
      <c r="CBZ54" s="3078"/>
      <c r="CCA54" s="3078"/>
      <c r="CCB54" s="3078"/>
      <c r="CCC54" s="3078"/>
      <c r="CCD54" s="3078"/>
      <c r="CCE54" s="3078"/>
      <c r="CCF54" s="3078"/>
      <c r="CCG54" s="3075" t="s">
        <v>55</v>
      </c>
      <c r="CCH54" s="3078"/>
      <c r="CCI54" s="3078"/>
      <c r="CCJ54" s="3078"/>
      <c r="CCK54" s="3078"/>
      <c r="CCL54" s="3078"/>
      <c r="CCM54" s="3078"/>
      <c r="CCN54" s="3078"/>
      <c r="CCO54" s="3075" t="s">
        <v>55</v>
      </c>
      <c r="CCP54" s="3078"/>
      <c r="CCQ54" s="3078"/>
      <c r="CCR54" s="3078"/>
      <c r="CCS54" s="3078"/>
      <c r="CCT54" s="3078"/>
      <c r="CCU54" s="3078"/>
      <c r="CCV54" s="3078"/>
      <c r="CCW54" s="3075" t="s">
        <v>55</v>
      </c>
      <c r="CCX54" s="3078"/>
      <c r="CCY54" s="3078"/>
      <c r="CCZ54" s="3078"/>
      <c r="CDA54" s="3078"/>
      <c r="CDB54" s="3078"/>
      <c r="CDC54" s="3078"/>
      <c r="CDD54" s="3078"/>
      <c r="CDE54" s="3075" t="s">
        <v>55</v>
      </c>
      <c r="CDF54" s="3078"/>
      <c r="CDG54" s="3078"/>
      <c r="CDH54" s="3078"/>
      <c r="CDI54" s="3078"/>
      <c r="CDJ54" s="3078"/>
      <c r="CDK54" s="3078"/>
      <c r="CDL54" s="3078"/>
      <c r="CDM54" s="3075" t="s">
        <v>55</v>
      </c>
      <c r="CDN54" s="3078"/>
      <c r="CDO54" s="3078"/>
      <c r="CDP54" s="3078"/>
      <c r="CDQ54" s="3078"/>
      <c r="CDR54" s="3078"/>
      <c r="CDS54" s="3078"/>
      <c r="CDT54" s="3078"/>
      <c r="CDU54" s="3075" t="s">
        <v>55</v>
      </c>
      <c r="CDV54" s="3078"/>
      <c r="CDW54" s="3078"/>
      <c r="CDX54" s="3078"/>
      <c r="CDY54" s="3078"/>
      <c r="CDZ54" s="3078"/>
      <c r="CEA54" s="3078"/>
      <c r="CEB54" s="3078"/>
      <c r="CEC54" s="3075" t="s">
        <v>55</v>
      </c>
      <c r="CED54" s="3078"/>
      <c r="CEE54" s="3078"/>
      <c r="CEF54" s="3078"/>
      <c r="CEG54" s="3078"/>
      <c r="CEH54" s="3078"/>
      <c r="CEI54" s="3078"/>
      <c r="CEJ54" s="3078"/>
      <c r="CEK54" s="3075" t="s">
        <v>55</v>
      </c>
      <c r="CEL54" s="3078"/>
      <c r="CEM54" s="3078"/>
      <c r="CEN54" s="3078"/>
      <c r="CEO54" s="3078"/>
      <c r="CEP54" s="3078"/>
      <c r="CEQ54" s="3078"/>
      <c r="CER54" s="3078"/>
      <c r="CES54" s="3075" t="s">
        <v>55</v>
      </c>
      <c r="CET54" s="3078"/>
      <c r="CEU54" s="3078"/>
      <c r="CEV54" s="3078"/>
      <c r="CEW54" s="3078"/>
      <c r="CEX54" s="3078"/>
      <c r="CEY54" s="3078"/>
      <c r="CEZ54" s="3078"/>
      <c r="CFA54" s="3075" t="s">
        <v>55</v>
      </c>
      <c r="CFB54" s="3078"/>
      <c r="CFC54" s="3078"/>
      <c r="CFD54" s="3078"/>
      <c r="CFE54" s="3078"/>
      <c r="CFF54" s="3078"/>
      <c r="CFG54" s="3078"/>
      <c r="CFH54" s="3078"/>
      <c r="CFI54" s="3075" t="s">
        <v>55</v>
      </c>
      <c r="CFJ54" s="3078"/>
      <c r="CFK54" s="3078"/>
      <c r="CFL54" s="3078"/>
      <c r="CFM54" s="3078"/>
      <c r="CFN54" s="3078"/>
      <c r="CFO54" s="3078"/>
      <c r="CFP54" s="3078"/>
      <c r="CFQ54" s="3075" t="s">
        <v>55</v>
      </c>
      <c r="CFR54" s="3078"/>
      <c r="CFS54" s="3078"/>
      <c r="CFT54" s="3078"/>
      <c r="CFU54" s="3078"/>
      <c r="CFV54" s="3078"/>
      <c r="CFW54" s="3078"/>
      <c r="CFX54" s="3078"/>
      <c r="CFY54" s="3075" t="s">
        <v>55</v>
      </c>
      <c r="CFZ54" s="3078"/>
      <c r="CGA54" s="3078"/>
      <c r="CGB54" s="3078"/>
      <c r="CGC54" s="3078"/>
      <c r="CGD54" s="3078"/>
      <c r="CGE54" s="3078"/>
      <c r="CGF54" s="3078"/>
      <c r="CGG54" s="3075" t="s">
        <v>55</v>
      </c>
      <c r="CGH54" s="3078"/>
      <c r="CGI54" s="3078"/>
      <c r="CGJ54" s="3078"/>
      <c r="CGK54" s="3078"/>
      <c r="CGL54" s="3078"/>
      <c r="CGM54" s="3078"/>
      <c r="CGN54" s="3078"/>
      <c r="CGO54" s="3075" t="s">
        <v>55</v>
      </c>
      <c r="CGP54" s="3078"/>
      <c r="CGQ54" s="3078"/>
      <c r="CGR54" s="3078"/>
      <c r="CGS54" s="3078"/>
      <c r="CGT54" s="3078"/>
      <c r="CGU54" s="3078"/>
      <c r="CGV54" s="3078"/>
      <c r="CGW54" s="3075" t="s">
        <v>55</v>
      </c>
      <c r="CGX54" s="3078"/>
      <c r="CGY54" s="3078"/>
      <c r="CGZ54" s="3078"/>
      <c r="CHA54" s="3078"/>
      <c r="CHB54" s="3078"/>
      <c r="CHC54" s="3078"/>
      <c r="CHD54" s="3078"/>
      <c r="CHE54" s="3075" t="s">
        <v>55</v>
      </c>
      <c r="CHF54" s="3078"/>
      <c r="CHG54" s="3078"/>
      <c r="CHH54" s="3078"/>
      <c r="CHI54" s="3078"/>
      <c r="CHJ54" s="3078"/>
      <c r="CHK54" s="3078"/>
      <c r="CHL54" s="3078"/>
      <c r="CHM54" s="3075" t="s">
        <v>55</v>
      </c>
      <c r="CHN54" s="3078"/>
      <c r="CHO54" s="3078"/>
      <c r="CHP54" s="3078"/>
      <c r="CHQ54" s="3078"/>
      <c r="CHR54" s="3078"/>
      <c r="CHS54" s="3078"/>
      <c r="CHT54" s="3078"/>
      <c r="CHU54" s="3075" t="s">
        <v>55</v>
      </c>
      <c r="CHV54" s="3078"/>
      <c r="CHW54" s="3078"/>
      <c r="CHX54" s="3078"/>
      <c r="CHY54" s="3078"/>
      <c r="CHZ54" s="3078"/>
      <c r="CIA54" s="3078"/>
      <c r="CIB54" s="3078"/>
      <c r="CIC54" s="3075" t="s">
        <v>55</v>
      </c>
      <c r="CID54" s="3078"/>
      <c r="CIE54" s="3078"/>
      <c r="CIF54" s="3078"/>
      <c r="CIG54" s="3078"/>
      <c r="CIH54" s="3078"/>
      <c r="CII54" s="3078"/>
      <c r="CIJ54" s="3078"/>
      <c r="CIK54" s="3075" t="s">
        <v>55</v>
      </c>
      <c r="CIL54" s="3078"/>
      <c r="CIM54" s="3078"/>
      <c r="CIN54" s="3078"/>
      <c r="CIO54" s="3078"/>
      <c r="CIP54" s="3078"/>
      <c r="CIQ54" s="3078"/>
      <c r="CIR54" s="3078"/>
      <c r="CIS54" s="3075" t="s">
        <v>55</v>
      </c>
      <c r="CIT54" s="3078"/>
      <c r="CIU54" s="3078"/>
      <c r="CIV54" s="3078"/>
      <c r="CIW54" s="3078"/>
      <c r="CIX54" s="3078"/>
      <c r="CIY54" s="3078"/>
      <c r="CIZ54" s="3078"/>
      <c r="CJA54" s="3075" t="s">
        <v>55</v>
      </c>
      <c r="CJB54" s="3078"/>
      <c r="CJC54" s="3078"/>
      <c r="CJD54" s="3078"/>
      <c r="CJE54" s="3078"/>
      <c r="CJF54" s="3078"/>
      <c r="CJG54" s="3078"/>
      <c r="CJH54" s="3078"/>
      <c r="CJI54" s="3075" t="s">
        <v>55</v>
      </c>
      <c r="CJJ54" s="3078"/>
      <c r="CJK54" s="3078"/>
      <c r="CJL54" s="3078"/>
      <c r="CJM54" s="3078"/>
      <c r="CJN54" s="3078"/>
      <c r="CJO54" s="3078"/>
      <c r="CJP54" s="3078"/>
      <c r="CJQ54" s="3075" t="s">
        <v>55</v>
      </c>
      <c r="CJR54" s="3078"/>
      <c r="CJS54" s="3078"/>
      <c r="CJT54" s="3078"/>
      <c r="CJU54" s="3078"/>
      <c r="CJV54" s="3078"/>
      <c r="CJW54" s="3078"/>
      <c r="CJX54" s="3078"/>
      <c r="CJY54" s="3075" t="s">
        <v>55</v>
      </c>
      <c r="CJZ54" s="3078"/>
      <c r="CKA54" s="3078"/>
      <c r="CKB54" s="3078"/>
      <c r="CKC54" s="3078"/>
      <c r="CKD54" s="3078"/>
      <c r="CKE54" s="3078"/>
      <c r="CKF54" s="3078"/>
      <c r="CKG54" s="3075" t="s">
        <v>55</v>
      </c>
      <c r="CKH54" s="3078"/>
      <c r="CKI54" s="3078"/>
      <c r="CKJ54" s="3078"/>
      <c r="CKK54" s="3078"/>
      <c r="CKL54" s="3078"/>
      <c r="CKM54" s="3078"/>
      <c r="CKN54" s="3078"/>
      <c r="CKO54" s="3075" t="s">
        <v>55</v>
      </c>
      <c r="CKP54" s="3078"/>
      <c r="CKQ54" s="3078"/>
      <c r="CKR54" s="3078"/>
      <c r="CKS54" s="3078"/>
      <c r="CKT54" s="3078"/>
      <c r="CKU54" s="3078"/>
      <c r="CKV54" s="3078"/>
      <c r="CKW54" s="3075" t="s">
        <v>55</v>
      </c>
      <c r="CKX54" s="3078"/>
      <c r="CKY54" s="3078"/>
      <c r="CKZ54" s="3078"/>
      <c r="CLA54" s="3078"/>
      <c r="CLB54" s="3078"/>
      <c r="CLC54" s="3078"/>
      <c r="CLD54" s="3078"/>
      <c r="CLE54" s="3075" t="s">
        <v>55</v>
      </c>
      <c r="CLF54" s="3078"/>
      <c r="CLG54" s="3078"/>
      <c r="CLH54" s="3078"/>
      <c r="CLI54" s="3078"/>
      <c r="CLJ54" s="3078"/>
      <c r="CLK54" s="3078"/>
      <c r="CLL54" s="3078"/>
      <c r="CLM54" s="3075" t="s">
        <v>55</v>
      </c>
      <c r="CLN54" s="3078"/>
      <c r="CLO54" s="3078"/>
      <c r="CLP54" s="3078"/>
      <c r="CLQ54" s="3078"/>
      <c r="CLR54" s="3078"/>
      <c r="CLS54" s="3078"/>
      <c r="CLT54" s="3078"/>
      <c r="CLU54" s="3075" t="s">
        <v>55</v>
      </c>
      <c r="CLV54" s="3078"/>
      <c r="CLW54" s="3078"/>
      <c r="CLX54" s="3078"/>
      <c r="CLY54" s="3078"/>
      <c r="CLZ54" s="3078"/>
      <c r="CMA54" s="3078"/>
      <c r="CMB54" s="3078"/>
      <c r="CMC54" s="3075" t="s">
        <v>55</v>
      </c>
      <c r="CMD54" s="3078"/>
      <c r="CME54" s="3078"/>
      <c r="CMF54" s="3078"/>
      <c r="CMG54" s="3078"/>
      <c r="CMH54" s="3078"/>
      <c r="CMI54" s="3078"/>
      <c r="CMJ54" s="3078"/>
      <c r="CMK54" s="3075" t="s">
        <v>55</v>
      </c>
      <c r="CML54" s="3078"/>
      <c r="CMM54" s="3078"/>
      <c r="CMN54" s="3078"/>
      <c r="CMO54" s="3078"/>
      <c r="CMP54" s="3078"/>
      <c r="CMQ54" s="3078"/>
      <c r="CMR54" s="3078"/>
      <c r="CMS54" s="3075" t="s">
        <v>55</v>
      </c>
      <c r="CMT54" s="3078"/>
      <c r="CMU54" s="3078"/>
      <c r="CMV54" s="3078"/>
      <c r="CMW54" s="3078"/>
      <c r="CMX54" s="3078"/>
      <c r="CMY54" s="3078"/>
      <c r="CMZ54" s="3078"/>
      <c r="CNA54" s="3075" t="s">
        <v>55</v>
      </c>
      <c r="CNB54" s="3078"/>
      <c r="CNC54" s="3078"/>
      <c r="CND54" s="3078"/>
      <c r="CNE54" s="3078"/>
      <c r="CNF54" s="3078"/>
      <c r="CNG54" s="3078"/>
      <c r="CNH54" s="3078"/>
      <c r="CNI54" s="3075" t="s">
        <v>55</v>
      </c>
      <c r="CNJ54" s="3078"/>
      <c r="CNK54" s="3078"/>
      <c r="CNL54" s="3078"/>
      <c r="CNM54" s="3078"/>
      <c r="CNN54" s="3078"/>
      <c r="CNO54" s="3078"/>
      <c r="CNP54" s="3078"/>
      <c r="CNQ54" s="3075" t="s">
        <v>55</v>
      </c>
      <c r="CNR54" s="3078"/>
      <c r="CNS54" s="3078"/>
      <c r="CNT54" s="3078"/>
      <c r="CNU54" s="3078"/>
      <c r="CNV54" s="3078"/>
      <c r="CNW54" s="3078"/>
      <c r="CNX54" s="3078"/>
      <c r="CNY54" s="3075" t="s">
        <v>55</v>
      </c>
      <c r="CNZ54" s="3078"/>
      <c r="COA54" s="3078"/>
      <c r="COB54" s="3078"/>
      <c r="COC54" s="3078"/>
      <c r="COD54" s="3078"/>
      <c r="COE54" s="3078"/>
      <c r="COF54" s="3078"/>
      <c r="COG54" s="3075" t="s">
        <v>55</v>
      </c>
      <c r="COH54" s="3078"/>
      <c r="COI54" s="3078"/>
      <c r="COJ54" s="3078"/>
      <c r="COK54" s="3078"/>
      <c r="COL54" s="3078"/>
      <c r="COM54" s="3078"/>
      <c r="CON54" s="3078"/>
      <c r="COO54" s="3075" t="s">
        <v>55</v>
      </c>
      <c r="COP54" s="3078"/>
      <c r="COQ54" s="3078"/>
      <c r="COR54" s="3078"/>
      <c r="COS54" s="3078"/>
      <c r="COT54" s="3078"/>
      <c r="COU54" s="3078"/>
      <c r="COV54" s="3078"/>
      <c r="COW54" s="3075" t="s">
        <v>55</v>
      </c>
      <c r="COX54" s="3078"/>
      <c r="COY54" s="3078"/>
      <c r="COZ54" s="3078"/>
      <c r="CPA54" s="3078"/>
      <c r="CPB54" s="3078"/>
      <c r="CPC54" s="3078"/>
      <c r="CPD54" s="3078"/>
      <c r="CPE54" s="3075" t="s">
        <v>55</v>
      </c>
      <c r="CPF54" s="3078"/>
      <c r="CPG54" s="3078"/>
      <c r="CPH54" s="3078"/>
      <c r="CPI54" s="3078"/>
      <c r="CPJ54" s="3078"/>
      <c r="CPK54" s="3078"/>
      <c r="CPL54" s="3078"/>
      <c r="CPM54" s="3075" t="s">
        <v>55</v>
      </c>
      <c r="CPN54" s="3078"/>
      <c r="CPO54" s="3078"/>
      <c r="CPP54" s="3078"/>
      <c r="CPQ54" s="3078"/>
      <c r="CPR54" s="3078"/>
      <c r="CPS54" s="3078"/>
      <c r="CPT54" s="3078"/>
      <c r="CPU54" s="3075" t="s">
        <v>55</v>
      </c>
      <c r="CPV54" s="3078"/>
      <c r="CPW54" s="3078"/>
      <c r="CPX54" s="3078"/>
      <c r="CPY54" s="3078"/>
      <c r="CPZ54" s="3078"/>
      <c r="CQA54" s="3078"/>
      <c r="CQB54" s="3078"/>
      <c r="CQC54" s="3075" t="s">
        <v>55</v>
      </c>
      <c r="CQD54" s="3078"/>
      <c r="CQE54" s="3078"/>
      <c r="CQF54" s="3078"/>
      <c r="CQG54" s="3078"/>
      <c r="CQH54" s="3078"/>
      <c r="CQI54" s="3078"/>
      <c r="CQJ54" s="3078"/>
      <c r="CQK54" s="3075" t="s">
        <v>55</v>
      </c>
      <c r="CQL54" s="3078"/>
      <c r="CQM54" s="3078"/>
      <c r="CQN54" s="3078"/>
      <c r="CQO54" s="3078"/>
      <c r="CQP54" s="3078"/>
      <c r="CQQ54" s="3078"/>
      <c r="CQR54" s="3078"/>
      <c r="CQS54" s="3075" t="s">
        <v>55</v>
      </c>
      <c r="CQT54" s="3078"/>
      <c r="CQU54" s="3078"/>
      <c r="CQV54" s="3078"/>
      <c r="CQW54" s="3078"/>
      <c r="CQX54" s="3078"/>
      <c r="CQY54" s="3078"/>
      <c r="CQZ54" s="3078"/>
      <c r="CRA54" s="3075" t="s">
        <v>55</v>
      </c>
      <c r="CRB54" s="3078"/>
      <c r="CRC54" s="3078"/>
      <c r="CRD54" s="3078"/>
      <c r="CRE54" s="3078"/>
      <c r="CRF54" s="3078"/>
      <c r="CRG54" s="3078"/>
      <c r="CRH54" s="3078"/>
      <c r="CRI54" s="3075" t="s">
        <v>55</v>
      </c>
      <c r="CRJ54" s="3078"/>
      <c r="CRK54" s="3078"/>
      <c r="CRL54" s="3078"/>
      <c r="CRM54" s="3078"/>
      <c r="CRN54" s="3078"/>
      <c r="CRO54" s="3078"/>
      <c r="CRP54" s="3078"/>
      <c r="CRQ54" s="3075" t="s">
        <v>55</v>
      </c>
      <c r="CRR54" s="3078"/>
      <c r="CRS54" s="3078"/>
      <c r="CRT54" s="3078"/>
      <c r="CRU54" s="3078"/>
      <c r="CRV54" s="3078"/>
      <c r="CRW54" s="3078"/>
      <c r="CRX54" s="3078"/>
      <c r="CRY54" s="3075" t="s">
        <v>55</v>
      </c>
      <c r="CRZ54" s="3078"/>
      <c r="CSA54" s="3078"/>
      <c r="CSB54" s="3078"/>
      <c r="CSC54" s="3078"/>
      <c r="CSD54" s="3078"/>
      <c r="CSE54" s="3078"/>
      <c r="CSF54" s="3078"/>
      <c r="CSG54" s="3075" t="s">
        <v>55</v>
      </c>
      <c r="CSH54" s="3078"/>
      <c r="CSI54" s="3078"/>
      <c r="CSJ54" s="3078"/>
      <c r="CSK54" s="3078"/>
      <c r="CSL54" s="3078"/>
      <c r="CSM54" s="3078"/>
      <c r="CSN54" s="3078"/>
      <c r="CSO54" s="3075" t="s">
        <v>55</v>
      </c>
      <c r="CSP54" s="3078"/>
      <c r="CSQ54" s="3078"/>
      <c r="CSR54" s="3078"/>
      <c r="CSS54" s="3078"/>
      <c r="CST54" s="3078"/>
      <c r="CSU54" s="3078"/>
      <c r="CSV54" s="3078"/>
      <c r="CSW54" s="3075" t="s">
        <v>55</v>
      </c>
      <c r="CSX54" s="3078"/>
      <c r="CSY54" s="3078"/>
      <c r="CSZ54" s="3078"/>
      <c r="CTA54" s="3078"/>
      <c r="CTB54" s="3078"/>
      <c r="CTC54" s="3078"/>
      <c r="CTD54" s="3078"/>
      <c r="CTE54" s="3075" t="s">
        <v>55</v>
      </c>
      <c r="CTF54" s="3078"/>
      <c r="CTG54" s="3078"/>
      <c r="CTH54" s="3078"/>
      <c r="CTI54" s="3078"/>
      <c r="CTJ54" s="3078"/>
      <c r="CTK54" s="3078"/>
      <c r="CTL54" s="3078"/>
      <c r="CTM54" s="3075" t="s">
        <v>55</v>
      </c>
      <c r="CTN54" s="3078"/>
      <c r="CTO54" s="3078"/>
      <c r="CTP54" s="3078"/>
      <c r="CTQ54" s="3078"/>
      <c r="CTR54" s="3078"/>
      <c r="CTS54" s="3078"/>
      <c r="CTT54" s="3078"/>
      <c r="CTU54" s="3075" t="s">
        <v>55</v>
      </c>
      <c r="CTV54" s="3078"/>
      <c r="CTW54" s="3078"/>
      <c r="CTX54" s="3078"/>
      <c r="CTY54" s="3078"/>
      <c r="CTZ54" s="3078"/>
      <c r="CUA54" s="3078"/>
      <c r="CUB54" s="3078"/>
      <c r="CUC54" s="3075" t="s">
        <v>55</v>
      </c>
      <c r="CUD54" s="3078"/>
      <c r="CUE54" s="3078"/>
      <c r="CUF54" s="3078"/>
      <c r="CUG54" s="3078"/>
      <c r="CUH54" s="3078"/>
      <c r="CUI54" s="3078"/>
      <c r="CUJ54" s="3078"/>
      <c r="CUK54" s="3075" t="s">
        <v>55</v>
      </c>
      <c r="CUL54" s="3078"/>
      <c r="CUM54" s="3078"/>
      <c r="CUN54" s="3078"/>
      <c r="CUO54" s="3078"/>
      <c r="CUP54" s="3078"/>
      <c r="CUQ54" s="3078"/>
      <c r="CUR54" s="3078"/>
      <c r="CUS54" s="3075" t="s">
        <v>55</v>
      </c>
      <c r="CUT54" s="3078"/>
      <c r="CUU54" s="3078"/>
      <c r="CUV54" s="3078"/>
      <c r="CUW54" s="3078"/>
      <c r="CUX54" s="3078"/>
      <c r="CUY54" s="3078"/>
      <c r="CUZ54" s="3078"/>
      <c r="CVA54" s="3075" t="s">
        <v>55</v>
      </c>
      <c r="CVB54" s="3078"/>
      <c r="CVC54" s="3078"/>
      <c r="CVD54" s="3078"/>
      <c r="CVE54" s="3078"/>
      <c r="CVF54" s="3078"/>
      <c r="CVG54" s="3078"/>
      <c r="CVH54" s="3078"/>
      <c r="CVI54" s="3075" t="s">
        <v>55</v>
      </c>
      <c r="CVJ54" s="3078"/>
      <c r="CVK54" s="3078"/>
      <c r="CVL54" s="3078"/>
      <c r="CVM54" s="3078"/>
      <c r="CVN54" s="3078"/>
      <c r="CVO54" s="3078"/>
      <c r="CVP54" s="3078"/>
      <c r="CVQ54" s="3075" t="s">
        <v>55</v>
      </c>
      <c r="CVR54" s="3078"/>
      <c r="CVS54" s="3078"/>
      <c r="CVT54" s="3078"/>
      <c r="CVU54" s="3078"/>
      <c r="CVV54" s="3078"/>
      <c r="CVW54" s="3078"/>
      <c r="CVX54" s="3078"/>
      <c r="CVY54" s="3075" t="s">
        <v>55</v>
      </c>
      <c r="CVZ54" s="3078"/>
      <c r="CWA54" s="3078"/>
      <c r="CWB54" s="3078"/>
      <c r="CWC54" s="3078"/>
      <c r="CWD54" s="3078"/>
      <c r="CWE54" s="3078"/>
      <c r="CWF54" s="3078"/>
      <c r="CWG54" s="3075" t="s">
        <v>55</v>
      </c>
      <c r="CWH54" s="3078"/>
      <c r="CWI54" s="3078"/>
      <c r="CWJ54" s="3078"/>
      <c r="CWK54" s="3078"/>
      <c r="CWL54" s="3078"/>
      <c r="CWM54" s="3078"/>
      <c r="CWN54" s="3078"/>
      <c r="CWO54" s="3075" t="s">
        <v>55</v>
      </c>
      <c r="CWP54" s="3078"/>
      <c r="CWQ54" s="3078"/>
      <c r="CWR54" s="3078"/>
      <c r="CWS54" s="3078"/>
      <c r="CWT54" s="3078"/>
      <c r="CWU54" s="3078"/>
      <c r="CWV54" s="3078"/>
      <c r="CWW54" s="3075" t="s">
        <v>55</v>
      </c>
      <c r="CWX54" s="3078"/>
      <c r="CWY54" s="3078"/>
      <c r="CWZ54" s="3078"/>
      <c r="CXA54" s="3078"/>
      <c r="CXB54" s="3078"/>
      <c r="CXC54" s="3078"/>
      <c r="CXD54" s="3078"/>
      <c r="CXE54" s="3075" t="s">
        <v>55</v>
      </c>
      <c r="CXF54" s="3078"/>
      <c r="CXG54" s="3078"/>
      <c r="CXH54" s="3078"/>
      <c r="CXI54" s="3078"/>
      <c r="CXJ54" s="3078"/>
      <c r="CXK54" s="3078"/>
      <c r="CXL54" s="3078"/>
      <c r="CXM54" s="3075" t="s">
        <v>55</v>
      </c>
      <c r="CXN54" s="3078"/>
      <c r="CXO54" s="3078"/>
      <c r="CXP54" s="3078"/>
      <c r="CXQ54" s="3078"/>
      <c r="CXR54" s="3078"/>
      <c r="CXS54" s="3078"/>
      <c r="CXT54" s="3078"/>
      <c r="CXU54" s="3075" t="s">
        <v>55</v>
      </c>
      <c r="CXV54" s="3078"/>
      <c r="CXW54" s="3078"/>
      <c r="CXX54" s="3078"/>
      <c r="CXY54" s="3078"/>
      <c r="CXZ54" s="3078"/>
      <c r="CYA54" s="3078"/>
      <c r="CYB54" s="3078"/>
      <c r="CYC54" s="3075" t="s">
        <v>55</v>
      </c>
      <c r="CYD54" s="3078"/>
      <c r="CYE54" s="3078"/>
      <c r="CYF54" s="3078"/>
      <c r="CYG54" s="3078"/>
      <c r="CYH54" s="3078"/>
      <c r="CYI54" s="3078"/>
      <c r="CYJ54" s="3078"/>
      <c r="CYK54" s="3075" t="s">
        <v>55</v>
      </c>
      <c r="CYL54" s="3078"/>
      <c r="CYM54" s="3078"/>
      <c r="CYN54" s="3078"/>
      <c r="CYO54" s="3078"/>
      <c r="CYP54" s="3078"/>
      <c r="CYQ54" s="3078"/>
      <c r="CYR54" s="3078"/>
      <c r="CYS54" s="3075" t="s">
        <v>55</v>
      </c>
      <c r="CYT54" s="3078"/>
      <c r="CYU54" s="3078"/>
      <c r="CYV54" s="3078"/>
      <c r="CYW54" s="3078"/>
      <c r="CYX54" s="3078"/>
      <c r="CYY54" s="3078"/>
      <c r="CYZ54" s="3078"/>
      <c r="CZA54" s="3075" t="s">
        <v>55</v>
      </c>
      <c r="CZB54" s="3078"/>
      <c r="CZC54" s="3078"/>
      <c r="CZD54" s="3078"/>
      <c r="CZE54" s="3078"/>
      <c r="CZF54" s="3078"/>
      <c r="CZG54" s="3078"/>
      <c r="CZH54" s="3078"/>
      <c r="CZI54" s="3075" t="s">
        <v>55</v>
      </c>
      <c r="CZJ54" s="3078"/>
      <c r="CZK54" s="3078"/>
      <c r="CZL54" s="3078"/>
      <c r="CZM54" s="3078"/>
      <c r="CZN54" s="3078"/>
      <c r="CZO54" s="3078"/>
      <c r="CZP54" s="3078"/>
      <c r="CZQ54" s="3075" t="s">
        <v>55</v>
      </c>
      <c r="CZR54" s="3078"/>
      <c r="CZS54" s="3078"/>
      <c r="CZT54" s="3078"/>
      <c r="CZU54" s="3078"/>
      <c r="CZV54" s="3078"/>
      <c r="CZW54" s="3078"/>
      <c r="CZX54" s="3078"/>
      <c r="CZY54" s="3075" t="s">
        <v>55</v>
      </c>
      <c r="CZZ54" s="3078"/>
      <c r="DAA54" s="3078"/>
      <c r="DAB54" s="3078"/>
      <c r="DAC54" s="3078"/>
      <c r="DAD54" s="3078"/>
      <c r="DAE54" s="3078"/>
      <c r="DAF54" s="3078"/>
      <c r="DAG54" s="3075" t="s">
        <v>55</v>
      </c>
      <c r="DAH54" s="3078"/>
      <c r="DAI54" s="3078"/>
      <c r="DAJ54" s="3078"/>
      <c r="DAK54" s="3078"/>
      <c r="DAL54" s="3078"/>
      <c r="DAM54" s="3078"/>
      <c r="DAN54" s="3078"/>
      <c r="DAO54" s="3075" t="s">
        <v>55</v>
      </c>
      <c r="DAP54" s="3078"/>
      <c r="DAQ54" s="3078"/>
      <c r="DAR54" s="3078"/>
      <c r="DAS54" s="3078"/>
      <c r="DAT54" s="3078"/>
      <c r="DAU54" s="3078"/>
      <c r="DAV54" s="3078"/>
      <c r="DAW54" s="3075" t="s">
        <v>55</v>
      </c>
      <c r="DAX54" s="3078"/>
      <c r="DAY54" s="3078"/>
      <c r="DAZ54" s="3078"/>
      <c r="DBA54" s="3078"/>
      <c r="DBB54" s="3078"/>
      <c r="DBC54" s="3078"/>
      <c r="DBD54" s="3078"/>
      <c r="DBE54" s="3075" t="s">
        <v>55</v>
      </c>
      <c r="DBF54" s="3078"/>
      <c r="DBG54" s="3078"/>
      <c r="DBH54" s="3078"/>
      <c r="DBI54" s="3078"/>
      <c r="DBJ54" s="3078"/>
      <c r="DBK54" s="3078"/>
      <c r="DBL54" s="3078"/>
      <c r="DBM54" s="3075" t="s">
        <v>55</v>
      </c>
      <c r="DBN54" s="3078"/>
      <c r="DBO54" s="3078"/>
      <c r="DBP54" s="3078"/>
      <c r="DBQ54" s="3078"/>
      <c r="DBR54" s="3078"/>
      <c r="DBS54" s="3078"/>
      <c r="DBT54" s="3078"/>
      <c r="DBU54" s="3075" t="s">
        <v>55</v>
      </c>
      <c r="DBV54" s="3078"/>
      <c r="DBW54" s="3078"/>
      <c r="DBX54" s="3078"/>
      <c r="DBY54" s="3078"/>
      <c r="DBZ54" s="3078"/>
      <c r="DCA54" s="3078"/>
      <c r="DCB54" s="3078"/>
      <c r="DCC54" s="3075" t="s">
        <v>55</v>
      </c>
      <c r="DCD54" s="3078"/>
      <c r="DCE54" s="3078"/>
      <c r="DCF54" s="3078"/>
      <c r="DCG54" s="3078"/>
      <c r="DCH54" s="3078"/>
      <c r="DCI54" s="3078"/>
      <c r="DCJ54" s="3078"/>
      <c r="DCK54" s="3075" t="s">
        <v>55</v>
      </c>
      <c r="DCL54" s="3078"/>
      <c r="DCM54" s="3078"/>
      <c r="DCN54" s="3078"/>
      <c r="DCO54" s="3078"/>
      <c r="DCP54" s="3078"/>
      <c r="DCQ54" s="3078"/>
      <c r="DCR54" s="3078"/>
      <c r="DCS54" s="3075" t="s">
        <v>55</v>
      </c>
      <c r="DCT54" s="3078"/>
      <c r="DCU54" s="3078"/>
      <c r="DCV54" s="3078"/>
      <c r="DCW54" s="3078"/>
      <c r="DCX54" s="3078"/>
      <c r="DCY54" s="3078"/>
      <c r="DCZ54" s="3078"/>
      <c r="DDA54" s="3075" t="s">
        <v>55</v>
      </c>
      <c r="DDB54" s="3078"/>
      <c r="DDC54" s="3078"/>
      <c r="DDD54" s="3078"/>
      <c r="DDE54" s="3078"/>
      <c r="DDF54" s="3078"/>
      <c r="DDG54" s="3078"/>
      <c r="DDH54" s="3078"/>
      <c r="DDI54" s="3075" t="s">
        <v>55</v>
      </c>
      <c r="DDJ54" s="3078"/>
      <c r="DDK54" s="3078"/>
      <c r="DDL54" s="3078"/>
      <c r="DDM54" s="3078"/>
      <c r="DDN54" s="3078"/>
      <c r="DDO54" s="3078"/>
      <c r="DDP54" s="3078"/>
      <c r="DDQ54" s="3075" t="s">
        <v>55</v>
      </c>
      <c r="DDR54" s="3078"/>
      <c r="DDS54" s="3078"/>
      <c r="DDT54" s="3078"/>
      <c r="DDU54" s="3078"/>
      <c r="DDV54" s="3078"/>
      <c r="DDW54" s="3078"/>
      <c r="DDX54" s="3078"/>
      <c r="DDY54" s="3075" t="s">
        <v>55</v>
      </c>
      <c r="DDZ54" s="3078"/>
      <c r="DEA54" s="3078"/>
      <c r="DEB54" s="3078"/>
      <c r="DEC54" s="3078"/>
      <c r="DED54" s="3078"/>
      <c r="DEE54" s="3078"/>
      <c r="DEF54" s="3078"/>
      <c r="DEG54" s="3075" t="s">
        <v>55</v>
      </c>
      <c r="DEH54" s="3078"/>
      <c r="DEI54" s="3078"/>
      <c r="DEJ54" s="3078"/>
      <c r="DEK54" s="3078"/>
      <c r="DEL54" s="3078"/>
      <c r="DEM54" s="3078"/>
      <c r="DEN54" s="3078"/>
      <c r="DEO54" s="3075" t="s">
        <v>55</v>
      </c>
      <c r="DEP54" s="3078"/>
      <c r="DEQ54" s="3078"/>
      <c r="DER54" s="3078"/>
      <c r="DES54" s="3078"/>
      <c r="DET54" s="3078"/>
      <c r="DEU54" s="3078"/>
      <c r="DEV54" s="3078"/>
      <c r="DEW54" s="3075" t="s">
        <v>55</v>
      </c>
      <c r="DEX54" s="3078"/>
      <c r="DEY54" s="3078"/>
      <c r="DEZ54" s="3078"/>
      <c r="DFA54" s="3078"/>
      <c r="DFB54" s="3078"/>
      <c r="DFC54" s="3078"/>
      <c r="DFD54" s="3078"/>
      <c r="DFE54" s="3075" t="s">
        <v>55</v>
      </c>
      <c r="DFF54" s="3078"/>
      <c r="DFG54" s="3078"/>
      <c r="DFH54" s="3078"/>
      <c r="DFI54" s="3078"/>
      <c r="DFJ54" s="3078"/>
      <c r="DFK54" s="3078"/>
      <c r="DFL54" s="3078"/>
      <c r="DFM54" s="3075" t="s">
        <v>55</v>
      </c>
      <c r="DFN54" s="3078"/>
      <c r="DFO54" s="3078"/>
      <c r="DFP54" s="3078"/>
      <c r="DFQ54" s="3078"/>
      <c r="DFR54" s="3078"/>
      <c r="DFS54" s="3078"/>
      <c r="DFT54" s="3078"/>
      <c r="DFU54" s="3075" t="s">
        <v>55</v>
      </c>
      <c r="DFV54" s="3078"/>
      <c r="DFW54" s="3078"/>
      <c r="DFX54" s="3078"/>
      <c r="DFY54" s="3078"/>
      <c r="DFZ54" s="3078"/>
      <c r="DGA54" s="3078"/>
      <c r="DGB54" s="3078"/>
      <c r="DGC54" s="3075" t="s">
        <v>55</v>
      </c>
      <c r="DGD54" s="3078"/>
      <c r="DGE54" s="3078"/>
      <c r="DGF54" s="3078"/>
      <c r="DGG54" s="3078"/>
      <c r="DGH54" s="3078"/>
      <c r="DGI54" s="3078"/>
      <c r="DGJ54" s="3078"/>
      <c r="DGK54" s="3075" t="s">
        <v>55</v>
      </c>
      <c r="DGL54" s="3078"/>
      <c r="DGM54" s="3078"/>
      <c r="DGN54" s="3078"/>
      <c r="DGO54" s="3078"/>
      <c r="DGP54" s="3078"/>
      <c r="DGQ54" s="3078"/>
      <c r="DGR54" s="3078"/>
      <c r="DGS54" s="3075" t="s">
        <v>55</v>
      </c>
      <c r="DGT54" s="3078"/>
      <c r="DGU54" s="3078"/>
      <c r="DGV54" s="3078"/>
      <c r="DGW54" s="3078"/>
      <c r="DGX54" s="3078"/>
      <c r="DGY54" s="3078"/>
      <c r="DGZ54" s="3078"/>
      <c r="DHA54" s="3075" t="s">
        <v>55</v>
      </c>
      <c r="DHB54" s="3078"/>
      <c r="DHC54" s="3078"/>
      <c r="DHD54" s="3078"/>
      <c r="DHE54" s="3078"/>
      <c r="DHF54" s="3078"/>
      <c r="DHG54" s="3078"/>
      <c r="DHH54" s="3078"/>
      <c r="DHI54" s="3075" t="s">
        <v>55</v>
      </c>
      <c r="DHJ54" s="3078"/>
      <c r="DHK54" s="3078"/>
      <c r="DHL54" s="3078"/>
      <c r="DHM54" s="3078"/>
      <c r="DHN54" s="3078"/>
      <c r="DHO54" s="3078"/>
      <c r="DHP54" s="3078"/>
      <c r="DHQ54" s="3075" t="s">
        <v>55</v>
      </c>
      <c r="DHR54" s="3078"/>
      <c r="DHS54" s="3078"/>
      <c r="DHT54" s="3078"/>
      <c r="DHU54" s="3078"/>
      <c r="DHV54" s="3078"/>
      <c r="DHW54" s="3078"/>
      <c r="DHX54" s="3078"/>
      <c r="DHY54" s="3075" t="s">
        <v>55</v>
      </c>
      <c r="DHZ54" s="3078"/>
      <c r="DIA54" s="3078"/>
      <c r="DIB54" s="3078"/>
      <c r="DIC54" s="3078"/>
      <c r="DID54" s="3078"/>
      <c r="DIE54" s="3078"/>
      <c r="DIF54" s="3078"/>
      <c r="DIG54" s="3075" t="s">
        <v>55</v>
      </c>
      <c r="DIH54" s="3078"/>
      <c r="DII54" s="3078"/>
      <c r="DIJ54" s="3078"/>
      <c r="DIK54" s="3078"/>
      <c r="DIL54" s="3078"/>
      <c r="DIM54" s="3078"/>
      <c r="DIN54" s="3078"/>
      <c r="DIO54" s="3075" t="s">
        <v>55</v>
      </c>
      <c r="DIP54" s="3078"/>
      <c r="DIQ54" s="3078"/>
      <c r="DIR54" s="3078"/>
      <c r="DIS54" s="3078"/>
      <c r="DIT54" s="3078"/>
      <c r="DIU54" s="3078"/>
      <c r="DIV54" s="3078"/>
      <c r="DIW54" s="3075" t="s">
        <v>55</v>
      </c>
      <c r="DIX54" s="3078"/>
      <c r="DIY54" s="3078"/>
      <c r="DIZ54" s="3078"/>
      <c r="DJA54" s="3078"/>
      <c r="DJB54" s="3078"/>
      <c r="DJC54" s="3078"/>
      <c r="DJD54" s="3078"/>
      <c r="DJE54" s="3075" t="s">
        <v>55</v>
      </c>
      <c r="DJF54" s="3078"/>
      <c r="DJG54" s="3078"/>
      <c r="DJH54" s="3078"/>
      <c r="DJI54" s="3078"/>
      <c r="DJJ54" s="3078"/>
      <c r="DJK54" s="3078"/>
      <c r="DJL54" s="3078"/>
      <c r="DJM54" s="3075" t="s">
        <v>55</v>
      </c>
      <c r="DJN54" s="3078"/>
      <c r="DJO54" s="3078"/>
      <c r="DJP54" s="3078"/>
      <c r="DJQ54" s="3078"/>
      <c r="DJR54" s="3078"/>
      <c r="DJS54" s="3078"/>
      <c r="DJT54" s="3078"/>
      <c r="DJU54" s="3075" t="s">
        <v>55</v>
      </c>
      <c r="DJV54" s="3078"/>
      <c r="DJW54" s="3078"/>
      <c r="DJX54" s="3078"/>
      <c r="DJY54" s="3078"/>
      <c r="DJZ54" s="3078"/>
      <c r="DKA54" s="3078"/>
      <c r="DKB54" s="3078"/>
      <c r="DKC54" s="3075" t="s">
        <v>55</v>
      </c>
      <c r="DKD54" s="3078"/>
      <c r="DKE54" s="3078"/>
      <c r="DKF54" s="3078"/>
      <c r="DKG54" s="3078"/>
      <c r="DKH54" s="3078"/>
      <c r="DKI54" s="3078"/>
      <c r="DKJ54" s="3078"/>
      <c r="DKK54" s="3075" t="s">
        <v>55</v>
      </c>
      <c r="DKL54" s="3078"/>
      <c r="DKM54" s="3078"/>
      <c r="DKN54" s="3078"/>
      <c r="DKO54" s="3078"/>
      <c r="DKP54" s="3078"/>
      <c r="DKQ54" s="3078"/>
      <c r="DKR54" s="3078"/>
      <c r="DKS54" s="3075" t="s">
        <v>55</v>
      </c>
      <c r="DKT54" s="3078"/>
      <c r="DKU54" s="3078"/>
      <c r="DKV54" s="3078"/>
      <c r="DKW54" s="3078"/>
      <c r="DKX54" s="3078"/>
      <c r="DKY54" s="3078"/>
      <c r="DKZ54" s="3078"/>
      <c r="DLA54" s="3075" t="s">
        <v>55</v>
      </c>
      <c r="DLB54" s="3078"/>
      <c r="DLC54" s="3078"/>
      <c r="DLD54" s="3078"/>
      <c r="DLE54" s="3078"/>
      <c r="DLF54" s="3078"/>
      <c r="DLG54" s="3078"/>
      <c r="DLH54" s="3078"/>
      <c r="DLI54" s="3075" t="s">
        <v>55</v>
      </c>
      <c r="DLJ54" s="3078"/>
      <c r="DLK54" s="3078"/>
      <c r="DLL54" s="3078"/>
      <c r="DLM54" s="3078"/>
      <c r="DLN54" s="3078"/>
      <c r="DLO54" s="3078"/>
      <c r="DLP54" s="3078"/>
      <c r="DLQ54" s="3075" t="s">
        <v>55</v>
      </c>
      <c r="DLR54" s="3078"/>
      <c r="DLS54" s="3078"/>
      <c r="DLT54" s="3078"/>
      <c r="DLU54" s="3078"/>
      <c r="DLV54" s="3078"/>
      <c r="DLW54" s="3078"/>
      <c r="DLX54" s="3078"/>
      <c r="DLY54" s="3075" t="s">
        <v>55</v>
      </c>
      <c r="DLZ54" s="3078"/>
      <c r="DMA54" s="3078"/>
      <c r="DMB54" s="3078"/>
      <c r="DMC54" s="3078"/>
      <c r="DMD54" s="3078"/>
      <c r="DME54" s="3078"/>
      <c r="DMF54" s="3078"/>
      <c r="DMG54" s="3075" t="s">
        <v>55</v>
      </c>
      <c r="DMH54" s="3078"/>
      <c r="DMI54" s="3078"/>
      <c r="DMJ54" s="3078"/>
      <c r="DMK54" s="3078"/>
      <c r="DML54" s="3078"/>
      <c r="DMM54" s="3078"/>
      <c r="DMN54" s="3078"/>
      <c r="DMO54" s="3075" t="s">
        <v>55</v>
      </c>
      <c r="DMP54" s="3078"/>
      <c r="DMQ54" s="3078"/>
      <c r="DMR54" s="3078"/>
      <c r="DMS54" s="3078"/>
      <c r="DMT54" s="3078"/>
      <c r="DMU54" s="3078"/>
      <c r="DMV54" s="3078"/>
      <c r="DMW54" s="3075" t="s">
        <v>55</v>
      </c>
      <c r="DMX54" s="3078"/>
      <c r="DMY54" s="3078"/>
      <c r="DMZ54" s="3078"/>
      <c r="DNA54" s="3078"/>
      <c r="DNB54" s="3078"/>
      <c r="DNC54" s="3078"/>
      <c r="DND54" s="3078"/>
      <c r="DNE54" s="3075" t="s">
        <v>55</v>
      </c>
      <c r="DNF54" s="3078"/>
      <c r="DNG54" s="3078"/>
      <c r="DNH54" s="3078"/>
      <c r="DNI54" s="3078"/>
      <c r="DNJ54" s="3078"/>
      <c r="DNK54" s="3078"/>
      <c r="DNL54" s="3078"/>
      <c r="DNM54" s="3075" t="s">
        <v>55</v>
      </c>
      <c r="DNN54" s="3078"/>
      <c r="DNO54" s="3078"/>
      <c r="DNP54" s="3078"/>
      <c r="DNQ54" s="3078"/>
      <c r="DNR54" s="3078"/>
      <c r="DNS54" s="3078"/>
      <c r="DNT54" s="3078"/>
      <c r="DNU54" s="3075" t="s">
        <v>55</v>
      </c>
      <c r="DNV54" s="3078"/>
      <c r="DNW54" s="3078"/>
      <c r="DNX54" s="3078"/>
      <c r="DNY54" s="3078"/>
      <c r="DNZ54" s="3078"/>
      <c r="DOA54" s="3078"/>
      <c r="DOB54" s="3078"/>
      <c r="DOC54" s="3075" t="s">
        <v>55</v>
      </c>
      <c r="DOD54" s="3078"/>
      <c r="DOE54" s="3078"/>
      <c r="DOF54" s="3078"/>
      <c r="DOG54" s="3078"/>
      <c r="DOH54" s="3078"/>
      <c r="DOI54" s="3078"/>
      <c r="DOJ54" s="3078"/>
      <c r="DOK54" s="3075" t="s">
        <v>55</v>
      </c>
      <c r="DOL54" s="3078"/>
      <c r="DOM54" s="3078"/>
      <c r="DON54" s="3078"/>
      <c r="DOO54" s="3078"/>
      <c r="DOP54" s="3078"/>
      <c r="DOQ54" s="3078"/>
      <c r="DOR54" s="3078"/>
      <c r="DOS54" s="3075" t="s">
        <v>55</v>
      </c>
      <c r="DOT54" s="3078"/>
      <c r="DOU54" s="3078"/>
      <c r="DOV54" s="3078"/>
      <c r="DOW54" s="3078"/>
      <c r="DOX54" s="3078"/>
      <c r="DOY54" s="3078"/>
      <c r="DOZ54" s="3078"/>
      <c r="DPA54" s="3075" t="s">
        <v>55</v>
      </c>
      <c r="DPB54" s="3078"/>
      <c r="DPC54" s="3078"/>
      <c r="DPD54" s="3078"/>
      <c r="DPE54" s="3078"/>
      <c r="DPF54" s="3078"/>
      <c r="DPG54" s="3078"/>
      <c r="DPH54" s="3078"/>
      <c r="DPI54" s="3075" t="s">
        <v>55</v>
      </c>
      <c r="DPJ54" s="3078"/>
      <c r="DPK54" s="3078"/>
      <c r="DPL54" s="3078"/>
      <c r="DPM54" s="3078"/>
      <c r="DPN54" s="3078"/>
      <c r="DPO54" s="3078"/>
      <c r="DPP54" s="3078"/>
      <c r="DPQ54" s="3075" t="s">
        <v>55</v>
      </c>
      <c r="DPR54" s="3078"/>
      <c r="DPS54" s="3078"/>
      <c r="DPT54" s="3078"/>
      <c r="DPU54" s="3078"/>
      <c r="DPV54" s="3078"/>
      <c r="DPW54" s="3078"/>
      <c r="DPX54" s="3078"/>
      <c r="DPY54" s="3075" t="s">
        <v>55</v>
      </c>
      <c r="DPZ54" s="3078"/>
      <c r="DQA54" s="3078"/>
      <c r="DQB54" s="3078"/>
      <c r="DQC54" s="3078"/>
      <c r="DQD54" s="3078"/>
      <c r="DQE54" s="3078"/>
      <c r="DQF54" s="3078"/>
      <c r="DQG54" s="3075" t="s">
        <v>55</v>
      </c>
      <c r="DQH54" s="3078"/>
      <c r="DQI54" s="3078"/>
      <c r="DQJ54" s="3078"/>
      <c r="DQK54" s="3078"/>
      <c r="DQL54" s="3078"/>
      <c r="DQM54" s="3078"/>
      <c r="DQN54" s="3078"/>
      <c r="DQO54" s="3075" t="s">
        <v>55</v>
      </c>
      <c r="DQP54" s="3078"/>
      <c r="DQQ54" s="3078"/>
      <c r="DQR54" s="3078"/>
      <c r="DQS54" s="3078"/>
      <c r="DQT54" s="3078"/>
      <c r="DQU54" s="3078"/>
      <c r="DQV54" s="3078"/>
      <c r="DQW54" s="3075" t="s">
        <v>55</v>
      </c>
      <c r="DQX54" s="3078"/>
      <c r="DQY54" s="3078"/>
      <c r="DQZ54" s="3078"/>
      <c r="DRA54" s="3078"/>
      <c r="DRB54" s="3078"/>
      <c r="DRC54" s="3078"/>
      <c r="DRD54" s="3078"/>
      <c r="DRE54" s="3075" t="s">
        <v>55</v>
      </c>
      <c r="DRF54" s="3078"/>
      <c r="DRG54" s="3078"/>
      <c r="DRH54" s="3078"/>
      <c r="DRI54" s="3078"/>
      <c r="DRJ54" s="3078"/>
      <c r="DRK54" s="3078"/>
      <c r="DRL54" s="3078"/>
      <c r="DRM54" s="3075" t="s">
        <v>55</v>
      </c>
      <c r="DRN54" s="3078"/>
      <c r="DRO54" s="3078"/>
      <c r="DRP54" s="3078"/>
      <c r="DRQ54" s="3078"/>
      <c r="DRR54" s="3078"/>
      <c r="DRS54" s="3078"/>
      <c r="DRT54" s="3078"/>
      <c r="DRU54" s="3075" t="s">
        <v>55</v>
      </c>
      <c r="DRV54" s="3078"/>
      <c r="DRW54" s="3078"/>
      <c r="DRX54" s="3078"/>
      <c r="DRY54" s="3078"/>
      <c r="DRZ54" s="3078"/>
      <c r="DSA54" s="3078"/>
      <c r="DSB54" s="3078"/>
      <c r="DSC54" s="3075" t="s">
        <v>55</v>
      </c>
      <c r="DSD54" s="3078"/>
      <c r="DSE54" s="3078"/>
      <c r="DSF54" s="3078"/>
      <c r="DSG54" s="3078"/>
      <c r="DSH54" s="3078"/>
      <c r="DSI54" s="3078"/>
      <c r="DSJ54" s="3078"/>
      <c r="DSK54" s="3075" t="s">
        <v>55</v>
      </c>
      <c r="DSL54" s="3078"/>
      <c r="DSM54" s="3078"/>
      <c r="DSN54" s="3078"/>
      <c r="DSO54" s="3078"/>
      <c r="DSP54" s="3078"/>
      <c r="DSQ54" s="3078"/>
      <c r="DSR54" s="3078"/>
      <c r="DSS54" s="3075" t="s">
        <v>55</v>
      </c>
      <c r="DST54" s="3078"/>
      <c r="DSU54" s="3078"/>
      <c r="DSV54" s="3078"/>
      <c r="DSW54" s="3078"/>
      <c r="DSX54" s="3078"/>
      <c r="DSY54" s="3078"/>
      <c r="DSZ54" s="3078"/>
      <c r="DTA54" s="3075" t="s">
        <v>55</v>
      </c>
      <c r="DTB54" s="3078"/>
      <c r="DTC54" s="3078"/>
      <c r="DTD54" s="3078"/>
      <c r="DTE54" s="3078"/>
      <c r="DTF54" s="3078"/>
      <c r="DTG54" s="3078"/>
      <c r="DTH54" s="3078"/>
      <c r="DTI54" s="3075" t="s">
        <v>55</v>
      </c>
      <c r="DTJ54" s="3078"/>
      <c r="DTK54" s="3078"/>
      <c r="DTL54" s="3078"/>
      <c r="DTM54" s="3078"/>
      <c r="DTN54" s="3078"/>
      <c r="DTO54" s="3078"/>
      <c r="DTP54" s="3078"/>
      <c r="DTQ54" s="3075" t="s">
        <v>55</v>
      </c>
      <c r="DTR54" s="3078"/>
      <c r="DTS54" s="3078"/>
      <c r="DTT54" s="3078"/>
      <c r="DTU54" s="3078"/>
      <c r="DTV54" s="3078"/>
      <c r="DTW54" s="3078"/>
      <c r="DTX54" s="3078"/>
      <c r="DTY54" s="3075" t="s">
        <v>55</v>
      </c>
      <c r="DTZ54" s="3078"/>
      <c r="DUA54" s="3078"/>
      <c r="DUB54" s="3078"/>
      <c r="DUC54" s="3078"/>
      <c r="DUD54" s="3078"/>
      <c r="DUE54" s="3078"/>
      <c r="DUF54" s="3078"/>
      <c r="DUG54" s="3075" t="s">
        <v>55</v>
      </c>
      <c r="DUH54" s="3078"/>
      <c r="DUI54" s="3078"/>
      <c r="DUJ54" s="3078"/>
      <c r="DUK54" s="3078"/>
      <c r="DUL54" s="3078"/>
      <c r="DUM54" s="3078"/>
      <c r="DUN54" s="3078"/>
      <c r="DUO54" s="3075" t="s">
        <v>55</v>
      </c>
      <c r="DUP54" s="3078"/>
      <c r="DUQ54" s="3078"/>
      <c r="DUR54" s="3078"/>
      <c r="DUS54" s="3078"/>
      <c r="DUT54" s="3078"/>
      <c r="DUU54" s="3078"/>
      <c r="DUV54" s="3078"/>
      <c r="DUW54" s="3075" t="s">
        <v>55</v>
      </c>
      <c r="DUX54" s="3078"/>
      <c r="DUY54" s="3078"/>
      <c r="DUZ54" s="3078"/>
      <c r="DVA54" s="3078"/>
      <c r="DVB54" s="3078"/>
      <c r="DVC54" s="3078"/>
      <c r="DVD54" s="3078"/>
      <c r="DVE54" s="3075" t="s">
        <v>55</v>
      </c>
      <c r="DVF54" s="3078"/>
      <c r="DVG54" s="3078"/>
      <c r="DVH54" s="3078"/>
      <c r="DVI54" s="3078"/>
      <c r="DVJ54" s="3078"/>
      <c r="DVK54" s="3078"/>
      <c r="DVL54" s="3078"/>
      <c r="DVM54" s="3075" t="s">
        <v>55</v>
      </c>
      <c r="DVN54" s="3078"/>
      <c r="DVO54" s="3078"/>
      <c r="DVP54" s="3078"/>
      <c r="DVQ54" s="3078"/>
      <c r="DVR54" s="3078"/>
      <c r="DVS54" s="3078"/>
      <c r="DVT54" s="3078"/>
      <c r="DVU54" s="3075" t="s">
        <v>55</v>
      </c>
      <c r="DVV54" s="3078"/>
      <c r="DVW54" s="3078"/>
      <c r="DVX54" s="3078"/>
      <c r="DVY54" s="3078"/>
      <c r="DVZ54" s="3078"/>
      <c r="DWA54" s="3078"/>
      <c r="DWB54" s="3078"/>
      <c r="DWC54" s="3075" t="s">
        <v>55</v>
      </c>
      <c r="DWD54" s="3078"/>
      <c r="DWE54" s="3078"/>
      <c r="DWF54" s="3078"/>
      <c r="DWG54" s="3078"/>
      <c r="DWH54" s="3078"/>
      <c r="DWI54" s="3078"/>
      <c r="DWJ54" s="3078"/>
      <c r="DWK54" s="3075" t="s">
        <v>55</v>
      </c>
      <c r="DWL54" s="3078"/>
      <c r="DWM54" s="3078"/>
      <c r="DWN54" s="3078"/>
      <c r="DWO54" s="3078"/>
      <c r="DWP54" s="3078"/>
      <c r="DWQ54" s="3078"/>
      <c r="DWR54" s="3078"/>
      <c r="DWS54" s="3075" t="s">
        <v>55</v>
      </c>
      <c r="DWT54" s="3078"/>
      <c r="DWU54" s="3078"/>
      <c r="DWV54" s="3078"/>
      <c r="DWW54" s="3078"/>
      <c r="DWX54" s="3078"/>
      <c r="DWY54" s="3078"/>
      <c r="DWZ54" s="3078"/>
      <c r="DXA54" s="3075" t="s">
        <v>55</v>
      </c>
      <c r="DXB54" s="3078"/>
      <c r="DXC54" s="3078"/>
      <c r="DXD54" s="3078"/>
      <c r="DXE54" s="3078"/>
      <c r="DXF54" s="3078"/>
      <c r="DXG54" s="3078"/>
      <c r="DXH54" s="3078"/>
      <c r="DXI54" s="3075" t="s">
        <v>55</v>
      </c>
      <c r="DXJ54" s="3078"/>
      <c r="DXK54" s="3078"/>
      <c r="DXL54" s="3078"/>
      <c r="DXM54" s="3078"/>
      <c r="DXN54" s="3078"/>
      <c r="DXO54" s="3078"/>
      <c r="DXP54" s="3078"/>
      <c r="DXQ54" s="3075" t="s">
        <v>55</v>
      </c>
      <c r="DXR54" s="3078"/>
      <c r="DXS54" s="3078"/>
      <c r="DXT54" s="3078"/>
      <c r="DXU54" s="3078"/>
      <c r="DXV54" s="3078"/>
      <c r="DXW54" s="3078"/>
      <c r="DXX54" s="3078"/>
      <c r="DXY54" s="3075" t="s">
        <v>55</v>
      </c>
      <c r="DXZ54" s="3078"/>
      <c r="DYA54" s="3078"/>
      <c r="DYB54" s="3078"/>
      <c r="DYC54" s="3078"/>
      <c r="DYD54" s="3078"/>
      <c r="DYE54" s="3078"/>
      <c r="DYF54" s="3078"/>
      <c r="DYG54" s="3075" t="s">
        <v>55</v>
      </c>
      <c r="DYH54" s="3078"/>
      <c r="DYI54" s="3078"/>
      <c r="DYJ54" s="3078"/>
      <c r="DYK54" s="3078"/>
      <c r="DYL54" s="3078"/>
      <c r="DYM54" s="3078"/>
      <c r="DYN54" s="3078"/>
      <c r="DYO54" s="3075" t="s">
        <v>55</v>
      </c>
      <c r="DYP54" s="3078"/>
      <c r="DYQ54" s="3078"/>
      <c r="DYR54" s="3078"/>
      <c r="DYS54" s="3078"/>
      <c r="DYT54" s="3078"/>
      <c r="DYU54" s="3078"/>
      <c r="DYV54" s="3078"/>
      <c r="DYW54" s="3075" t="s">
        <v>55</v>
      </c>
      <c r="DYX54" s="3078"/>
      <c r="DYY54" s="3078"/>
      <c r="DYZ54" s="3078"/>
      <c r="DZA54" s="3078"/>
      <c r="DZB54" s="3078"/>
      <c r="DZC54" s="3078"/>
      <c r="DZD54" s="3078"/>
      <c r="DZE54" s="3075" t="s">
        <v>55</v>
      </c>
      <c r="DZF54" s="3078"/>
      <c r="DZG54" s="3078"/>
      <c r="DZH54" s="3078"/>
      <c r="DZI54" s="3078"/>
      <c r="DZJ54" s="3078"/>
      <c r="DZK54" s="3078"/>
      <c r="DZL54" s="3078"/>
      <c r="DZM54" s="3075" t="s">
        <v>55</v>
      </c>
      <c r="DZN54" s="3078"/>
      <c r="DZO54" s="3078"/>
      <c r="DZP54" s="3078"/>
      <c r="DZQ54" s="3078"/>
      <c r="DZR54" s="3078"/>
      <c r="DZS54" s="3078"/>
      <c r="DZT54" s="3078"/>
      <c r="DZU54" s="3075" t="s">
        <v>55</v>
      </c>
      <c r="DZV54" s="3078"/>
      <c r="DZW54" s="3078"/>
      <c r="DZX54" s="3078"/>
      <c r="DZY54" s="3078"/>
      <c r="DZZ54" s="3078"/>
      <c r="EAA54" s="3078"/>
      <c r="EAB54" s="3078"/>
      <c r="EAC54" s="3075" t="s">
        <v>55</v>
      </c>
      <c r="EAD54" s="3078"/>
      <c r="EAE54" s="3078"/>
      <c r="EAF54" s="3078"/>
      <c r="EAG54" s="3078"/>
      <c r="EAH54" s="3078"/>
      <c r="EAI54" s="3078"/>
      <c r="EAJ54" s="3078"/>
      <c r="EAK54" s="3075" t="s">
        <v>55</v>
      </c>
      <c r="EAL54" s="3078"/>
      <c r="EAM54" s="3078"/>
      <c r="EAN54" s="3078"/>
      <c r="EAO54" s="3078"/>
      <c r="EAP54" s="3078"/>
      <c r="EAQ54" s="3078"/>
      <c r="EAR54" s="3078"/>
      <c r="EAS54" s="3075" t="s">
        <v>55</v>
      </c>
      <c r="EAT54" s="3078"/>
      <c r="EAU54" s="3078"/>
      <c r="EAV54" s="3078"/>
      <c r="EAW54" s="3078"/>
      <c r="EAX54" s="3078"/>
      <c r="EAY54" s="3078"/>
      <c r="EAZ54" s="3078"/>
      <c r="EBA54" s="3075" t="s">
        <v>55</v>
      </c>
      <c r="EBB54" s="3078"/>
      <c r="EBC54" s="3078"/>
      <c r="EBD54" s="3078"/>
      <c r="EBE54" s="3078"/>
      <c r="EBF54" s="3078"/>
      <c r="EBG54" s="3078"/>
      <c r="EBH54" s="3078"/>
      <c r="EBI54" s="3075" t="s">
        <v>55</v>
      </c>
      <c r="EBJ54" s="3078"/>
      <c r="EBK54" s="3078"/>
      <c r="EBL54" s="3078"/>
      <c r="EBM54" s="3078"/>
      <c r="EBN54" s="3078"/>
      <c r="EBO54" s="3078"/>
      <c r="EBP54" s="3078"/>
      <c r="EBQ54" s="3075" t="s">
        <v>55</v>
      </c>
      <c r="EBR54" s="3078"/>
      <c r="EBS54" s="3078"/>
      <c r="EBT54" s="3078"/>
      <c r="EBU54" s="3078"/>
      <c r="EBV54" s="3078"/>
      <c r="EBW54" s="3078"/>
      <c r="EBX54" s="3078"/>
      <c r="EBY54" s="3075" t="s">
        <v>55</v>
      </c>
      <c r="EBZ54" s="3078"/>
      <c r="ECA54" s="3078"/>
      <c r="ECB54" s="3078"/>
      <c r="ECC54" s="3078"/>
      <c r="ECD54" s="3078"/>
      <c r="ECE54" s="3078"/>
      <c r="ECF54" s="3078"/>
      <c r="ECG54" s="3075" t="s">
        <v>55</v>
      </c>
      <c r="ECH54" s="3078"/>
      <c r="ECI54" s="3078"/>
      <c r="ECJ54" s="3078"/>
      <c r="ECK54" s="3078"/>
      <c r="ECL54" s="3078"/>
      <c r="ECM54" s="3078"/>
      <c r="ECN54" s="3078"/>
      <c r="ECO54" s="3075" t="s">
        <v>55</v>
      </c>
      <c r="ECP54" s="3078"/>
      <c r="ECQ54" s="3078"/>
      <c r="ECR54" s="3078"/>
      <c r="ECS54" s="3078"/>
      <c r="ECT54" s="3078"/>
      <c r="ECU54" s="3078"/>
      <c r="ECV54" s="3078"/>
      <c r="ECW54" s="3075" t="s">
        <v>55</v>
      </c>
      <c r="ECX54" s="3078"/>
      <c r="ECY54" s="3078"/>
      <c r="ECZ54" s="3078"/>
      <c r="EDA54" s="3078"/>
      <c r="EDB54" s="3078"/>
      <c r="EDC54" s="3078"/>
      <c r="EDD54" s="3078"/>
      <c r="EDE54" s="3075" t="s">
        <v>55</v>
      </c>
      <c r="EDF54" s="3078"/>
      <c r="EDG54" s="3078"/>
      <c r="EDH54" s="3078"/>
      <c r="EDI54" s="3078"/>
      <c r="EDJ54" s="3078"/>
      <c r="EDK54" s="3078"/>
      <c r="EDL54" s="3078"/>
      <c r="EDM54" s="3075" t="s">
        <v>55</v>
      </c>
      <c r="EDN54" s="3078"/>
      <c r="EDO54" s="3078"/>
      <c r="EDP54" s="3078"/>
      <c r="EDQ54" s="3078"/>
      <c r="EDR54" s="3078"/>
      <c r="EDS54" s="3078"/>
      <c r="EDT54" s="3078"/>
      <c r="EDU54" s="3075" t="s">
        <v>55</v>
      </c>
      <c r="EDV54" s="3078"/>
      <c r="EDW54" s="3078"/>
      <c r="EDX54" s="3078"/>
      <c r="EDY54" s="3078"/>
      <c r="EDZ54" s="3078"/>
      <c r="EEA54" s="3078"/>
      <c r="EEB54" s="3078"/>
      <c r="EEC54" s="3075" t="s">
        <v>55</v>
      </c>
      <c r="EED54" s="3078"/>
      <c r="EEE54" s="3078"/>
      <c r="EEF54" s="3078"/>
      <c r="EEG54" s="3078"/>
      <c r="EEH54" s="3078"/>
      <c r="EEI54" s="3078"/>
      <c r="EEJ54" s="3078"/>
      <c r="EEK54" s="3075" t="s">
        <v>55</v>
      </c>
      <c r="EEL54" s="3078"/>
      <c r="EEM54" s="3078"/>
      <c r="EEN54" s="3078"/>
      <c r="EEO54" s="3078"/>
      <c r="EEP54" s="3078"/>
      <c r="EEQ54" s="3078"/>
      <c r="EER54" s="3078"/>
      <c r="EES54" s="3075" t="s">
        <v>55</v>
      </c>
      <c r="EET54" s="3078"/>
      <c r="EEU54" s="3078"/>
      <c r="EEV54" s="3078"/>
      <c r="EEW54" s="3078"/>
      <c r="EEX54" s="3078"/>
      <c r="EEY54" s="3078"/>
      <c r="EEZ54" s="3078"/>
      <c r="EFA54" s="3075" t="s">
        <v>55</v>
      </c>
      <c r="EFB54" s="3078"/>
      <c r="EFC54" s="3078"/>
      <c r="EFD54" s="3078"/>
      <c r="EFE54" s="3078"/>
      <c r="EFF54" s="3078"/>
      <c r="EFG54" s="3078"/>
      <c r="EFH54" s="3078"/>
      <c r="EFI54" s="3075" t="s">
        <v>55</v>
      </c>
      <c r="EFJ54" s="3078"/>
      <c r="EFK54" s="3078"/>
      <c r="EFL54" s="3078"/>
      <c r="EFM54" s="3078"/>
      <c r="EFN54" s="3078"/>
      <c r="EFO54" s="3078"/>
      <c r="EFP54" s="3078"/>
      <c r="EFQ54" s="3075" t="s">
        <v>55</v>
      </c>
      <c r="EFR54" s="3078"/>
      <c r="EFS54" s="3078"/>
      <c r="EFT54" s="3078"/>
      <c r="EFU54" s="3078"/>
      <c r="EFV54" s="3078"/>
      <c r="EFW54" s="3078"/>
      <c r="EFX54" s="3078"/>
      <c r="EFY54" s="3075" t="s">
        <v>55</v>
      </c>
      <c r="EFZ54" s="3078"/>
      <c r="EGA54" s="3078"/>
      <c r="EGB54" s="3078"/>
      <c r="EGC54" s="3078"/>
      <c r="EGD54" s="3078"/>
      <c r="EGE54" s="3078"/>
      <c r="EGF54" s="3078"/>
      <c r="EGG54" s="3075" t="s">
        <v>55</v>
      </c>
      <c r="EGH54" s="3078"/>
      <c r="EGI54" s="3078"/>
      <c r="EGJ54" s="3078"/>
      <c r="EGK54" s="3078"/>
      <c r="EGL54" s="3078"/>
      <c r="EGM54" s="3078"/>
      <c r="EGN54" s="3078"/>
      <c r="EGO54" s="3075" t="s">
        <v>55</v>
      </c>
      <c r="EGP54" s="3078"/>
      <c r="EGQ54" s="3078"/>
      <c r="EGR54" s="3078"/>
      <c r="EGS54" s="3078"/>
      <c r="EGT54" s="3078"/>
      <c r="EGU54" s="3078"/>
      <c r="EGV54" s="3078"/>
      <c r="EGW54" s="3075" t="s">
        <v>55</v>
      </c>
      <c r="EGX54" s="3078"/>
      <c r="EGY54" s="3078"/>
      <c r="EGZ54" s="3078"/>
      <c r="EHA54" s="3078"/>
      <c r="EHB54" s="3078"/>
      <c r="EHC54" s="3078"/>
      <c r="EHD54" s="3078"/>
      <c r="EHE54" s="3075" t="s">
        <v>55</v>
      </c>
      <c r="EHF54" s="3078"/>
      <c r="EHG54" s="3078"/>
      <c r="EHH54" s="3078"/>
      <c r="EHI54" s="3078"/>
      <c r="EHJ54" s="3078"/>
      <c r="EHK54" s="3078"/>
      <c r="EHL54" s="3078"/>
      <c r="EHM54" s="3075" t="s">
        <v>55</v>
      </c>
      <c r="EHN54" s="3078"/>
      <c r="EHO54" s="3078"/>
      <c r="EHP54" s="3078"/>
      <c r="EHQ54" s="3078"/>
      <c r="EHR54" s="3078"/>
      <c r="EHS54" s="3078"/>
      <c r="EHT54" s="3078"/>
      <c r="EHU54" s="3075" t="s">
        <v>55</v>
      </c>
      <c r="EHV54" s="3078"/>
      <c r="EHW54" s="3078"/>
      <c r="EHX54" s="3078"/>
      <c r="EHY54" s="3078"/>
      <c r="EHZ54" s="3078"/>
      <c r="EIA54" s="3078"/>
      <c r="EIB54" s="3078"/>
      <c r="EIC54" s="3075" t="s">
        <v>55</v>
      </c>
      <c r="EID54" s="3078"/>
      <c r="EIE54" s="3078"/>
      <c r="EIF54" s="3078"/>
      <c r="EIG54" s="3078"/>
      <c r="EIH54" s="3078"/>
      <c r="EII54" s="3078"/>
      <c r="EIJ54" s="3078"/>
      <c r="EIK54" s="3075" t="s">
        <v>55</v>
      </c>
      <c r="EIL54" s="3078"/>
      <c r="EIM54" s="3078"/>
      <c r="EIN54" s="3078"/>
      <c r="EIO54" s="3078"/>
      <c r="EIP54" s="3078"/>
      <c r="EIQ54" s="3078"/>
      <c r="EIR54" s="3078"/>
      <c r="EIS54" s="3075" t="s">
        <v>55</v>
      </c>
      <c r="EIT54" s="3078"/>
      <c r="EIU54" s="3078"/>
      <c r="EIV54" s="3078"/>
      <c r="EIW54" s="3078"/>
      <c r="EIX54" s="3078"/>
      <c r="EIY54" s="3078"/>
      <c r="EIZ54" s="3078"/>
      <c r="EJA54" s="3075" t="s">
        <v>55</v>
      </c>
      <c r="EJB54" s="3078"/>
      <c r="EJC54" s="3078"/>
      <c r="EJD54" s="3078"/>
      <c r="EJE54" s="3078"/>
      <c r="EJF54" s="3078"/>
      <c r="EJG54" s="3078"/>
      <c r="EJH54" s="3078"/>
      <c r="EJI54" s="3075" t="s">
        <v>55</v>
      </c>
      <c r="EJJ54" s="3078"/>
      <c r="EJK54" s="3078"/>
      <c r="EJL54" s="3078"/>
      <c r="EJM54" s="3078"/>
      <c r="EJN54" s="3078"/>
      <c r="EJO54" s="3078"/>
      <c r="EJP54" s="3078"/>
      <c r="EJQ54" s="3075" t="s">
        <v>55</v>
      </c>
      <c r="EJR54" s="3078"/>
      <c r="EJS54" s="3078"/>
      <c r="EJT54" s="3078"/>
      <c r="EJU54" s="3078"/>
      <c r="EJV54" s="3078"/>
      <c r="EJW54" s="3078"/>
      <c r="EJX54" s="3078"/>
      <c r="EJY54" s="3075" t="s">
        <v>55</v>
      </c>
      <c r="EJZ54" s="3078"/>
      <c r="EKA54" s="3078"/>
      <c r="EKB54" s="3078"/>
      <c r="EKC54" s="3078"/>
      <c r="EKD54" s="3078"/>
      <c r="EKE54" s="3078"/>
      <c r="EKF54" s="3078"/>
      <c r="EKG54" s="3075" t="s">
        <v>55</v>
      </c>
      <c r="EKH54" s="3078"/>
      <c r="EKI54" s="3078"/>
      <c r="EKJ54" s="3078"/>
      <c r="EKK54" s="3078"/>
      <c r="EKL54" s="3078"/>
      <c r="EKM54" s="3078"/>
      <c r="EKN54" s="3078"/>
      <c r="EKO54" s="3075" t="s">
        <v>55</v>
      </c>
      <c r="EKP54" s="3078"/>
      <c r="EKQ54" s="3078"/>
      <c r="EKR54" s="3078"/>
      <c r="EKS54" s="3078"/>
      <c r="EKT54" s="3078"/>
      <c r="EKU54" s="3078"/>
      <c r="EKV54" s="3078"/>
      <c r="EKW54" s="3075" t="s">
        <v>55</v>
      </c>
      <c r="EKX54" s="3078"/>
      <c r="EKY54" s="3078"/>
      <c r="EKZ54" s="3078"/>
      <c r="ELA54" s="3078"/>
      <c r="ELB54" s="3078"/>
      <c r="ELC54" s="3078"/>
      <c r="ELD54" s="3078"/>
      <c r="ELE54" s="3075" t="s">
        <v>55</v>
      </c>
      <c r="ELF54" s="3078"/>
      <c r="ELG54" s="3078"/>
      <c r="ELH54" s="3078"/>
      <c r="ELI54" s="3078"/>
      <c r="ELJ54" s="3078"/>
      <c r="ELK54" s="3078"/>
      <c r="ELL54" s="3078"/>
      <c r="ELM54" s="3075" t="s">
        <v>55</v>
      </c>
      <c r="ELN54" s="3078"/>
      <c r="ELO54" s="3078"/>
      <c r="ELP54" s="3078"/>
      <c r="ELQ54" s="3078"/>
      <c r="ELR54" s="3078"/>
      <c r="ELS54" s="3078"/>
      <c r="ELT54" s="3078"/>
      <c r="ELU54" s="3075" t="s">
        <v>55</v>
      </c>
      <c r="ELV54" s="3078"/>
      <c r="ELW54" s="3078"/>
      <c r="ELX54" s="3078"/>
      <c r="ELY54" s="3078"/>
      <c r="ELZ54" s="3078"/>
      <c r="EMA54" s="3078"/>
      <c r="EMB54" s="3078"/>
      <c r="EMC54" s="3075" t="s">
        <v>55</v>
      </c>
      <c r="EMD54" s="3078"/>
      <c r="EME54" s="3078"/>
      <c r="EMF54" s="3078"/>
      <c r="EMG54" s="3078"/>
      <c r="EMH54" s="3078"/>
      <c r="EMI54" s="3078"/>
      <c r="EMJ54" s="3078"/>
      <c r="EMK54" s="3075" t="s">
        <v>55</v>
      </c>
      <c r="EML54" s="3078"/>
      <c r="EMM54" s="3078"/>
      <c r="EMN54" s="3078"/>
      <c r="EMO54" s="3078"/>
      <c r="EMP54" s="3078"/>
      <c r="EMQ54" s="3078"/>
      <c r="EMR54" s="3078"/>
      <c r="EMS54" s="3075" t="s">
        <v>55</v>
      </c>
      <c r="EMT54" s="3078"/>
      <c r="EMU54" s="3078"/>
      <c r="EMV54" s="3078"/>
      <c r="EMW54" s="3078"/>
      <c r="EMX54" s="3078"/>
      <c r="EMY54" s="3078"/>
      <c r="EMZ54" s="3078"/>
      <c r="ENA54" s="3075" t="s">
        <v>55</v>
      </c>
      <c r="ENB54" s="3078"/>
      <c r="ENC54" s="3078"/>
      <c r="END54" s="3078"/>
      <c r="ENE54" s="3078"/>
      <c r="ENF54" s="3078"/>
      <c r="ENG54" s="3078"/>
      <c r="ENH54" s="3078"/>
      <c r="ENI54" s="3075" t="s">
        <v>55</v>
      </c>
      <c r="ENJ54" s="3078"/>
      <c r="ENK54" s="3078"/>
      <c r="ENL54" s="3078"/>
      <c r="ENM54" s="3078"/>
      <c r="ENN54" s="3078"/>
      <c r="ENO54" s="3078"/>
      <c r="ENP54" s="3078"/>
      <c r="ENQ54" s="3075" t="s">
        <v>55</v>
      </c>
      <c r="ENR54" s="3078"/>
      <c r="ENS54" s="3078"/>
      <c r="ENT54" s="3078"/>
      <c r="ENU54" s="3078"/>
      <c r="ENV54" s="3078"/>
      <c r="ENW54" s="3078"/>
      <c r="ENX54" s="3078"/>
      <c r="ENY54" s="3075" t="s">
        <v>55</v>
      </c>
      <c r="ENZ54" s="3078"/>
      <c r="EOA54" s="3078"/>
      <c r="EOB54" s="3078"/>
      <c r="EOC54" s="3078"/>
      <c r="EOD54" s="3078"/>
      <c r="EOE54" s="3078"/>
      <c r="EOF54" s="3078"/>
      <c r="EOG54" s="3075" t="s">
        <v>55</v>
      </c>
      <c r="EOH54" s="3078"/>
      <c r="EOI54" s="3078"/>
      <c r="EOJ54" s="3078"/>
      <c r="EOK54" s="3078"/>
      <c r="EOL54" s="3078"/>
      <c r="EOM54" s="3078"/>
      <c r="EON54" s="3078"/>
      <c r="EOO54" s="3075" t="s">
        <v>55</v>
      </c>
      <c r="EOP54" s="3078"/>
      <c r="EOQ54" s="3078"/>
      <c r="EOR54" s="3078"/>
      <c r="EOS54" s="3078"/>
      <c r="EOT54" s="3078"/>
      <c r="EOU54" s="3078"/>
      <c r="EOV54" s="3078"/>
      <c r="EOW54" s="3075" t="s">
        <v>55</v>
      </c>
      <c r="EOX54" s="3078"/>
      <c r="EOY54" s="3078"/>
      <c r="EOZ54" s="3078"/>
      <c r="EPA54" s="3078"/>
      <c r="EPB54" s="3078"/>
      <c r="EPC54" s="3078"/>
      <c r="EPD54" s="3078"/>
      <c r="EPE54" s="3075" t="s">
        <v>55</v>
      </c>
      <c r="EPF54" s="3078"/>
      <c r="EPG54" s="3078"/>
      <c r="EPH54" s="3078"/>
      <c r="EPI54" s="3078"/>
      <c r="EPJ54" s="3078"/>
      <c r="EPK54" s="3078"/>
      <c r="EPL54" s="3078"/>
      <c r="EPM54" s="3075" t="s">
        <v>55</v>
      </c>
      <c r="EPN54" s="3078"/>
      <c r="EPO54" s="3078"/>
      <c r="EPP54" s="3078"/>
      <c r="EPQ54" s="3078"/>
      <c r="EPR54" s="3078"/>
      <c r="EPS54" s="3078"/>
      <c r="EPT54" s="3078"/>
      <c r="EPU54" s="3075" t="s">
        <v>55</v>
      </c>
      <c r="EPV54" s="3078"/>
      <c r="EPW54" s="3078"/>
      <c r="EPX54" s="3078"/>
      <c r="EPY54" s="3078"/>
      <c r="EPZ54" s="3078"/>
      <c r="EQA54" s="3078"/>
      <c r="EQB54" s="3078"/>
      <c r="EQC54" s="3075" t="s">
        <v>55</v>
      </c>
      <c r="EQD54" s="3078"/>
      <c r="EQE54" s="3078"/>
      <c r="EQF54" s="3078"/>
      <c r="EQG54" s="3078"/>
      <c r="EQH54" s="3078"/>
      <c r="EQI54" s="3078"/>
      <c r="EQJ54" s="3078"/>
      <c r="EQK54" s="3075" t="s">
        <v>55</v>
      </c>
      <c r="EQL54" s="3078"/>
      <c r="EQM54" s="3078"/>
      <c r="EQN54" s="3078"/>
      <c r="EQO54" s="3078"/>
      <c r="EQP54" s="3078"/>
      <c r="EQQ54" s="3078"/>
      <c r="EQR54" s="3078"/>
      <c r="EQS54" s="3075" t="s">
        <v>55</v>
      </c>
      <c r="EQT54" s="3078"/>
      <c r="EQU54" s="3078"/>
      <c r="EQV54" s="3078"/>
      <c r="EQW54" s="3078"/>
      <c r="EQX54" s="3078"/>
      <c r="EQY54" s="3078"/>
      <c r="EQZ54" s="3078"/>
      <c r="ERA54" s="3075" t="s">
        <v>55</v>
      </c>
      <c r="ERB54" s="3078"/>
      <c r="ERC54" s="3078"/>
      <c r="ERD54" s="3078"/>
      <c r="ERE54" s="3078"/>
      <c r="ERF54" s="3078"/>
      <c r="ERG54" s="3078"/>
      <c r="ERH54" s="3078"/>
      <c r="ERI54" s="3075" t="s">
        <v>55</v>
      </c>
      <c r="ERJ54" s="3078"/>
      <c r="ERK54" s="3078"/>
      <c r="ERL54" s="3078"/>
      <c r="ERM54" s="3078"/>
      <c r="ERN54" s="3078"/>
      <c r="ERO54" s="3078"/>
      <c r="ERP54" s="3078"/>
      <c r="ERQ54" s="3075" t="s">
        <v>55</v>
      </c>
      <c r="ERR54" s="3078"/>
      <c r="ERS54" s="3078"/>
      <c r="ERT54" s="3078"/>
      <c r="ERU54" s="3078"/>
      <c r="ERV54" s="3078"/>
      <c r="ERW54" s="3078"/>
      <c r="ERX54" s="3078"/>
      <c r="ERY54" s="3075" t="s">
        <v>55</v>
      </c>
      <c r="ERZ54" s="3078"/>
      <c r="ESA54" s="3078"/>
      <c r="ESB54" s="3078"/>
      <c r="ESC54" s="3078"/>
      <c r="ESD54" s="3078"/>
      <c r="ESE54" s="3078"/>
      <c r="ESF54" s="3078"/>
      <c r="ESG54" s="3075" t="s">
        <v>55</v>
      </c>
      <c r="ESH54" s="3078"/>
      <c r="ESI54" s="3078"/>
      <c r="ESJ54" s="3078"/>
      <c r="ESK54" s="3078"/>
      <c r="ESL54" s="3078"/>
      <c r="ESM54" s="3078"/>
      <c r="ESN54" s="3078"/>
      <c r="ESO54" s="3075" t="s">
        <v>55</v>
      </c>
      <c r="ESP54" s="3078"/>
      <c r="ESQ54" s="3078"/>
      <c r="ESR54" s="3078"/>
      <c r="ESS54" s="3078"/>
      <c r="EST54" s="3078"/>
      <c r="ESU54" s="3078"/>
      <c r="ESV54" s="3078"/>
      <c r="ESW54" s="3075" t="s">
        <v>55</v>
      </c>
      <c r="ESX54" s="3078"/>
      <c r="ESY54" s="3078"/>
      <c r="ESZ54" s="3078"/>
      <c r="ETA54" s="3078"/>
      <c r="ETB54" s="3078"/>
      <c r="ETC54" s="3078"/>
      <c r="ETD54" s="3078"/>
      <c r="ETE54" s="3075" t="s">
        <v>55</v>
      </c>
      <c r="ETF54" s="3078"/>
      <c r="ETG54" s="3078"/>
      <c r="ETH54" s="3078"/>
      <c r="ETI54" s="3078"/>
      <c r="ETJ54" s="3078"/>
      <c r="ETK54" s="3078"/>
      <c r="ETL54" s="3078"/>
      <c r="ETM54" s="3075" t="s">
        <v>55</v>
      </c>
      <c r="ETN54" s="3078"/>
      <c r="ETO54" s="3078"/>
      <c r="ETP54" s="3078"/>
      <c r="ETQ54" s="3078"/>
      <c r="ETR54" s="3078"/>
      <c r="ETS54" s="3078"/>
      <c r="ETT54" s="3078"/>
      <c r="ETU54" s="3075" t="s">
        <v>55</v>
      </c>
      <c r="ETV54" s="3078"/>
      <c r="ETW54" s="3078"/>
      <c r="ETX54" s="3078"/>
      <c r="ETY54" s="3078"/>
      <c r="ETZ54" s="3078"/>
      <c r="EUA54" s="3078"/>
      <c r="EUB54" s="3078"/>
      <c r="EUC54" s="3075" t="s">
        <v>55</v>
      </c>
      <c r="EUD54" s="3078"/>
      <c r="EUE54" s="3078"/>
      <c r="EUF54" s="3078"/>
      <c r="EUG54" s="3078"/>
      <c r="EUH54" s="3078"/>
      <c r="EUI54" s="3078"/>
      <c r="EUJ54" s="3078"/>
      <c r="EUK54" s="3075" t="s">
        <v>55</v>
      </c>
      <c r="EUL54" s="3078"/>
      <c r="EUM54" s="3078"/>
      <c r="EUN54" s="3078"/>
      <c r="EUO54" s="3078"/>
      <c r="EUP54" s="3078"/>
      <c r="EUQ54" s="3078"/>
      <c r="EUR54" s="3078"/>
      <c r="EUS54" s="3075" t="s">
        <v>55</v>
      </c>
      <c r="EUT54" s="3078"/>
      <c r="EUU54" s="3078"/>
      <c r="EUV54" s="3078"/>
      <c r="EUW54" s="3078"/>
      <c r="EUX54" s="3078"/>
      <c r="EUY54" s="3078"/>
      <c r="EUZ54" s="3078"/>
      <c r="EVA54" s="3075" t="s">
        <v>55</v>
      </c>
      <c r="EVB54" s="3078"/>
      <c r="EVC54" s="3078"/>
      <c r="EVD54" s="3078"/>
      <c r="EVE54" s="3078"/>
      <c r="EVF54" s="3078"/>
      <c r="EVG54" s="3078"/>
      <c r="EVH54" s="3078"/>
      <c r="EVI54" s="3075" t="s">
        <v>55</v>
      </c>
      <c r="EVJ54" s="3078"/>
      <c r="EVK54" s="3078"/>
      <c r="EVL54" s="3078"/>
      <c r="EVM54" s="3078"/>
      <c r="EVN54" s="3078"/>
      <c r="EVO54" s="3078"/>
      <c r="EVP54" s="3078"/>
      <c r="EVQ54" s="3075" t="s">
        <v>55</v>
      </c>
      <c r="EVR54" s="3078"/>
      <c r="EVS54" s="3078"/>
      <c r="EVT54" s="3078"/>
      <c r="EVU54" s="3078"/>
      <c r="EVV54" s="3078"/>
      <c r="EVW54" s="3078"/>
      <c r="EVX54" s="3078"/>
      <c r="EVY54" s="3075" t="s">
        <v>55</v>
      </c>
      <c r="EVZ54" s="3078"/>
      <c r="EWA54" s="3078"/>
      <c r="EWB54" s="3078"/>
      <c r="EWC54" s="3078"/>
      <c r="EWD54" s="3078"/>
      <c r="EWE54" s="3078"/>
      <c r="EWF54" s="3078"/>
      <c r="EWG54" s="3075" t="s">
        <v>55</v>
      </c>
      <c r="EWH54" s="3078"/>
      <c r="EWI54" s="3078"/>
      <c r="EWJ54" s="3078"/>
      <c r="EWK54" s="3078"/>
      <c r="EWL54" s="3078"/>
      <c r="EWM54" s="3078"/>
      <c r="EWN54" s="3078"/>
      <c r="EWO54" s="3075" t="s">
        <v>55</v>
      </c>
      <c r="EWP54" s="3078"/>
      <c r="EWQ54" s="3078"/>
      <c r="EWR54" s="3078"/>
      <c r="EWS54" s="3078"/>
      <c r="EWT54" s="3078"/>
      <c r="EWU54" s="3078"/>
      <c r="EWV54" s="3078"/>
      <c r="EWW54" s="3075" t="s">
        <v>55</v>
      </c>
      <c r="EWX54" s="3078"/>
      <c r="EWY54" s="3078"/>
      <c r="EWZ54" s="3078"/>
      <c r="EXA54" s="3078"/>
      <c r="EXB54" s="3078"/>
      <c r="EXC54" s="3078"/>
      <c r="EXD54" s="3078"/>
      <c r="EXE54" s="3075" t="s">
        <v>55</v>
      </c>
      <c r="EXF54" s="3078"/>
      <c r="EXG54" s="3078"/>
      <c r="EXH54" s="3078"/>
      <c r="EXI54" s="3078"/>
      <c r="EXJ54" s="3078"/>
      <c r="EXK54" s="3078"/>
      <c r="EXL54" s="3078"/>
      <c r="EXM54" s="3075" t="s">
        <v>55</v>
      </c>
      <c r="EXN54" s="3078"/>
      <c r="EXO54" s="3078"/>
      <c r="EXP54" s="3078"/>
      <c r="EXQ54" s="3078"/>
      <c r="EXR54" s="3078"/>
      <c r="EXS54" s="3078"/>
      <c r="EXT54" s="3078"/>
      <c r="EXU54" s="3075" t="s">
        <v>55</v>
      </c>
      <c r="EXV54" s="3078"/>
      <c r="EXW54" s="3078"/>
      <c r="EXX54" s="3078"/>
      <c r="EXY54" s="3078"/>
      <c r="EXZ54" s="3078"/>
      <c r="EYA54" s="3078"/>
      <c r="EYB54" s="3078"/>
      <c r="EYC54" s="3075" t="s">
        <v>55</v>
      </c>
      <c r="EYD54" s="3078"/>
      <c r="EYE54" s="3078"/>
      <c r="EYF54" s="3078"/>
      <c r="EYG54" s="3078"/>
      <c r="EYH54" s="3078"/>
      <c r="EYI54" s="3078"/>
      <c r="EYJ54" s="3078"/>
      <c r="EYK54" s="3075" t="s">
        <v>55</v>
      </c>
      <c r="EYL54" s="3078"/>
      <c r="EYM54" s="3078"/>
      <c r="EYN54" s="3078"/>
      <c r="EYO54" s="3078"/>
      <c r="EYP54" s="3078"/>
      <c r="EYQ54" s="3078"/>
      <c r="EYR54" s="3078"/>
      <c r="EYS54" s="3075" t="s">
        <v>55</v>
      </c>
      <c r="EYT54" s="3078"/>
      <c r="EYU54" s="3078"/>
      <c r="EYV54" s="3078"/>
      <c r="EYW54" s="3078"/>
      <c r="EYX54" s="3078"/>
      <c r="EYY54" s="3078"/>
      <c r="EYZ54" s="3078"/>
      <c r="EZA54" s="3075" t="s">
        <v>55</v>
      </c>
      <c r="EZB54" s="3078"/>
      <c r="EZC54" s="3078"/>
      <c r="EZD54" s="3078"/>
      <c r="EZE54" s="3078"/>
      <c r="EZF54" s="3078"/>
      <c r="EZG54" s="3078"/>
      <c r="EZH54" s="3078"/>
      <c r="EZI54" s="3075" t="s">
        <v>55</v>
      </c>
      <c r="EZJ54" s="3078"/>
      <c r="EZK54" s="3078"/>
      <c r="EZL54" s="3078"/>
      <c r="EZM54" s="3078"/>
      <c r="EZN54" s="3078"/>
      <c r="EZO54" s="3078"/>
      <c r="EZP54" s="3078"/>
      <c r="EZQ54" s="3075" t="s">
        <v>55</v>
      </c>
      <c r="EZR54" s="3078"/>
      <c r="EZS54" s="3078"/>
      <c r="EZT54" s="3078"/>
      <c r="EZU54" s="3078"/>
      <c r="EZV54" s="3078"/>
      <c r="EZW54" s="3078"/>
      <c r="EZX54" s="3078"/>
      <c r="EZY54" s="3075" t="s">
        <v>55</v>
      </c>
      <c r="EZZ54" s="3078"/>
      <c r="FAA54" s="3078"/>
      <c r="FAB54" s="3078"/>
      <c r="FAC54" s="3078"/>
      <c r="FAD54" s="3078"/>
      <c r="FAE54" s="3078"/>
      <c r="FAF54" s="3078"/>
      <c r="FAG54" s="3075" t="s">
        <v>55</v>
      </c>
      <c r="FAH54" s="3078"/>
      <c r="FAI54" s="3078"/>
      <c r="FAJ54" s="3078"/>
      <c r="FAK54" s="3078"/>
      <c r="FAL54" s="3078"/>
      <c r="FAM54" s="3078"/>
      <c r="FAN54" s="3078"/>
      <c r="FAO54" s="3075" t="s">
        <v>55</v>
      </c>
      <c r="FAP54" s="3078"/>
      <c r="FAQ54" s="3078"/>
      <c r="FAR54" s="3078"/>
      <c r="FAS54" s="3078"/>
      <c r="FAT54" s="3078"/>
      <c r="FAU54" s="3078"/>
      <c r="FAV54" s="3078"/>
      <c r="FAW54" s="3075" t="s">
        <v>55</v>
      </c>
      <c r="FAX54" s="3078"/>
      <c r="FAY54" s="3078"/>
      <c r="FAZ54" s="3078"/>
      <c r="FBA54" s="3078"/>
      <c r="FBB54" s="3078"/>
      <c r="FBC54" s="3078"/>
      <c r="FBD54" s="3078"/>
      <c r="FBE54" s="3075" t="s">
        <v>55</v>
      </c>
      <c r="FBF54" s="3078"/>
      <c r="FBG54" s="3078"/>
      <c r="FBH54" s="3078"/>
      <c r="FBI54" s="3078"/>
      <c r="FBJ54" s="3078"/>
      <c r="FBK54" s="3078"/>
      <c r="FBL54" s="3078"/>
      <c r="FBM54" s="3075" t="s">
        <v>55</v>
      </c>
      <c r="FBN54" s="3078"/>
      <c r="FBO54" s="3078"/>
      <c r="FBP54" s="3078"/>
      <c r="FBQ54" s="3078"/>
      <c r="FBR54" s="3078"/>
      <c r="FBS54" s="3078"/>
      <c r="FBT54" s="3078"/>
      <c r="FBU54" s="3075" t="s">
        <v>55</v>
      </c>
      <c r="FBV54" s="3078"/>
      <c r="FBW54" s="3078"/>
      <c r="FBX54" s="3078"/>
      <c r="FBY54" s="3078"/>
      <c r="FBZ54" s="3078"/>
      <c r="FCA54" s="3078"/>
      <c r="FCB54" s="3078"/>
      <c r="FCC54" s="3075" t="s">
        <v>55</v>
      </c>
      <c r="FCD54" s="3078"/>
      <c r="FCE54" s="3078"/>
      <c r="FCF54" s="3078"/>
      <c r="FCG54" s="3078"/>
      <c r="FCH54" s="3078"/>
      <c r="FCI54" s="3078"/>
      <c r="FCJ54" s="3078"/>
      <c r="FCK54" s="3075" t="s">
        <v>55</v>
      </c>
      <c r="FCL54" s="3078"/>
      <c r="FCM54" s="3078"/>
      <c r="FCN54" s="3078"/>
      <c r="FCO54" s="3078"/>
      <c r="FCP54" s="3078"/>
      <c r="FCQ54" s="3078"/>
      <c r="FCR54" s="3078"/>
      <c r="FCS54" s="3075" t="s">
        <v>55</v>
      </c>
      <c r="FCT54" s="3078"/>
      <c r="FCU54" s="3078"/>
      <c r="FCV54" s="3078"/>
      <c r="FCW54" s="3078"/>
      <c r="FCX54" s="3078"/>
      <c r="FCY54" s="3078"/>
      <c r="FCZ54" s="3078"/>
      <c r="FDA54" s="3075" t="s">
        <v>55</v>
      </c>
      <c r="FDB54" s="3078"/>
      <c r="FDC54" s="3078"/>
      <c r="FDD54" s="3078"/>
      <c r="FDE54" s="3078"/>
      <c r="FDF54" s="3078"/>
      <c r="FDG54" s="3078"/>
      <c r="FDH54" s="3078"/>
      <c r="FDI54" s="3075" t="s">
        <v>55</v>
      </c>
      <c r="FDJ54" s="3078"/>
      <c r="FDK54" s="3078"/>
      <c r="FDL54" s="3078"/>
      <c r="FDM54" s="3078"/>
      <c r="FDN54" s="3078"/>
      <c r="FDO54" s="3078"/>
      <c r="FDP54" s="3078"/>
      <c r="FDQ54" s="3075" t="s">
        <v>55</v>
      </c>
      <c r="FDR54" s="3078"/>
      <c r="FDS54" s="3078"/>
      <c r="FDT54" s="3078"/>
      <c r="FDU54" s="3078"/>
      <c r="FDV54" s="3078"/>
      <c r="FDW54" s="3078"/>
      <c r="FDX54" s="3078"/>
      <c r="FDY54" s="3075" t="s">
        <v>55</v>
      </c>
      <c r="FDZ54" s="3078"/>
      <c r="FEA54" s="3078"/>
      <c r="FEB54" s="3078"/>
      <c r="FEC54" s="3078"/>
      <c r="FED54" s="3078"/>
      <c r="FEE54" s="3078"/>
      <c r="FEF54" s="3078"/>
      <c r="FEG54" s="3075" t="s">
        <v>55</v>
      </c>
      <c r="FEH54" s="3078"/>
      <c r="FEI54" s="3078"/>
      <c r="FEJ54" s="3078"/>
      <c r="FEK54" s="3078"/>
      <c r="FEL54" s="3078"/>
      <c r="FEM54" s="3078"/>
      <c r="FEN54" s="3078"/>
      <c r="FEO54" s="3075" t="s">
        <v>55</v>
      </c>
      <c r="FEP54" s="3078"/>
      <c r="FEQ54" s="3078"/>
      <c r="FER54" s="3078"/>
      <c r="FES54" s="3078"/>
      <c r="FET54" s="3078"/>
      <c r="FEU54" s="3078"/>
      <c r="FEV54" s="3078"/>
      <c r="FEW54" s="3075" t="s">
        <v>55</v>
      </c>
      <c r="FEX54" s="3078"/>
      <c r="FEY54" s="3078"/>
      <c r="FEZ54" s="3078"/>
      <c r="FFA54" s="3078"/>
      <c r="FFB54" s="3078"/>
      <c r="FFC54" s="3078"/>
      <c r="FFD54" s="3078"/>
      <c r="FFE54" s="3075" t="s">
        <v>55</v>
      </c>
      <c r="FFF54" s="3078"/>
      <c r="FFG54" s="3078"/>
      <c r="FFH54" s="3078"/>
      <c r="FFI54" s="3078"/>
      <c r="FFJ54" s="3078"/>
      <c r="FFK54" s="3078"/>
      <c r="FFL54" s="3078"/>
      <c r="FFM54" s="3075" t="s">
        <v>55</v>
      </c>
      <c r="FFN54" s="3078"/>
      <c r="FFO54" s="3078"/>
      <c r="FFP54" s="3078"/>
      <c r="FFQ54" s="3078"/>
      <c r="FFR54" s="3078"/>
      <c r="FFS54" s="3078"/>
      <c r="FFT54" s="3078"/>
      <c r="FFU54" s="3075" t="s">
        <v>55</v>
      </c>
      <c r="FFV54" s="3078"/>
      <c r="FFW54" s="3078"/>
      <c r="FFX54" s="3078"/>
      <c r="FFY54" s="3078"/>
      <c r="FFZ54" s="3078"/>
      <c r="FGA54" s="3078"/>
      <c r="FGB54" s="3078"/>
      <c r="FGC54" s="3075" t="s">
        <v>55</v>
      </c>
      <c r="FGD54" s="3078"/>
      <c r="FGE54" s="3078"/>
      <c r="FGF54" s="3078"/>
      <c r="FGG54" s="3078"/>
      <c r="FGH54" s="3078"/>
      <c r="FGI54" s="3078"/>
      <c r="FGJ54" s="3078"/>
      <c r="FGK54" s="3075" t="s">
        <v>55</v>
      </c>
      <c r="FGL54" s="3078"/>
      <c r="FGM54" s="3078"/>
      <c r="FGN54" s="3078"/>
      <c r="FGO54" s="3078"/>
      <c r="FGP54" s="3078"/>
      <c r="FGQ54" s="3078"/>
      <c r="FGR54" s="3078"/>
      <c r="FGS54" s="3075" t="s">
        <v>55</v>
      </c>
      <c r="FGT54" s="3078"/>
      <c r="FGU54" s="3078"/>
      <c r="FGV54" s="3078"/>
      <c r="FGW54" s="3078"/>
      <c r="FGX54" s="3078"/>
      <c r="FGY54" s="3078"/>
      <c r="FGZ54" s="3078"/>
      <c r="FHA54" s="3075" t="s">
        <v>55</v>
      </c>
      <c r="FHB54" s="3078"/>
      <c r="FHC54" s="3078"/>
      <c r="FHD54" s="3078"/>
      <c r="FHE54" s="3078"/>
      <c r="FHF54" s="3078"/>
      <c r="FHG54" s="3078"/>
      <c r="FHH54" s="3078"/>
      <c r="FHI54" s="3075" t="s">
        <v>55</v>
      </c>
      <c r="FHJ54" s="3078"/>
      <c r="FHK54" s="3078"/>
      <c r="FHL54" s="3078"/>
      <c r="FHM54" s="3078"/>
      <c r="FHN54" s="3078"/>
      <c r="FHO54" s="3078"/>
      <c r="FHP54" s="3078"/>
      <c r="FHQ54" s="3075" t="s">
        <v>55</v>
      </c>
      <c r="FHR54" s="3078"/>
      <c r="FHS54" s="3078"/>
      <c r="FHT54" s="3078"/>
      <c r="FHU54" s="3078"/>
      <c r="FHV54" s="3078"/>
      <c r="FHW54" s="3078"/>
      <c r="FHX54" s="3078"/>
      <c r="FHY54" s="3075" t="s">
        <v>55</v>
      </c>
      <c r="FHZ54" s="3078"/>
      <c r="FIA54" s="3078"/>
      <c r="FIB54" s="3078"/>
      <c r="FIC54" s="3078"/>
      <c r="FID54" s="3078"/>
      <c r="FIE54" s="3078"/>
      <c r="FIF54" s="3078"/>
      <c r="FIG54" s="3075" t="s">
        <v>55</v>
      </c>
      <c r="FIH54" s="3078"/>
      <c r="FII54" s="3078"/>
      <c r="FIJ54" s="3078"/>
      <c r="FIK54" s="3078"/>
      <c r="FIL54" s="3078"/>
      <c r="FIM54" s="3078"/>
      <c r="FIN54" s="3078"/>
      <c r="FIO54" s="3075" t="s">
        <v>55</v>
      </c>
      <c r="FIP54" s="3078"/>
      <c r="FIQ54" s="3078"/>
      <c r="FIR54" s="3078"/>
      <c r="FIS54" s="3078"/>
      <c r="FIT54" s="3078"/>
      <c r="FIU54" s="3078"/>
      <c r="FIV54" s="3078"/>
      <c r="FIW54" s="3075" t="s">
        <v>55</v>
      </c>
      <c r="FIX54" s="3078"/>
      <c r="FIY54" s="3078"/>
      <c r="FIZ54" s="3078"/>
      <c r="FJA54" s="3078"/>
      <c r="FJB54" s="3078"/>
      <c r="FJC54" s="3078"/>
      <c r="FJD54" s="3078"/>
      <c r="FJE54" s="3075" t="s">
        <v>55</v>
      </c>
      <c r="FJF54" s="3078"/>
      <c r="FJG54" s="3078"/>
      <c r="FJH54" s="3078"/>
      <c r="FJI54" s="3078"/>
      <c r="FJJ54" s="3078"/>
      <c r="FJK54" s="3078"/>
      <c r="FJL54" s="3078"/>
      <c r="FJM54" s="3075" t="s">
        <v>55</v>
      </c>
      <c r="FJN54" s="3078"/>
      <c r="FJO54" s="3078"/>
      <c r="FJP54" s="3078"/>
      <c r="FJQ54" s="3078"/>
      <c r="FJR54" s="3078"/>
      <c r="FJS54" s="3078"/>
      <c r="FJT54" s="3078"/>
      <c r="FJU54" s="3075" t="s">
        <v>55</v>
      </c>
      <c r="FJV54" s="3078"/>
      <c r="FJW54" s="3078"/>
      <c r="FJX54" s="3078"/>
      <c r="FJY54" s="3078"/>
      <c r="FJZ54" s="3078"/>
      <c r="FKA54" s="3078"/>
      <c r="FKB54" s="3078"/>
      <c r="FKC54" s="3075" t="s">
        <v>55</v>
      </c>
      <c r="FKD54" s="3078"/>
      <c r="FKE54" s="3078"/>
      <c r="FKF54" s="3078"/>
      <c r="FKG54" s="3078"/>
      <c r="FKH54" s="3078"/>
      <c r="FKI54" s="3078"/>
      <c r="FKJ54" s="3078"/>
      <c r="FKK54" s="3075" t="s">
        <v>55</v>
      </c>
      <c r="FKL54" s="3078"/>
      <c r="FKM54" s="3078"/>
      <c r="FKN54" s="3078"/>
      <c r="FKO54" s="3078"/>
      <c r="FKP54" s="3078"/>
      <c r="FKQ54" s="3078"/>
      <c r="FKR54" s="3078"/>
      <c r="FKS54" s="3075" t="s">
        <v>55</v>
      </c>
      <c r="FKT54" s="3078"/>
      <c r="FKU54" s="3078"/>
      <c r="FKV54" s="3078"/>
      <c r="FKW54" s="3078"/>
      <c r="FKX54" s="3078"/>
      <c r="FKY54" s="3078"/>
      <c r="FKZ54" s="3078"/>
      <c r="FLA54" s="3075" t="s">
        <v>55</v>
      </c>
      <c r="FLB54" s="3078"/>
      <c r="FLC54" s="3078"/>
      <c r="FLD54" s="3078"/>
      <c r="FLE54" s="3078"/>
      <c r="FLF54" s="3078"/>
      <c r="FLG54" s="3078"/>
      <c r="FLH54" s="3078"/>
      <c r="FLI54" s="3075" t="s">
        <v>55</v>
      </c>
      <c r="FLJ54" s="3078"/>
      <c r="FLK54" s="3078"/>
      <c r="FLL54" s="3078"/>
      <c r="FLM54" s="3078"/>
      <c r="FLN54" s="3078"/>
      <c r="FLO54" s="3078"/>
      <c r="FLP54" s="3078"/>
      <c r="FLQ54" s="3075" t="s">
        <v>55</v>
      </c>
      <c r="FLR54" s="3078"/>
      <c r="FLS54" s="3078"/>
      <c r="FLT54" s="3078"/>
      <c r="FLU54" s="3078"/>
      <c r="FLV54" s="3078"/>
      <c r="FLW54" s="3078"/>
      <c r="FLX54" s="3078"/>
      <c r="FLY54" s="3075" t="s">
        <v>55</v>
      </c>
      <c r="FLZ54" s="3078"/>
      <c r="FMA54" s="3078"/>
      <c r="FMB54" s="3078"/>
      <c r="FMC54" s="3078"/>
      <c r="FMD54" s="3078"/>
      <c r="FME54" s="3078"/>
      <c r="FMF54" s="3078"/>
      <c r="FMG54" s="3075" t="s">
        <v>55</v>
      </c>
      <c r="FMH54" s="3078"/>
      <c r="FMI54" s="3078"/>
      <c r="FMJ54" s="3078"/>
      <c r="FMK54" s="3078"/>
      <c r="FML54" s="3078"/>
      <c r="FMM54" s="3078"/>
      <c r="FMN54" s="3078"/>
      <c r="FMO54" s="3075" t="s">
        <v>55</v>
      </c>
      <c r="FMP54" s="3078"/>
      <c r="FMQ54" s="3078"/>
      <c r="FMR54" s="3078"/>
      <c r="FMS54" s="3078"/>
      <c r="FMT54" s="3078"/>
      <c r="FMU54" s="3078"/>
      <c r="FMV54" s="3078"/>
      <c r="FMW54" s="3075" t="s">
        <v>55</v>
      </c>
      <c r="FMX54" s="3078"/>
      <c r="FMY54" s="3078"/>
      <c r="FMZ54" s="3078"/>
      <c r="FNA54" s="3078"/>
      <c r="FNB54" s="3078"/>
      <c r="FNC54" s="3078"/>
      <c r="FND54" s="3078"/>
      <c r="FNE54" s="3075" t="s">
        <v>55</v>
      </c>
      <c r="FNF54" s="3078"/>
      <c r="FNG54" s="3078"/>
      <c r="FNH54" s="3078"/>
      <c r="FNI54" s="3078"/>
      <c r="FNJ54" s="3078"/>
      <c r="FNK54" s="3078"/>
      <c r="FNL54" s="3078"/>
      <c r="FNM54" s="3075" t="s">
        <v>55</v>
      </c>
      <c r="FNN54" s="3078"/>
      <c r="FNO54" s="3078"/>
      <c r="FNP54" s="3078"/>
      <c r="FNQ54" s="3078"/>
      <c r="FNR54" s="3078"/>
      <c r="FNS54" s="3078"/>
      <c r="FNT54" s="3078"/>
      <c r="FNU54" s="3075" t="s">
        <v>55</v>
      </c>
      <c r="FNV54" s="3078"/>
      <c r="FNW54" s="3078"/>
      <c r="FNX54" s="3078"/>
      <c r="FNY54" s="3078"/>
      <c r="FNZ54" s="3078"/>
      <c r="FOA54" s="3078"/>
      <c r="FOB54" s="3078"/>
      <c r="FOC54" s="3075" t="s">
        <v>55</v>
      </c>
      <c r="FOD54" s="3078"/>
      <c r="FOE54" s="3078"/>
      <c r="FOF54" s="3078"/>
      <c r="FOG54" s="3078"/>
      <c r="FOH54" s="3078"/>
      <c r="FOI54" s="3078"/>
      <c r="FOJ54" s="3078"/>
      <c r="FOK54" s="3075" t="s">
        <v>55</v>
      </c>
      <c r="FOL54" s="3078"/>
      <c r="FOM54" s="3078"/>
      <c r="FON54" s="3078"/>
      <c r="FOO54" s="3078"/>
      <c r="FOP54" s="3078"/>
      <c r="FOQ54" s="3078"/>
      <c r="FOR54" s="3078"/>
      <c r="FOS54" s="3075" t="s">
        <v>55</v>
      </c>
      <c r="FOT54" s="3078"/>
      <c r="FOU54" s="3078"/>
      <c r="FOV54" s="3078"/>
      <c r="FOW54" s="3078"/>
      <c r="FOX54" s="3078"/>
      <c r="FOY54" s="3078"/>
      <c r="FOZ54" s="3078"/>
      <c r="FPA54" s="3075" t="s">
        <v>55</v>
      </c>
      <c r="FPB54" s="3078"/>
      <c r="FPC54" s="3078"/>
      <c r="FPD54" s="3078"/>
      <c r="FPE54" s="3078"/>
      <c r="FPF54" s="3078"/>
      <c r="FPG54" s="3078"/>
      <c r="FPH54" s="3078"/>
      <c r="FPI54" s="3075" t="s">
        <v>55</v>
      </c>
      <c r="FPJ54" s="3078"/>
      <c r="FPK54" s="3078"/>
      <c r="FPL54" s="3078"/>
      <c r="FPM54" s="3078"/>
      <c r="FPN54" s="3078"/>
      <c r="FPO54" s="3078"/>
      <c r="FPP54" s="3078"/>
      <c r="FPQ54" s="3075" t="s">
        <v>55</v>
      </c>
      <c r="FPR54" s="3078"/>
      <c r="FPS54" s="3078"/>
      <c r="FPT54" s="3078"/>
      <c r="FPU54" s="3078"/>
      <c r="FPV54" s="3078"/>
      <c r="FPW54" s="3078"/>
      <c r="FPX54" s="3078"/>
      <c r="FPY54" s="3075" t="s">
        <v>55</v>
      </c>
      <c r="FPZ54" s="3078"/>
      <c r="FQA54" s="3078"/>
      <c r="FQB54" s="3078"/>
      <c r="FQC54" s="3078"/>
      <c r="FQD54" s="3078"/>
      <c r="FQE54" s="3078"/>
      <c r="FQF54" s="3078"/>
      <c r="FQG54" s="3075" t="s">
        <v>55</v>
      </c>
      <c r="FQH54" s="3078"/>
      <c r="FQI54" s="3078"/>
      <c r="FQJ54" s="3078"/>
      <c r="FQK54" s="3078"/>
      <c r="FQL54" s="3078"/>
      <c r="FQM54" s="3078"/>
      <c r="FQN54" s="3078"/>
      <c r="FQO54" s="3075" t="s">
        <v>55</v>
      </c>
      <c r="FQP54" s="3078"/>
      <c r="FQQ54" s="3078"/>
      <c r="FQR54" s="3078"/>
      <c r="FQS54" s="3078"/>
      <c r="FQT54" s="3078"/>
      <c r="FQU54" s="3078"/>
      <c r="FQV54" s="3078"/>
      <c r="FQW54" s="3075" t="s">
        <v>55</v>
      </c>
      <c r="FQX54" s="3078"/>
      <c r="FQY54" s="3078"/>
      <c r="FQZ54" s="3078"/>
      <c r="FRA54" s="3078"/>
      <c r="FRB54" s="3078"/>
      <c r="FRC54" s="3078"/>
      <c r="FRD54" s="3078"/>
      <c r="FRE54" s="3075" t="s">
        <v>55</v>
      </c>
      <c r="FRF54" s="3078"/>
      <c r="FRG54" s="3078"/>
      <c r="FRH54" s="3078"/>
      <c r="FRI54" s="3078"/>
      <c r="FRJ54" s="3078"/>
      <c r="FRK54" s="3078"/>
      <c r="FRL54" s="3078"/>
      <c r="FRM54" s="3075" t="s">
        <v>55</v>
      </c>
      <c r="FRN54" s="3078"/>
      <c r="FRO54" s="3078"/>
      <c r="FRP54" s="3078"/>
      <c r="FRQ54" s="3078"/>
      <c r="FRR54" s="3078"/>
      <c r="FRS54" s="3078"/>
      <c r="FRT54" s="3078"/>
      <c r="FRU54" s="3075" t="s">
        <v>55</v>
      </c>
      <c r="FRV54" s="3078"/>
      <c r="FRW54" s="3078"/>
      <c r="FRX54" s="3078"/>
      <c r="FRY54" s="3078"/>
      <c r="FRZ54" s="3078"/>
      <c r="FSA54" s="3078"/>
      <c r="FSB54" s="3078"/>
      <c r="FSC54" s="3075" t="s">
        <v>55</v>
      </c>
      <c r="FSD54" s="3078"/>
      <c r="FSE54" s="3078"/>
      <c r="FSF54" s="3078"/>
      <c r="FSG54" s="3078"/>
      <c r="FSH54" s="3078"/>
      <c r="FSI54" s="3078"/>
      <c r="FSJ54" s="3078"/>
      <c r="FSK54" s="3075" t="s">
        <v>55</v>
      </c>
      <c r="FSL54" s="3078"/>
      <c r="FSM54" s="3078"/>
      <c r="FSN54" s="3078"/>
      <c r="FSO54" s="3078"/>
      <c r="FSP54" s="3078"/>
      <c r="FSQ54" s="3078"/>
      <c r="FSR54" s="3078"/>
      <c r="FSS54" s="3075" t="s">
        <v>55</v>
      </c>
      <c r="FST54" s="3078"/>
      <c r="FSU54" s="3078"/>
      <c r="FSV54" s="3078"/>
      <c r="FSW54" s="3078"/>
      <c r="FSX54" s="3078"/>
      <c r="FSY54" s="3078"/>
      <c r="FSZ54" s="3078"/>
      <c r="FTA54" s="3075" t="s">
        <v>55</v>
      </c>
      <c r="FTB54" s="3078"/>
      <c r="FTC54" s="3078"/>
      <c r="FTD54" s="3078"/>
      <c r="FTE54" s="3078"/>
      <c r="FTF54" s="3078"/>
      <c r="FTG54" s="3078"/>
      <c r="FTH54" s="3078"/>
      <c r="FTI54" s="3075" t="s">
        <v>55</v>
      </c>
      <c r="FTJ54" s="3078"/>
      <c r="FTK54" s="3078"/>
      <c r="FTL54" s="3078"/>
      <c r="FTM54" s="3078"/>
      <c r="FTN54" s="3078"/>
      <c r="FTO54" s="3078"/>
      <c r="FTP54" s="3078"/>
      <c r="FTQ54" s="3075" t="s">
        <v>55</v>
      </c>
      <c r="FTR54" s="3078"/>
      <c r="FTS54" s="3078"/>
      <c r="FTT54" s="3078"/>
      <c r="FTU54" s="3078"/>
      <c r="FTV54" s="3078"/>
      <c r="FTW54" s="3078"/>
      <c r="FTX54" s="3078"/>
      <c r="FTY54" s="3075" t="s">
        <v>55</v>
      </c>
      <c r="FTZ54" s="3078"/>
      <c r="FUA54" s="3078"/>
      <c r="FUB54" s="3078"/>
      <c r="FUC54" s="3078"/>
      <c r="FUD54" s="3078"/>
      <c r="FUE54" s="3078"/>
      <c r="FUF54" s="3078"/>
      <c r="FUG54" s="3075" t="s">
        <v>55</v>
      </c>
      <c r="FUH54" s="3078"/>
      <c r="FUI54" s="3078"/>
      <c r="FUJ54" s="3078"/>
      <c r="FUK54" s="3078"/>
      <c r="FUL54" s="3078"/>
      <c r="FUM54" s="3078"/>
      <c r="FUN54" s="3078"/>
      <c r="FUO54" s="3075" t="s">
        <v>55</v>
      </c>
      <c r="FUP54" s="3078"/>
      <c r="FUQ54" s="3078"/>
      <c r="FUR54" s="3078"/>
      <c r="FUS54" s="3078"/>
      <c r="FUT54" s="3078"/>
      <c r="FUU54" s="3078"/>
      <c r="FUV54" s="3078"/>
      <c r="FUW54" s="3075" t="s">
        <v>55</v>
      </c>
      <c r="FUX54" s="3078"/>
      <c r="FUY54" s="3078"/>
      <c r="FUZ54" s="3078"/>
      <c r="FVA54" s="3078"/>
      <c r="FVB54" s="3078"/>
      <c r="FVC54" s="3078"/>
      <c r="FVD54" s="3078"/>
      <c r="FVE54" s="3075" t="s">
        <v>55</v>
      </c>
      <c r="FVF54" s="3078"/>
      <c r="FVG54" s="3078"/>
      <c r="FVH54" s="3078"/>
      <c r="FVI54" s="3078"/>
      <c r="FVJ54" s="3078"/>
      <c r="FVK54" s="3078"/>
      <c r="FVL54" s="3078"/>
      <c r="FVM54" s="3075" t="s">
        <v>55</v>
      </c>
      <c r="FVN54" s="3078"/>
      <c r="FVO54" s="3078"/>
      <c r="FVP54" s="3078"/>
      <c r="FVQ54" s="3078"/>
      <c r="FVR54" s="3078"/>
      <c r="FVS54" s="3078"/>
      <c r="FVT54" s="3078"/>
      <c r="FVU54" s="3075" t="s">
        <v>55</v>
      </c>
      <c r="FVV54" s="3078"/>
      <c r="FVW54" s="3078"/>
      <c r="FVX54" s="3078"/>
      <c r="FVY54" s="3078"/>
      <c r="FVZ54" s="3078"/>
      <c r="FWA54" s="3078"/>
      <c r="FWB54" s="3078"/>
      <c r="FWC54" s="3075" t="s">
        <v>55</v>
      </c>
      <c r="FWD54" s="3078"/>
      <c r="FWE54" s="3078"/>
      <c r="FWF54" s="3078"/>
      <c r="FWG54" s="3078"/>
      <c r="FWH54" s="3078"/>
      <c r="FWI54" s="3078"/>
      <c r="FWJ54" s="3078"/>
      <c r="FWK54" s="3075" t="s">
        <v>55</v>
      </c>
      <c r="FWL54" s="3078"/>
      <c r="FWM54" s="3078"/>
      <c r="FWN54" s="3078"/>
      <c r="FWO54" s="3078"/>
      <c r="FWP54" s="3078"/>
      <c r="FWQ54" s="3078"/>
      <c r="FWR54" s="3078"/>
      <c r="FWS54" s="3075" t="s">
        <v>55</v>
      </c>
      <c r="FWT54" s="3078"/>
      <c r="FWU54" s="3078"/>
      <c r="FWV54" s="3078"/>
      <c r="FWW54" s="3078"/>
      <c r="FWX54" s="3078"/>
      <c r="FWY54" s="3078"/>
      <c r="FWZ54" s="3078"/>
      <c r="FXA54" s="3075" t="s">
        <v>55</v>
      </c>
      <c r="FXB54" s="3078"/>
      <c r="FXC54" s="3078"/>
      <c r="FXD54" s="3078"/>
      <c r="FXE54" s="3078"/>
      <c r="FXF54" s="3078"/>
      <c r="FXG54" s="3078"/>
      <c r="FXH54" s="3078"/>
      <c r="FXI54" s="3075" t="s">
        <v>55</v>
      </c>
      <c r="FXJ54" s="3078"/>
      <c r="FXK54" s="3078"/>
      <c r="FXL54" s="3078"/>
      <c r="FXM54" s="3078"/>
      <c r="FXN54" s="3078"/>
      <c r="FXO54" s="3078"/>
      <c r="FXP54" s="3078"/>
      <c r="FXQ54" s="3075" t="s">
        <v>55</v>
      </c>
      <c r="FXR54" s="3078"/>
      <c r="FXS54" s="3078"/>
      <c r="FXT54" s="3078"/>
      <c r="FXU54" s="3078"/>
      <c r="FXV54" s="3078"/>
      <c r="FXW54" s="3078"/>
      <c r="FXX54" s="3078"/>
      <c r="FXY54" s="3075" t="s">
        <v>55</v>
      </c>
      <c r="FXZ54" s="3078"/>
      <c r="FYA54" s="3078"/>
      <c r="FYB54" s="3078"/>
      <c r="FYC54" s="3078"/>
      <c r="FYD54" s="3078"/>
      <c r="FYE54" s="3078"/>
      <c r="FYF54" s="3078"/>
      <c r="FYG54" s="3075" t="s">
        <v>55</v>
      </c>
      <c r="FYH54" s="3078"/>
      <c r="FYI54" s="3078"/>
      <c r="FYJ54" s="3078"/>
      <c r="FYK54" s="3078"/>
      <c r="FYL54" s="3078"/>
      <c r="FYM54" s="3078"/>
      <c r="FYN54" s="3078"/>
      <c r="FYO54" s="3075" t="s">
        <v>55</v>
      </c>
      <c r="FYP54" s="3078"/>
      <c r="FYQ54" s="3078"/>
      <c r="FYR54" s="3078"/>
      <c r="FYS54" s="3078"/>
      <c r="FYT54" s="3078"/>
      <c r="FYU54" s="3078"/>
      <c r="FYV54" s="3078"/>
      <c r="FYW54" s="3075" t="s">
        <v>55</v>
      </c>
      <c r="FYX54" s="3078"/>
      <c r="FYY54" s="3078"/>
      <c r="FYZ54" s="3078"/>
      <c r="FZA54" s="3078"/>
      <c r="FZB54" s="3078"/>
      <c r="FZC54" s="3078"/>
      <c r="FZD54" s="3078"/>
      <c r="FZE54" s="3075" t="s">
        <v>55</v>
      </c>
      <c r="FZF54" s="3078"/>
      <c r="FZG54" s="3078"/>
      <c r="FZH54" s="3078"/>
      <c r="FZI54" s="3078"/>
      <c r="FZJ54" s="3078"/>
      <c r="FZK54" s="3078"/>
      <c r="FZL54" s="3078"/>
      <c r="FZM54" s="3075" t="s">
        <v>55</v>
      </c>
      <c r="FZN54" s="3078"/>
      <c r="FZO54" s="3078"/>
      <c r="FZP54" s="3078"/>
      <c r="FZQ54" s="3078"/>
      <c r="FZR54" s="3078"/>
      <c r="FZS54" s="3078"/>
      <c r="FZT54" s="3078"/>
      <c r="FZU54" s="3075" t="s">
        <v>55</v>
      </c>
      <c r="FZV54" s="3078"/>
      <c r="FZW54" s="3078"/>
      <c r="FZX54" s="3078"/>
      <c r="FZY54" s="3078"/>
      <c r="FZZ54" s="3078"/>
      <c r="GAA54" s="3078"/>
      <c r="GAB54" s="3078"/>
      <c r="GAC54" s="3075" t="s">
        <v>55</v>
      </c>
      <c r="GAD54" s="3078"/>
      <c r="GAE54" s="3078"/>
      <c r="GAF54" s="3078"/>
      <c r="GAG54" s="3078"/>
      <c r="GAH54" s="3078"/>
      <c r="GAI54" s="3078"/>
      <c r="GAJ54" s="3078"/>
      <c r="GAK54" s="3075" t="s">
        <v>55</v>
      </c>
      <c r="GAL54" s="3078"/>
      <c r="GAM54" s="3078"/>
      <c r="GAN54" s="3078"/>
      <c r="GAO54" s="3078"/>
      <c r="GAP54" s="3078"/>
      <c r="GAQ54" s="3078"/>
      <c r="GAR54" s="3078"/>
      <c r="GAS54" s="3075" t="s">
        <v>55</v>
      </c>
      <c r="GAT54" s="3078"/>
      <c r="GAU54" s="3078"/>
      <c r="GAV54" s="3078"/>
      <c r="GAW54" s="3078"/>
      <c r="GAX54" s="3078"/>
      <c r="GAY54" s="3078"/>
      <c r="GAZ54" s="3078"/>
      <c r="GBA54" s="3075" t="s">
        <v>55</v>
      </c>
      <c r="GBB54" s="3078"/>
      <c r="GBC54" s="3078"/>
      <c r="GBD54" s="3078"/>
      <c r="GBE54" s="3078"/>
      <c r="GBF54" s="3078"/>
      <c r="GBG54" s="3078"/>
      <c r="GBH54" s="3078"/>
      <c r="GBI54" s="3075" t="s">
        <v>55</v>
      </c>
      <c r="GBJ54" s="3078"/>
      <c r="GBK54" s="3078"/>
      <c r="GBL54" s="3078"/>
      <c r="GBM54" s="3078"/>
      <c r="GBN54" s="3078"/>
      <c r="GBO54" s="3078"/>
      <c r="GBP54" s="3078"/>
      <c r="GBQ54" s="3075" t="s">
        <v>55</v>
      </c>
      <c r="GBR54" s="3078"/>
      <c r="GBS54" s="3078"/>
      <c r="GBT54" s="3078"/>
      <c r="GBU54" s="3078"/>
      <c r="GBV54" s="3078"/>
      <c r="GBW54" s="3078"/>
      <c r="GBX54" s="3078"/>
      <c r="GBY54" s="3075" t="s">
        <v>55</v>
      </c>
      <c r="GBZ54" s="3078"/>
      <c r="GCA54" s="3078"/>
      <c r="GCB54" s="3078"/>
      <c r="GCC54" s="3078"/>
      <c r="GCD54" s="3078"/>
      <c r="GCE54" s="3078"/>
      <c r="GCF54" s="3078"/>
      <c r="GCG54" s="3075" t="s">
        <v>55</v>
      </c>
      <c r="GCH54" s="3078"/>
      <c r="GCI54" s="3078"/>
      <c r="GCJ54" s="3078"/>
      <c r="GCK54" s="3078"/>
      <c r="GCL54" s="3078"/>
      <c r="GCM54" s="3078"/>
      <c r="GCN54" s="3078"/>
      <c r="GCO54" s="3075" t="s">
        <v>55</v>
      </c>
      <c r="GCP54" s="3078"/>
      <c r="GCQ54" s="3078"/>
      <c r="GCR54" s="3078"/>
      <c r="GCS54" s="3078"/>
      <c r="GCT54" s="3078"/>
      <c r="GCU54" s="3078"/>
      <c r="GCV54" s="3078"/>
      <c r="GCW54" s="3075" t="s">
        <v>55</v>
      </c>
      <c r="GCX54" s="3078"/>
      <c r="GCY54" s="3078"/>
      <c r="GCZ54" s="3078"/>
      <c r="GDA54" s="3078"/>
      <c r="GDB54" s="3078"/>
      <c r="GDC54" s="3078"/>
      <c r="GDD54" s="3078"/>
      <c r="GDE54" s="3075" t="s">
        <v>55</v>
      </c>
      <c r="GDF54" s="3078"/>
      <c r="GDG54" s="3078"/>
      <c r="GDH54" s="3078"/>
      <c r="GDI54" s="3078"/>
      <c r="GDJ54" s="3078"/>
      <c r="GDK54" s="3078"/>
      <c r="GDL54" s="3078"/>
      <c r="GDM54" s="3075" t="s">
        <v>55</v>
      </c>
      <c r="GDN54" s="3078"/>
      <c r="GDO54" s="3078"/>
      <c r="GDP54" s="3078"/>
      <c r="GDQ54" s="3078"/>
      <c r="GDR54" s="3078"/>
      <c r="GDS54" s="3078"/>
      <c r="GDT54" s="3078"/>
      <c r="GDU54" s="3075" t="s">
        <v>55</v>
      </c>
      <c r="GDV54" s="3078"/>
      <c r="GDW54" s="3078"/>
      <c r="GDX54" s="3078"/>
      <c r="GDY54" s="3078"/>
      <c r="GDZ54" s="3078"/>
      <c r="GEA54" s="3078"/>
      <c r="GEB54" s="3078"/>
      <c r="GEC54" s="3075" t="s">
        <v>55</v>
      </c>
      <c r="GED54" s="3078"/>
      <c r="GEE54" s="3078"/>
      <c r="GEF54" s="3078"/>
      <c r="GEG54" s="3078"/>
      <c r="GEH54" s="3078"/>
      <c r="GEI54" s="3078"/>
      <c r="GEJ54" s="3078"/>
      <c r="GEK54" s="3075" t="s">
        <v>55</v>
      </c>
      <c r="GEL54" s="3078"/>
      <c r="GEM54" s="3078"/>
      <c r="GEN54" s="3078"/>
      <c r="GEO54" s="3078"/>
      <c r="GEP54" s="3078"/>
      <c r="GEQ54" s="3078"/>
      <c r="GER54" s="3078"/>
      <c r="GES54" s="3075" t="s">
        <v>55</v>
      </c>
      <c r="GET54" s="3078"/>
      <c r="GEU54" s="3078"/>
      <c r="GEV54" s="3078"/>
      <c r="GEW54" s="3078"/>
      <c r="GEX54" s="3078"/>
      <c r="GEY54" s="3078"/>
      <c r="GEZ54" s="3078"/>
      <c r="GFA54" s="3075" t="s">
        <v>55</v>
      </c>
      <c r="GFB54" s="3078"/>
      <c r="GFC54" s="3078"/>
      <c r="GFD54" s="3078"/>
      <c r="GFE54" s="3078"/>
      <c r="GFF54" s="3078"/>
      <c r="GFG54" s="3078"/>
      <c r="GFH54" s="3078"/>
      <c r="GFI54" s="3075" t="s">
        <v>55</v>
      </c>
      <c r="GFJ54" s="3078"/>
      <c r="GFK54" s="3078"/>
      <c r="GFL54" s="3078"/>
      <c r="GFM54" s="3078"/>
      <c r="GFN54" s="3078"/>
      <c r="GFO54" s="3078"/>
      <c r="GFP54" s="3078"/>
      <c r="GFQ54" s="3075" t="s">
        <v>55</v>
      </c>
      <c r="GFR54" s="3078"/>
      <c r="GFS54" s="3078"/>
      <c r="GFT54" s="3078"/>
      <c r="GFU54" s="3078"/>
      <c r="GFV54" s="3078"/>
      <c r="GFW54" s="3078"/>
      <c r="GFX54" s="3078"/>
      <c r="GFY54" s="3075" t="s">
        <v>55</v>
      </c>
      <c r="GFZ54" s="3078"/>
      <c r="GGA54" s="3078"/>
      <c r="GGB54" s="3078"/>
      <c r="GGC54" s="3078"/>
      <c r="GGD54" s="3078"/>
      <c r="GGE54" s="3078"/>
      <c r="GGF54" s="3078"/>
      <c r="GGG54" s="3075" t="s">
        <v>55</v>
      </c>
      <c r="GGH54" s="3078"/>
      <c r="GGI54" s="3078"/>
      <c r="GGJ54" s="3078"/>
      <c r="GGK54" s="3078"/>
      <c r="GGL54" s="3078"/>
      <c r="GGM54" s="3078"/>
      <c r="GGN54" s="3078"/>
      <c r="GGO54" s="3075" t="s">
        <v>55</v>
      </c>
      <c r="GGP54" s="3078"/>
      <c r="GGQ54" s="3078"/>
      <c r="GGR54" s="3078"/>
      <c r="GGS54" s="3078"/>
      <c r="GGT54" s="3078"/>
      <c r="GGU54" s="3078"/>
      <c r="GGV54" s="3078"/>
      <c r="GGW54" s="3075" t="s">
        <v>55</v>
      </c>
      <c r="GGX54" s="3078"/>
      <c r="GGY54" s="3078"/>
      <c r="GGZ54" s="3078"/>
      <c r="GHA54" s="3078"/>
      <c r="GHB54" s="3078"/>
      <c r="GHC54" s="3078"/>
      <c r="GHD54" s="3078"/>
      <c r="GHE54" s="3075" t="s">
        <v>55</v>
      </c>
      <c r="GHF54" s="3078"/>
      <c r="GHG54" s="3078"/>
      <c r="GHH54" s="3078"/>
      <c r="GHI54" s="3078"/>
      <c r="GHJ54" s="3078"/>
      <c r="GHK54" s="3078"/>
      <c r="GHL54" s="3078"/>
      <c r="GHM54" s="3075" t="s">
        <v>55</v>
      </c>
      <c r="GHN54" s="3078"/>
      <c r="GHO54" s="3078"/>
      <c r="GHP54" s="3078"/>
      <c r="GHQ54" s="3078"/>
      <c r="GHR54" s="3078"/>
      <c r="GHS54" s="3078"/>
      <c r="GHT54" s="3078"/>
      <c r="GHU54" s="3075" t="s">
        <v>55</v>
      </c>
      <c r="GHV54" s="3078"/>
      <c r="GHW54" s="3078"/>
      <c r="GHX54" s="3078"/>
      <c r="GHY54" s="3078"/>
      <c r="GHZ54" s="3078"/>
      <c r="GIA54" s="3078"/>
      <c r="GIB54" s="3078"/>
      <c r="GIC54" s="3075" t="s">
        <v>55</v>
      </c>
      <c r="GID54" s="3078"/>
      <c r="GIE54" s="3078"/>
      <c r="GIF54" s="3078"/>
      <c r="GIG54" s="3078"/>
      <c r="GIH54" s="3078"/>
      <c r="GII54" s="3078"/>
      <c r="GIJ54" s="3078"/>
      <c r="GIK54" s="3075" t="s">
        <v>55</v>
      </c>
      <c r="GIL54" s="3078"/>
      <c r="GIM54" s="3078"/>
      <c r="GIN54" s="3078"/>
      <c r="GIO54" s="3078"/>
      <c r="GIP54" s="3078"/>
      <c r="GIQ54" s="3078"/>
      <c r="GIR54" s="3078"/>
      <c r="GIS54" s="3075" t="s">
        <v>55</v>
      </c>
      <c r="GIT54" s="3078"/>
      <c r="GIU54" s="3078"/>
      <c r="GIV54" s="3078"/>
      <c r="GIW54" s="3078"/>
      <c r="GIX54" s="3078"/>
      <c r="GIY54" s="3078"/>
      <c r="GIZ54" s="3078"/>
      <c r="GJA54" s="3075" t="s">
        <v>55</v>
      </c>
      <c r="GJB54" s="3078"/>
      <c r="GJC54" s="3078"/>
      <c r="GJD54" s="3078"/>
      <c r="GJE54" s="3078"/>
      <c r="GJF54" s="3078"/>
      <c r="GJG54" s="3078"/>
      <c r="GJH54" s="3078"/>
      <c r="GJI54" s="3075" t="s">
        <v>55</v>
      </c>
      <c r="GJJ54" s="3078"/>
      <c r="GJK54" s="3078"/>
      <c r="GJL54" s="3078"/>
      <c r="GJM54" s="3078"/>
      <c r="GJN54" s="3078"/>
      <c r="GJO54" s="3078"/>
      <c r="GJP54" s="3078"/>
      <c r="GJQ54" s="3075" t="s">
        <v>55</v>
      </c>
      <c r="GJR54" s="3078"/>
      <c r="GJS54" s="3078"/>
      <c r="GJT54" s="3078"/>
      <c r="GJU54" s="3078"/>
      <c r="GJV54" s="3078"/>
      <c r="GJW54" s="3078"/>
      <c r="GJX54" s="3078"/>
      <c r="GJY54" s="3075" t="s">
        <v>55</v>
      </c>
      <c r="GJZ54" s="3078"/>
      <c r="GKA54" s="3078"/>
      <c r="GKB54" s="3078"/>
      <c r="GKC54" s="3078"/>
      <c r="GKD54" s="3078"/>
      <c r="GKE54" s="3078"/>
      <c r="GKF54" s="3078"/>
      <c r="GKG54" s="3075" t="s">
        <v>55</v>
      </c>
      <c r="GKH54" s="3078"/>
      <c r="GKI54" s="3078"/>
      <c r="GKJ54" s="3078"/>
      <c r="GKK54" s="3078"/>
      <c r="GKL54" s="3078"/>
      <c r="GKM54" s="3078"/>
      <c r="GKN54" s="3078"/>
      <c r="GKO54" s="3075" t="s">
        <v>55</v>
      </c>
      <c r="GKP54" s="3078"/>
      <c r="GKQ54" s="3078"/>
      <c r="GKR54" s="3078"/>
      <c r="GKS54" s="3078"/>
      <c r="GKT54" s="3078"/>
      <c r="GKU54" s="3078"/>
      <c r="GKV54" s="3078"/>
      <c r="GKW54" s="3075" t="s">
        <v>55</v>
      </c>
      <c r="GKX54" s="3078"/>
      <c r="GKY54" s="3078"/>
      <c r="GKZ54" s="3078"/>
      <c r="GLA54" s="3078"/>
      <c r="GLB54" s="3078"/>
      <c r="GLC54" s="3078"/>
      <c r="GLD54" s="3078"/>
      <c r="GLE54" s="3075" t="s">
        <v>55</v>
      </c>
      <c r="GLF54" s="3078"/>
      <c r="GLG54" s="3078"/>
      <c r="GLH54" s="3078"/>
      <c r="GLI54" s="3078"/>
      <c r="GLJ54" s="3078"/>
      <c r="GLK54" s="3078"/>
      <c r="GLL54" s="3078"/>
      <c r="GLM54" s="3075" t="s">
        <v>55</v>
      </c>
      <c r="GLN54" s="3078"/>
      <c r="GLO54" s="3078"/>
      <c r="GLP54" s="3078"/>
      <c r="GLQ54" s="3078"/>
      <c r="GLR54" s="3078"/>
      <c r="GLS54" s="3078"/>
      <c r="GLT54" s="3078"/>
      <c r="GLU54" s="3075" t="s">
        <v>55</v>
      </c>
      <c r="GLV54" s="3078"/>
      <c r="GLW54" s="3078"/>
      <c r="GLX54" s="3078"/>
      <c r="GLY54" s="3078"/>
      <c r="GLZ54" s="3078"/>
      <c r="GMA54" s="3078"/>
      <c r="GMB54" s="3078"/>
      <c r="GMC54" s="3075" t="s">
        <v>55</v>
      </c>
      <c r="GMD54" s="3078"/>
      <c r="GME54" s="3078"/>
      <c r="GMF54" s="3078"/>
      <c r="GMG54" s="3078"/>
      <c r="GMH54" s="3078"/>
      <c r="GMI54" s="3078"/>
      <c r="GMJ54" s="3078"/>
      <c r="GMK54" s="3075" t="s">
        <v>55</v>
      </c>
      <c r="GML54" s="3078"/>
      <c r="GMM54" s="3078"/>
      <c r="GMN54" s="3078"/>
      <c r="GMO54" s="3078"/>
      <c r="GMP54" s="3078"/>
      <c r="GMQ54" s="3078"/>
      <c r="GMR54" s="3078"/>
      <c r="GMS54" s="3075" t="s">
        <v>55</v>
      </c>
      <c r="GMT54" s="3078"/>
      <c r="GMU54" s="3078"/>
      <c r="GMV54" s="3078"/>
      <c r="GMW54" s="3078"/>
      <c r="GMX54" s="3078"/>
      <c r="GMY54" s="3078"/>
      <c r="GMZ54" s="3078"/>
      <c r="GNA54" s="3075" t="s">
        <v>55</v>
      </c>
      <c r="GNB54" s="3078"/>
      <c r="GNC54" s="3078"/>
      <c r="GND54" s="3078"/>
      <c r="GNE54" s="3078"/>
      <c r="GNF54" s="3078"/>
      <c r="GNG54" s="3078"/>
      <c r="GNH54" s="3078"/>
      <c r="GNI54" s="3075" t="s">
        <v>55</v>
      </c>
      <c r="GNJ54" s="3078"/>
      <c r="GNK54" s="3078"/>
      <c r="GNL54" s="3078"/>
      <c r="GNM54" s="3078"/>
      <c r="GNN54" s="3078"/>
      <c r="GNO54" s="3078"/>
      <c r="GNP54" s="3078"/>
      <c r="GNQ54" s="3075" t="s">
        <v>55</v>
      </c>
      <c r="GNR54" s="3078"/>
      <c r="GNS54" s="3078"/>
      <c r="GNT54" s="3078"/>
      <c r="GNU54" s="3078"/>
      <c r="GNV54" s="3078"/>
      <c r="GNW54" s="3078"/>
      <c r="GNX54" s="3078"/>
      <c r="GNY54" s="3075" t="s">
        <v>55</v>
      </c>
      <c r="GNZ54" s="3078"/>
      <c r="GOA54" s="3078"/>
      <c r="GOB54" s="3078"/>
      <c r="GOC54" s="3078"/>
      <c r="GOD54" s="3078"/>
      <c r="GOE54" s="3078"/>
      <c r="GOF54" s="3078"/>
      <c r="GOG54" s="3075" t="s">
        <v>55</v>
      </c>
      <c r="GOH54" s="3078"/>
      <c r="GOI54" s="3078"/>
      <c r="GOJ54" s="3078"/>
      <c r="GOK54" s="3078"/>
      <c r="GOL54" s="3078"/>
      <c r="GOM54" s="3078"/>
      <c r="GON54" s="3078"/>
      <c r="GOO54" s="3075" t="s">
        <v>55</v>
      </c>
      <c r="GOP54" s="3078"/>
      <c r="GOQ54" s="3078"/>
      <c r="GOR54" s="3078"/>
      <c r="GOS54" s="3078"/>
      <c r="GOT54" s="3078"/>
      <c r="GOU54" s="3078"/>
      <c r="GOV54" s="3078"/>
      <c r="GOW54" s="3075" t="s">
        <v>55</v>
      </c>
      <c r="GOX54" s="3078"/>
      <c r="GOY54" s="3078"/>
      <c r="GOZ54" s="3078"/>
      <c r="GPA54" s="3078"/>
      <c r="GPB54" s="3078"/>
      <c r="GPC54" s="3078"/>
      <c r="GPD54" s="3078"/>
      <c r="GPE54" s="3075" t="s">
        <v>55</v>
      </c>
      <c r="GPF54" s="3078"/>
      <c r="GPG54" s="3078"/>
      <c r="GPH54" s="3078"/>
      <c r="GPI54" s="3078"/>
      <c r="GPJ54" s="3078"/>
      <c r="GPK54" s="3078"/>
      <c r="GPL54" s="3078"/>
      <c r="GPM54" s="3075" t="s">
        <v>55</v>
      </c>
      <c r="GPN54" s="3078"/>
      <c r="GPO54" s="3078"/>
      <c r="GPP54" s="3078"/>
      <c r="GPQ54" s="3078"/>
      <c r="GPR54" s="3078"/>
      <c r="GPS54" s="3078"/>
      <c r="GPT54" s="3078"/>
      <c r="GPU54" s="3075" t="s">
        <v>55</v>
      </c>
      <c r="GPV54" s="3078"/>
      <c r="GPW54" s="3078"/>
      <c r="GPX54" s="3078"/>
      <c r="GPY54" s="3078"/>
      <c r="GPZ54" s="3078"/>
      <c r="GQA54" s="3078"/>
      <c r="GQB54" s="3078"/>
      <c r="GQC54" s="3075" t="s">
        <v>55</v>
      </c>
      <c r="GQD54" s="3078"/>
      <c r="GQE54" s="3078"/>
      <c r="GQF54" s="3078"/>
      <c r="GQG54" s="3078"/>
      <c r="GQH54" s="3078"/>
      <c r="GQI54" s="3078"/>
      <c r="GQJ54" s="3078"/>
      <c r="GQK54" s="3075" t="s">
        <v>55</v>
      </c>
      <c r="GQL54" s="3078"/>
      <c r="GQM54" s="3078"/>
      <c r="GQN54" s="3078"/>
      <c r="GQO54" s="3078"/>
      <c r="GQP54" s="3078"/>
      <c r="GQQ54" s="3078"/>
      <c r="GQR54" s="3078"/>
      <c r="GQS54" s="3075" t="s">
        <v>55</v>
      </c>
      <c r="GQT54" s="3078"/>
      <c r="GQU54" s="3078"/>
      <c r="GQV54" s="3078"/>
      <c r="GQW54" s="3078"/>
      <c r="GQX54" s="3078"/>
      <c r="GQY54" s="3078"/>
      <c r="GQZ54" s="3078"/>
      <c r="GRA54" s="3075" t="s">
        <v>55</v>
      </c>
      <c r="GRB54" s="3078"/>
      <c r="GRC54" s="3078"/>
      <c r="GRD54" s="3078"/>
      <c r="GRE54" s="3078"/>
      <c r="GRF54" s="3078"/>
      <c r="GRG54" s="3078"/>
      <c r="GRH54" s="3078"/>
      <c r="GRI54" s="3075" t="s">
        <v>55</v>
      </c>
      <c r="GRJ54" s="3078"/>
      <c r="GRK54" s="3078"/>
      <c r="GRL54" s="3078"/>
      <c r="GRM54" s="3078"/>
      <c r="GRN54" s="3078"/>
      <c r="GRO54" s="3078"/>
      <c r="GRP54" s="3078"/>
      <c r="GRQ54" s="3075" t="s">
        <v>55</v>
      </c>
      <c r="GRR54" s="3078"/>
      <c r="GRS54" s="3078"/>
      <c r="GRT54" s="3078"/>
      <c r="GRU54" s="3078"/>
      <c r="GRV54" s="3078"/>
      <c r="GRW54" s="3078"/>
      <c r="GRX54" s="3078"/>
      <c r="GRY54" s="3075" t="s">
        <v>55</v>
      </c>
      <c r="GRZ54" s="3078"/>
      <c r="GSA54" s="3078"/>
      <c r="GSB54" s="3078"/>
      <c r="GSC54" s="3078"/>
      <c r="GSD54" s="3078"/>
      <c r="GSE54" s="3078"/>
      <c r="GSF54" s="3078"/>
      <c r="GSG54" s="3075" t="s">
        <v>55</v>
      </c>
      <c r="GSH54" s="3078"/>
      <c r="GSI54" s="3078"/>
      <c r="GSJ54" s="3078"/>
      <c r="GSK54" s="3078"/>
      <c r="GSL54" s="3078"/>
      <c r="GSM54" s="3078"/>
      <c r="GSN54" s="3078"/>
      <c r="GSO54" s="3075" t="s">
        <v>55</v>
      </c>
      <c r="GSP54" s="3078"/>
      <c r="GSQ54" s="3078"/>
      <c r="GSR54" s="3078"/>
      <c r="GSS54" s="3078"/>
      <c r="GST54" s="3078"/>
      <c r="GSU54" s="3078"/>
      <c r="GSV54" s="3078"/>
      <c r="GSW54" s="3075" t="s">
        <v>55</v>
      </c>
      <c r="GSX54" s="3078"/>
      <c r="GSY54" s="3078"/>
      <c r="GSZ54" s="3078"/>
      <c r="GTA54" s="3078"/>
      <c r="GTB54" s="3078"/>
      <c r="GTC54" s="3078"/>
      <c r="GTD54" s="3078"/>
      <c r="GTE54" s="3075" t="s">
        <v>55</v>
      </c>
      <c r="GTF54" s="3078"/>
      <c r="GTG54" s="3078"/>
      <c r="GTH54" s="3078"/>
      <c r="GTI54" s="3078"/>
      <c r="GTJ54" s="3078"/>
      <c r="GTK54" s="3078"/>
      <c r="GTL54" s="3078"/>
      <c r="GTM54" s="3075" t="s">
        <v>55</v>
      </c>
      <c r="GTN54" s="3078"/>
      <c r="GTO54" s="3078"/>
      <c r="GTP54" s="3078"/>
      <c r="GTQ54" s="3078"/>
      <c r="GTR54" s="3078"/>
      <c r="GTS54" s="3078"/>
      <c r="GTT54" s="3078"/>
      <c r="GTU54" s="3075" t="s">
        <v>55</v>
      </c>
      <c r="GTV54" s="3078"/>
      <c r="GTW54" s="3078"/>
      <c r="GTX54" s="3078"/>
      <c r="GTY54" s="3078"/>
      <c r="GTZ54" s="3078"/>
      <c r="GUA54" s="3078"/>
      <c r="GUB54" s="3078"/>
      <c r="GUC54" s="3075" t="s">
        <v>55</v>
      </c>
      <c r="GUD54" s="3078"/>
      <c r="GUE54" s="3078"/>
      <c r="GUF54" s="3078"/>
      <c r="GUG54" s="3078"/>
      <c r="GUH54" s="3078"/>
      <c r="GUI54" s="3078"/>
      <c r="GUJ54" s="3078"/>
      <c r="GUK54" s="3075" t="s">
        <v>55</v>
      </c>
      <c r="GUL54" s="3078"/>
      <c r="GUM54" s="3078"/>
      <c r="GUN54" s="3078"/>
      <c r="GUO54" s="3078"/>
      <c r="GUP54" s="3078"/>
      <c r="GUQ54" s="3078"/>
      <c r="GUR54" s="3078"/>
      <c r="GUS54" s="3075" t="s">
        <v>55</v>
      </c>
      <c r="GUT54" s="3078"/>
      <c r="GUU54" s="3078"/>
      <c r="GUV54" s="3078"/>
      <c r="GUW54" s="3078"/>
      <c r="GUX54" s="3078"/>
      <c r="GUY54" s="3078"/>
      <c r="GUZ54" s="3078"/>
      <c r="GVA54" s="3075" t="s">
        <v>55</v>
      </c>
      <c r="GVB54" s="3078"/>
      <c r="GVC54" s="3078"/>
      <c r="GVD54" s="3078"/>
      <c r="GVE54" s="3078"/>
      <c r="GVF54" s="3078"/>
      <c r="GVG54" s="3078"/>
      <c r="GVH54" s="3078"/>
      <c r="GVI54" s="3075" t="s">
        <v>55</v>
      </c>
      <c r="GVJ54" s="3078"/>
      <c r="GVK54" s="3078"/>
      <c r="GVL54" s="3078"/>
      <c r="GVM54" s="3078"/>
      <c r="GVN54" s="3078"/>
      <c r="GVO54" s="3078"/>
      <c r="GVP54" s="3078"/>
      <c r="GVQ54" s="3075" t="s">
        <v>55</v>
      </c>
      <c r="GVR54" s="3078"/>
      <c r="GVS54" s="3078"/>
      <c r="GVT54" s="3078"/>
      <c r="GVU54" s="3078"/>
      <c r="GVV54" s="3078"/>
      <c r="GVW54" s="3078"/>
      <c r="GVX54" s="3078"/>
      <c r="GVY54" s="3075" t="s">
        <v>55</v>
      </c>
      <c r="GVZ54" s="3078"/>
      <c r="GWA54" s="3078"/>
      <c r="GWB54" s="3078"/>
      <c r="GWC54" s="3078"/>
      <c r="GWD54" s="3078"/>
      <c r="GWE54" s="3078"/>
      <c r="GWF54" s="3078"/>
      <c r="GWG54" s="3075" t="s">
        <v>55</v>
      </c>
      <c r="GWH54" s="3078"/>
      <c r="GWI54" s="3078"/>
      <c r="GWJ54" s="3078"/>
      <c r="GWK54" s="3078"/>
      <c r="GWL54" s="3078"/>
      <c r="GWM54" s="3078"/>
      <c r="GWN54" s="3078"/>
      <c r="GWO54" s="3075" t="s">
        <v>55</v>
      </c>
      <c r="GWP54" s="3078"/>
      <c r="GWQ54" s="3078"/>
      <c r="GWR54" s="3078"/>
      <c r="GWS54" s="3078"/>
      <c r="GWT54" s="3078"/>
      <c r="GWU54" s="3078"/>
      <c r="GWV54" s="3078"/>
      <c r="GWW54" s="3075" t="s">
        <v>55</v>
      </c>
      <c r="GWX54" s="3078"/>
      <c r="GWY54" s="3078"/>
      <c r="GWZ54" s="3078"/>
      <c r="GXA54" s="3078"/>
      <c r="GXB54" s="3078"/>
      <c r="GXC54" s="3078"/>
      <c r="GXD54" s="3078"/>
      <c r="GXE54" s="3075" t="s">
        <v>55</v>
      </c>
      <c r="GXF54" s="3078"/>
      <c r="GXG54" s="3078"/>
      <c r="GXH54" s="3078"/>
      <c r="GXI54" s="3078"/>
      <c r="GXJ54" s="3078"/>
      <c r="GXK54" s="3078"/>
      <c r="GXL54" s="3078"/>
      <c r="GXM54" s="3075" t="s">
        <v>55</v>
      </c>
      <c r="GXN54" s="3078"/>
      <c r="GXO54" s="3078"/>
      <c r="GXP54" s="3078"/>
      <c r="GXQ54" s="3078"/>
      <c r="GXR54" s="3078"/>
      <c r="GXS54" s="3078"/>
      <c r="GXT54" s="3078"/>
      <c r="GXU54" s="3075" t="s">
        <v>55</v>
      </c>
      <c r="GXV54" s="3078"/>
      <c r="GXW54" s="3078"/>
      <c r="GXX54" s="3078"/>
      <c r="GXY54" s="3078"/>
      <c r="GXZ54" s="3078"/>
      <c r="GYA54" s="3078"/>
      <c r="GYB54" s="3078"/>
      <c r="GYC54" s="3075" t="s">
        <v>55</v>
      </c>
      <c r="GYD54" s="3078"/>
      <c r="GYE54" s="3078"/>
      <c r="GYF54" s="3078"/>
      <c r="GYG54" s="3078"/>
      <c r="GYH54" s="3078"/>
      <c r="GYI54" s="3078"/>
      <c r="GYJ54" s="3078"/>
      <c r="GYK54" s="3075" t="s">
        <v>55</v>
      </c>
      <c r="GYL54" s="3078"/>
      <c r="GYM54" s="3078"/>
      <c r="GYN54" s="3078"/>
      <c r="GYO54" s="3078"/>
      <c r="GYP54" s="3078"/>
      <c r="GYQ54" s="3078"/>
      <c r="GYR54" s="3078"/>
      <c r="GYS54" s="3075" t="s">
        <v>55</v>
      </c>
      <c r="GYT54" s="3078"/>
      <c r="GYU54" s="3078"/>
      <c r="GYV54" s="3078"/>
      <c r="GYW54" s="3078"/>
      <c r="GYX54" s="3078"/>
      <c r="GYY54" s="3078"/>
      <c r="GYZ54" s="3078"/>
      <c r="GZA54" s="3075" t="s">
        <v>55</v>
      </c>
      <c r="GZB54" s="3078"/>
      <c r="GZC54" s="3078"/>
      <c r="GZD54" s="3078"/>
      <c r="GZE54" s="3078"/>
      <c r="GZF54" s="3078"/>
      <c r="GZG54" s="3078"/>
      <c r="GZH54" s="3078"/>
      <c r="GZI54" s="3075" t="s">
        <v>55</v>
      </c>
      <c r="GZJ54" s="3078"/>
      <c r="GZK54" s="3078"/>
      <c r="GZL54" s="3078"/>
      <c r="GZM54" s="3078"/>
      <c r="GZN54" s="3078"/>
      <c r="GZO54" s="3078"/>
      <c r="GZP54" s="3078"/>
      <c r="GZQ54" s="3075" t="s">
        <v>55</v>
      </c>
      <c r="GZR54" s="3078"/>
      <c r="GZS54" s="3078"/>
      <c r="GZT54" s="3078"/>
      <c r="GZU54" s="3078"/>
      <c r="GZV54" s="3078"/>
      <c r="GZW54" s="3078"/>
      <c r="GZX54" s="3078"/>
      <c r="GZY54" s="3075" t="s">
        <v>55</v>
      </c>
      <c r="GZZ54" s="3078"/>
      <c r="HAA54" s="3078"/>
      <c r="HAB54" s="3078"/>
      <c r="HAC54" s="3078"/>
      <c r="HAD54" s="3078"/>
      <c r="HAE54" s="3078"/>
      <c r="HAF54" s="3078"/>
      <c r="HAG54" s="3075" t="s">
        <v>55</v>
      </c>
      <c r="HAH54" s="3078"/>
      <c r="HAI54" s="3078"/>
      <c r="HAJ54" s="3078"/>
      <c r="HAK54" s="3078"/>
      <c r="HAL54" s="3078"/>
      <c r="HAM54" s="3078"/>
      <c r="HAN54" s="3078"/>
      <c r="HAO54" s="3075" t="s">
        <v>55</v>
      </c>
      <c r="HAP54" s="3078"/>
      <c r="HAQ54" s="3078"/>
      <c r="HAR54" s="3078"/>
      <c r="HAS54" s="3078"/>
      <c r="HAT54" s="3078"/>
      <c r="HAU54" s="3078"/>
      <c r="HAV54" s="3078"/>
      <c r="HAW54" s="3075" t="s">
        <v>55</v>
      </c>
      <c r="HAX54" s="3078"/>
      <c r="HAY54" s="3078"/>
      <c r="HAZ54" s="3078"/>
      <c r="HBA54" s="3078"/>
      <c r="HBB54" s="3078"/>
      <c r="HBC54" s="3078"/>
      <c r="HBD54" s="3078"/>
      <c r="HBE54" s="3075" t="s">
        <v>55</v>
      </c>
      <c r="HBF54" s="3078"/>
      <c r="HBG54" s="3078"/>
      <c r="HBH54" s="3078"/>
      <c r="HBI54" s="3078"/>
      <c r="HBJ54" s="3078"/>
      <c r="HBK54" s="3078"/>
      <c r="HBL54" s="3078"/>
      <c r="HBM54" s="3075" t="s">
        <v>55</v>
      </c>
      <c r="HBN54" s="3078"/>
      <c r="HBO54" s="3078"/>
      <c r="HBP54" s="3078"/>
      <c r="HBQ54" s="3078"/>
      <c r="HBR54" s="3078"/>
      <c r="HBS54" s="3078"/>
      <c r="HBT54" s="3078"/>
      <c r="HBU54" s="3075" t="s">
        <v>55</v>
      </c>
      <c r="HBV54" s="3078"/>
      <c r="HBW54" s="3078"/>
      <c r="HBX54" s="3078"/>
      <c r="HBY54" s="3078"/>
      <c r="HBZ54" s="3078"/>
      <c r="HCA54" s="3078"/>
      <c r="HCB54" s="3078"/>
      <c r="HCC54" s="3075" t="s">
        <v>55</v>
      </c>
      <c r="HCD54" s="3078"/>
      <c r="HCE54" s="3078"/>
      <c r="HCF54" s="3078"/>
      <c r="HCG54" s="3078"/>
      <c r="HCH54" s="3078"/>
      <c r="HCI54" s="3078"/>
      <c r="HCJ54" s="3078"/>
      <c r="HCK54" s="3075" t="s">
        <v>55</v>
      </c>
      <c r="HCL54" s="3078"/>
      <c r="HCM54" s="3078"/>
      <c r="HCN54" s="3078"/>
      <c r="HCO54" s="3078"/>
      <c r="HCP54" s="3078"/>
      <c r="HCQ54" s="3078"/>
      <c r="HCR54" s="3078"/>
      <c r="HCS54" s="3075" t="s">
        <v>55</v>
      </c>
      <c r="HCT54" s="3078"/>
      <c r="HCU54" s="3078"/>
      <c r="HCV54" s="3078"/>
      <c r="HCW54" s="3078"/>
      <c r="HCX54" s="3078"/>
      <c r="HCY54" s="3078"/>
      <c r="HCZ54" s="3078"/>
      <c r="HDA54" s="3075" t="s">
        <v>55</v>
      </c>
      <c r="HDB54" s="3078"/>
      <c r="HDC54" s="3078"/>
      <c r="HDD54" s="3078"/>
      <c r="HDE54" s="3078"/>
      <c r="HDF54" s="3078"/>
      <c r="HDG54" s="3078"/>
      <c r="HDH54" s="3078"/>
      <c r="HDI54" s="3075" t="s">
        <v>55</v>
      </c>
      <c r="HDJ54" s="3078"/>
      <c r="HDK54" s="3078"/>
      <c r="HDL54" s="3078"/>
      <c r="HDM54" s="3078"/>
      <c r="HDN54" s="3078"/>
      <c r="HDO54" s="3078"/>
      <c r="HDP54" s="3078"/>
      <c r="HDQ54" s="3075" t="s">
        <v>55</v>
      </c>
      <c r="HDR54" s="3078"/>
      <c r="HDS54" s="3078"/>
      <c r="HDT54" s="3078"/>
      <c r="HDU54" s="3078"/>
      <c r="HDV54" s="3078"/>
      <c r="HDW54" s="3078"/>
      <c r="HDX54" s="3078"/>
      <c r="HDY54" s="3075" t="s">
        <v>55</v>
      </c>
      <c r="HDZ54" s="3078"/>
      <c r="HEA54" s="3078"/>
      <c r="HEB54" s="3078"/>
      <c r="HEC54" s="3078"/>
      <c r="HED54" s="3078"/>
      <c r="HEE54" s="3078"/>
      <c r="HEF54" s="3078"/>
      <c r="HEG54" s="3075" t="s">
        <v>55</v>
      </c>
      <c r="HEH54" s="3078"/>
      <c r="HEI54" s="3078"/>
      <c r="HEJ54" s="3078"/>
      <c r="HEK54" s="3078"/>
      <c r="HEL54" s="3078"/>
      <c r="HEM54" s="3078"/>
      <c r="HEN54" s="3078"/>
      <c r="HEO54" s="3075" t="s">
        <v>55</v>
      </c>
      <c r="HEP54" s="3078"/>
      <c r="HEQ54" s="3078"/>
      <c r="HER54" s="3078"/>
      <c r="HES54" s="3078"/>
      <c r="HET54" s="3078"/>
      <c r="HEU54" s="3078"/>
      <c r="HEV54" s="3078"/>
      <c r="HEW54" s="3075" t="s">
        <v>55</v>
      </c>
      <c r="HEX54" s="3078"/>
      <c r="HEY54" s="3078"/>
      <c r="HEZ54" s="3078"/>
      <c r="HFA54" s="3078"/>
      <c r="HFB54" s="3078"/>
      <c r="HFC54" s="3078"/>
      <c r="HFD54" s="3078"/>
      <c r="HFE54" s="3075" t="s">
        <v>55</v>
      </c>
      <c r="HFF54" s="3078"/>
      <c r="HFG54" s="3078"/>
      <c r="HFH54" s="3078"/>
      <c r="HFI54" s="3078"/>
      <c r="HFJ54" s="3078"/>
      <c r="HFK54" s="3078"/>
      <c r="HFL54" s="3078"/>
      <c r="HFM54" s="3075" t="s">
        <v>55</v>
      </c>
      <c r="HFN54" s="3078"/>
      <c r="HFO54" s="3078"/>
      <c r="HFP54" s="3078"/>
      <c r="HFQ54" s="3078"/>
      <c r="HFR54" s="3078"/>
      <c r="HFS54" s="3078"/>
      <c r="HFT54" s="3078"/>
      <c r="HFU54" s="3075" t="s">
        <v>55</v>
      </c>
      <c r="HFV54" s="3078"/>
      <c r="HFW54" s="3078"/>
      <c r="HFX54" s="3078"/>
      <c r="HFY54" s="3078"/>
      <c r="HFZ54" s="3078"/>
      <c r="HGA54" s="3078"/>
      <c r="HGB54" s="3078"/>
      <c r="HGC54" s="3075" t="s">
        <v>55</v>
      </c>
      <c r="HGD54" s="3078"/>
      <c r="HGE54" s="3078"/>
      <c r="HGF54" s="3078"/>
      <c r="HGG54" s="3078"/>
      <c r="HGH54" s="3078"/>
      <c r="HGI54" s="3078"/>
      <c r="HGJ54" s="3078"/>
      <c r="HGK54" s="3075" t="s">
        <v>55</v>
      </c>
      <c r="HGL54" s="3078"/>
      <c r="HGM54" s="3078"/>
      <c r="HGN54" s="3078"/>
      <c r="HGO54" s="3078"/>
      <c r="HGP54" s="3078"/>
      <c r="HGQ54" s="3078"/>
      <c r="HGR54" s="3078"/>
      <c r="HGS54" s="3075" t="s">
        <v>55</v>
      </c>
      <c r="HGT54" s="3078"/>
      <c r="HGU54" s="3078"/>
      <c r="HGV54" s="3078"/>
      <c r="HGW54" s="3078"/>
      <c r="HGX54" s="3078"/>
      <c r="HGY54" s="3078"/>
      <c r="HGZ54" s="3078"/>
      <c r="HHA54" s="3075" t="s">
        <v>55</v>
      </c>
      <c r="HHB54" s="3078"/>
      <c r="HHC54" s="3078"/>
      <c r="HHD54" s="3078"/>
      <c r="HHE54" s="3078"/>
      <c r="HHF54" s="3078"/>
      <c r="HHG54" s="3078"/>
      <c r="HHH54" s="3078"/>
      <c r="HHI54" s="3075" t="s">
        <v>55</v>
      </c>
      <c r="HHJ54" s="3078"/>
      <c r="HHK54" s="3078"/>
      <c r="HHL54" s="3078"/>
      <c r="HHM54" s="3078"/>
      <c r="HHN54" s="3078"/>
      <c r="HHO54" s="3078"/>
      <c r="HHP54" s="3078"/>
      <c r="HHQ54" s="3075" t="s">
        <v>55</v>
      </c>
      <c r="HHR54" s="3078"/>
      <c r="HHS54" s="3078"/>
      <c r="HHT54" s="3078"/>
      <c r="HHU54" s="3078"/>
      <c r="HHV54" s="3078"/>
      <c r="HHW54" s="3078"/>
      <c r="HHX54" s="3078"/>
      <c r="HHY54" s="3075" t="s">
        <v>55</v>
      </c>
      <c r="HHZ54" s="3078"/>
      <c r="HIA54" s="3078"/>
      <c r="HIB54" s="3078"/>
      <c r="HIC54" s="3078"/>
      <c r="HID54" s="3078"/>
      <c r="HIE54" s="3078"/>
      <c r="HIF54" s="3078"/>
      <c r="HIG54" s="3075" t="s">
        <v>55</v>
      </c>
      <c r="HIH54" s="3078"/>
      <c r="HII54" s="3078"/>
      <c r="HIJ54" s="3078"/>
      <c r="HIK54" s="3078"/>
      <c r="HIL54" s="3078"/>
      <c r="HIM54" s="3078"/>
      <c r="HIN54" s="3078"/>
      <c r="HIO54" s="3075" t="s">
        <v>55</v>
      </c>
      <c r="HIP54" s="3078"/>
      <c r="HIQ54" s="3078"/>
      <c r="HIR54" s="3078"/>
      <c r="HIS54" s="3078"/>
      <c r="HIT54" s="3078"/>
      <c r="HIU54" s="3078"/>
      <c r="HIV54" s="3078"/>
      <c r="HIW54" s="3075" t="s">
        <v>55</v>
      </c>
      <c r="HIX54" s="3078"/>
      <c r="HIY54" s="3078"/>
      <c r="HIZ54" s="3078"/>
      <c r="HJA54" s="3078"/>
      <c r="HJB54" s="3078"/>
      <c r="HJC54" s="3078"/>
      <c r="HJD54" s="3078"/>
      <c r="HJE54" s="3075" t="s">
        <v>55</v>
      </c>
      <c r="HJF54" s="3078"/>
      <c r="HJG54" s="3078"/>
      <c r="HJH54" s="3078"/>
      <c r="HJI54" s="3078"/>
      <c r="HJJ54" s="3078"/>
      <c r="HJK54" s="3078"/>
      <c r="HJL54" s="3078"/>
      <c r="HJM54" s="3075" t="s">
        <v>55</v>
      </c>
      <c r="HJN54" s="3078"/>
      <c r="HJO54" s="3078"/>
      <c r="HJP54" s="3078"/>
      <c r="HJQ54" s="3078"/>
      <c r="HJR54" s="3078"/>
      <c r="HJS54" s="3078"/>
      <c r="HJT54" s="3078"/>
      <c r="HJU54" s="3075" t="s">
        <v>55</v>
      </c>
      <c r="HJV54" s="3078"/>
      <c r="HJW54" s="3078"/>
      <c r="HJX54" s="3078"/>
      <c r="HJY54" s="3078"/>
      <c r="HJZ54" s="3078"/>
      <c r="HKA54" s="3078"/>
      <c r="HKB54" s="3078"/>
      <c r="HKC54" s="3075" t="s">
        <v>55</v>
      </c>
      <c r="HKD54" s="3078"/>
      <c r="HKE54" s="3078"/>
      <c r="HKF54" s="3078"/>
      <c r="HKG54" s="3078"/>
      <c r="HKH54" s="3078"/>
      <c r="HKI54" s="3078"/>
      <c r="HKJ54" s="3078"/>
      <c r="HKK54" s="3075" t="s">
        <v>55</v>
      </c>
      <c r="HKL54" s="3078"/>
      <c r="HKM54" s="3078"/>
      <c r="HKN54" s="3078"/>
      <c r="HKO54" s="3078"/>
      <c r="HKP54" s="3078"/>
      <c r="HKQ54" s="3078"/>
      <c r="HKR54" s="3078"/>
      <c r="HKS54" s="3075" t="s">
        <v>55</v>
      </c>
      <c r="HKT54" s="3078"/>
      <c r="HKU54" s="3078"/>
      <c r="HKV54" s="3078"/>
      <c r="HKW54" s="3078"/>
      <c r="HKX54" s="3078"/>
      <c r="HKY54" s="3078"/>
      <c r="HKZ54" s="3078"/>
      <c r="HLA54" s="3075" t="s">
        <v>55</v>
      </c>
      <c r="HLB54" s="3078"/>
      <c r="HLC54" s="3078"/>
      <c r="HLD54" s="3078"/>
      <c r="HLE54" s="3078"/>
      <c r="HLF54" s="3078"/>
      <c r="HLG54" s="3078"/>
      <c r="HLH54" s="3078"/>
      <c r="HLI54" s="3075" t="s">
        <v>55</v>
      </c>
      <c r="HLJ54" s="3078"/>
      <c r="HLK54" s="3078"/>
      <c r="HLL54" s="3078"/>
      <c r="HLM54" s="3078"/>
      <c r="HLN54" s="3078"/>
      <c r="HLO54" s="3078"/>
      <c r="HLP54" s="3078"/>
      <c r="HLQ54" s="3075" t="s">
        <v>55</v>
      </c>
      <c r="HLR54" s="3078"/>
      <c r="HLS54" s="3078"/>
      <c r="HLT54" s="3078"/>
      <c r="HLU54" s="3078"/>
      <c r="HLV54" s="3078"/>
      <c r="HLW54" s="3078"/>
      <c r="HLX54" s="3078"/>
      <c r="HLY54" s="3075" t="s">
        <v>55</v>
      </c>
      <c r="HLZ54" s="3078"/>
      <c r="HMA54" s="3078"/>
      <c r="HMB54" s="3078"/>
      <c r="HMC54" s="3078"/>
      <c r="HMD54" s="3078"/>
      <c r="HME54" s="3078"/>
      <c r="HMF54" s="3078"/>
      <c r="HMG54" s="3075" t="s">
        <v>55</v>
      </c>
      <c r="HMH54" s="3078"/>
      <c r="HMI54" s="3078"/>
      <c r="HMJ54" s="3078"/>
      <c r="HMK54" s="3078"/>
      <c r="HML54" s="3078"/>
      <c r="HMM54" s="3078"/>
      <c r="HMN54" s="3078"/>
      <c r="HMO54" s="3075" t="s">
        <v>55</v>
      </c>
      <c r="HMP54" s="3078"/>
      <c r="HMQ54" s="3078"/>
      <c r="HMR54" s="3078"/>
      <c r="HMS54" s="3078"/>
      <c r="HMT54" s="3078"/>
      <c r="HMU54" s="3078"/>
      <c r="HMV54" s="3078"/>
      <c r="HMW54" s="3075" t="s">
        <v>55</v>
      </c>
      <c r="HMX54" s="3078"/>
      <c r="HMY54" s="3078"/>
      <c r="HMZ54" s="3078"/>
      <c r="HNA54" s="3078"/>
      <c r="HNB54" s="3078"/>
      <c r="HNC54" s="3078"/>
      <c r="HND54" s="3078"/>
      <c r="HNE54" s="3075" t="s">
        <v>55</v>
      </c>
      <c r="HNF54" s="3078"/>
      <c r="HNG54" s="3078"/>
      <c r="HNH54" s="3078"/>
      <c r="HNI54" s="3078"/>
      <c r="HNJ54" s="3078"/>
      <c r="HNK54" s="3078"/>
      <c r="HNL54" s="3078"/>
      <c r="HNM54" s="3075" t="s">
        <v>55</v>
      </c>
      <c r="HNN54" s="3078"/>
      <c r="HNO54" s="3078"/>
      <c r="HNP54" s="3078"/>
      <c r="HNQ54" s="3078"/>
      <c r="HNR54" s="3078"/>
      <c r="HNS54" s="3078"/>
      <c r="HNT54" s="3078"/>
      <c r="HNU54" s="3075" t="s">
        <v>55</v>
      </c>
      <c r="HNV54" s="3078"/>
      <c r="HNW54" s="3078"/>
      <c r="HNX54" s="3078"/>
      <c r="HNY54" s="3078"/>
      <c r="HNZ54" s="3078"/>
      <c r="HOA54" s="3078"/>
      <c r="HOB54" s="3078"/>
      <c r="HOC54" s="3075" t="s">
        <v>55</v>
      </c>
      <c r="HOD54" s="3078"/>
      <c r="HOE54" s="3078"/>
      <c r="HOF54" s="3078"/>
      <c r="HOG54" s="3078"/>
      <c r="HOH54" s="3078"/>
      <c r="HOI54" s="3078"/>
      <c r="HOJ54" s="3078"/>
      <c r="HOK54" s="3075" t="s">
        <v>55</v>
      </c>
      <c r="HOL54" s="3078"/>
      <c r="HOM54" s="3078"/>
      <c r="HON54" s="3078"/>
      <c r="HOO54" s="3078"/>
      <c r="HOP54" s="3078"/>
      <c r="HOQ54" s="3078"/>
      <c r="HOR54" s="3078"/>
      <c r="HOS54" s="3075" t="s">
        <v>55</v>
      </c>
      <c r="HOT54" s="3078"/>
      <c r="HOU54" s="3078"/>
      <c r="HOV54" s="3078"/>
      <c r="HOW54" s="3078"/>
      <c r="HOX54" s="3078"/>
      <c r="HOY54" s="3078"/>
      <c r="HOZ54" s="3078"/>
      <c r="HPA54" s="3075" t="s">
        <v>55</v>
      </c>
      <c r="HPB54" s="3078"/>
      <c r="HPC54" s="3078"/>
      <c r="HPD54" s="3078"/>
      <c r="HPE54" s="3078"/>
      <c r="HPF54" s="3078"/>
      <c r="HPG54" s="3078"/>
      <c r="HPH54" s="3078"/>
      <c r="HPI54" s="3075" t="s">
        <v>55</v>
      </c>
      <c r="HPJ54" s="3078"/>
      <c r="HPK54" s="3078"/>
      <c r="HPL54" s="3078"/>
      <c r="HPM54" s="3078"/>
      <c r="HPN54" s="3078"/>
      <c r="HPO54" s="3078"/>
      <c r="HPP54" s="3078"/>
      <c r="HPQ54" s="3075" t="s">
        <v>55</v>
      </c>
      <c r="HPR54" s="3078"/>
      <c r="HPS54" s="3078"/>
      <c r="HPT54" s="3078"/>
      <c r="HPU54" s="3078"/>
      <c r="HPV54" s="3078"/>
      <c r="HPW54" s="3078"/>
      <c r="HPX54" s="3078"/>
      <c r="HPY54" s="3075" t="s">
        <v>55</v>
      </c>
      <c r="HPZ54" s="3078"/>
      <c r="HQA54" s="3078"/>
      <c r="HQB54" s="3078"/>
      <c r="HQC54" s="3078"/>
      <c r="HQD54" s="3078"/>
      <c r="HQE54" s="3078"/>
      <c r="HQF54" s="3078"/>
      <c r="HQG54" s="3075" t="s">
        <v>55</v>
      </c>
      <c r="HQH54" s="3078"/>
      <c r="HQI54" s="3078"/>
      <c r="HQJ54" s="3078"/>
      <c r="HQK54" s="3078"/>
      <c r="HQL54" s="3078"/>
      <c r="HQM54" s="3078"/>
      <c r="HQN54" s="3078"/>
      <c r="HQO54" s="3075" t="s">
        <v>55</v>
      </c>
      <c r="HQP54" s="3078"/>
      <c r="HQQ54" s="3078"/>
      <c r="HQR54" s="3078"/>
      <c r="HQS54" s="3078"/>
      <c r="HQT54" s="3078"/>
      <c r="HQU54" s="3078"/>
      <c r="HQV54" s="3078"/>
      <c r="HQW54" s="3075" t="s">
        <v>55</v>
      </c>
      <c r="HQX54" s="3078"/>
      <c r="HQY54" s="3078"/>
      <c r="HQZ54" s="3078"/>
      <c r="HRA54" s="3078"/>
      <c r="HRB54" s="3078"/>
      <c r="HRC54" s="3078"/>
      <c r="HRD54" s="3078"/>
      <c r="HRE54" s="3075" t="s">
        <v>55</v>
      </c>
      <c r="HRF54" s="3078"/>
      <c r="HRG54" s="3078"/>
      <c r="HRH54" s="3078"/>
      <c r="HRI54" s="3078"/>
      <c r="HRJ54" s="3078"/>
      <c r="HRK54" s="3078"/>
      <c r="HRL54" s="3078"/>
      <c r="HRM54" s="3075" t="s">
        <v>55</v>
      </c>
      <c r="HRN54" s="3078"/>
      <c r="HRO54" s="3078"/>
      <c r="HRP54" s="3078"/>
      <c r="HRQ54" s="3078"/>
      <c r="HRR54" s="3078"/>
      <c r="HRS54" s="3078"/>
      <c r="HRT54" s="3078"/>
      <c r="HRU54" s="3075" t="s">
        <v>55</v>
      </c>
      <c r="HRV54" s="3078"/>
      <c r="HRW54" s="3078"/>
      <c r="HRX54" s="3078"/>
      <c r="HRY54" s="3078"/>
      <c r="HRZ54" s="3078"/>
      <c r="HSA54" s="3078"/>
      <c r="HSB54" s="3078"/>
      <c r="HSC54" s="3075" t="s">
        <v>55</v>
      </c>
      <c r="HSD54" s="3078"/>
      <c r="HSE54" s="3078"/>
      <c r="HSF54" s="3078"/>
      <c r="HSG54" s="3078"/>
      <c r="HSH54" s="3078"/>
      <c r="HSI54" s="3078"/>
      <c r="HSJ54" s="3078"/>
      <c r="HSK54" s="3075" t="s">
        <v>55</v>
      </c>
      <c r="HSL54" s="3078"/>
      <c r="HSM54" s="3078"/>
      <c r="HSN54" s="3078"/>
      <c r="HSO54" s="3078"/>
      <c r="HSP54" s="3078"/>
      <c r="HSQ54" s="3078"/>
      <c r="HSR54" s="3078"/>
      <c r="HSS54" s="3075" t="s">
        <v>55</v>
      </c>
      <c r="HST54" s="3078"/>
      <c r="HSU54" s="3078"/>
      <c r="HSV54" s="3078"/>
      <c r="HSW54" s="3078"/>
      <c r="HSX54" s="3078"/>
      <c r="HSY54" s="3078"/>
      <c r="HSZ54" s="3078"/>
      <c r="HTA54" s="3075" t="s">
        <v>55</v>
      </c>
      <c r="HTB54" s="3078"/>
      <c r="HTC54" s="3078"/>
      <c r="HTD54" s="3078"/>
      <c r="HTE54" s="3078"/>
      <c r="HTF54" s="3078"/>
      <c r="HTG54" s="3078"/>
      <c r="HTH54" s="3078"/>
      <c r="HTI54" s="3075" t="s">
        <v>55</v>
      </c>
      <c r="HTJ54" s="3078"/>
      <c r="HTK54" s="3078"/>
      <c r="HTL54" s="3078"/>
      <c r="HTM54" s="3078"/>
      <c r="HTN54" s="3078"/>
      <c r="HTO54" s="3078"/>
      <c r="HTP54" s="3078"/>
      <c r="HTQ54" s="3075" t="s">
        <v>55</v>
      </c>
      <c r="HTR54" s="3078"/>
      <c r="HTS54" s="3078"/>
      <c r="HTT54" s="3078"/>
      <c r="HTU54" s="3078"/>
      <c r="HTV54" s="3078"/>
      <c r="HTW54" s="3078"/>
      <c r="HTX54" s="3078"/>
      <c r="HTY54" s="3075" t="s">
        <v>55</v>
      </c>
      <c r="HTZ54" s="3078"/>
      <c r="HUA54" s="3078"/>
      <c r="HUB54" s="3078"/>
      <c r="HUC54" s="3078"/>
      <c r="HUD54" s="3078"/>
      <c r="HUE54" s="3078"/>
      <c r="HUF54" s="3078"/>
      <c r="HUG54" s="3075" t="s">
        <v>55</v>
      </c>
      <c r="HUH54" s="3078"/>
      <c r="HUI54" s="3078"/>
      <c r="HUJ54" s="3078"/>
      <c r="HUK54" s="3078"/>
      <c r="HUL54" s="3078"/>
      <c r="HUM54" s="3078"/>
      <c r="HUN54" s="3078"/>
      <c r="HUO54" s="3075" t="s">
        <v>55</v>
      </c>
      <c r="HUP54" s="3078"/>
      <c r="HUQ54" s="3078"/>
      <c r="HUR54" s="3078"/>
      <c r="HUS54" s="3078"/>
      <c r="HUT54" s="3078"/>
      <c r="HUU54" s="3078"/>
      <c r="HUV54" s="3078"/>
      <c r="HUW54" s="3075" t="s">
        <v>55</v>
      </c>
      <c r="HUX54" s="3078"/>
      <c r="HUY54" s="3078"/>
      <c r="HUZ54" s="3078"/>
      <c r="HVA54" s="3078"/>
      <c r="HVB54" s="3078"/>
      <c r="HVC54" s="3078"/>
      <c r="HVD54" s="3078"/>
      <c r="HVE54" s="3075" t="s">
        <v>55</v>
      </c>
      <c r="HVF54" s="3078"/>
      <c r="HVG54" s="3078"/>
      <c r="HVH54" s="3078"/>
      <c r="HVI54" s="3078"/>
      <c r="HVJ54" s="3078"/>
      <c r="HVK54" s="3078"/>
      <c r="HVL54" s="3078"/>
      <c r="HVM54" s="3075" t="s">
        <v>55</v>
      </c>
      <c r="HVN54" s="3078"/>
      <c r="HVO54" s="3078"/>
      <c r="HVP54" s="3078"/>
      <c r="HVQ54" s="3078"/>
      <c r="HVR54" s="3078"/>
      <c r="HVS54" s="3078"/>
      <c r="HVT54" s="3078"/>
      <c r="HVU54" s="3075" t="s">
        <v>55</v>
      </c>
      <c r="HVV54" s="3078"/>
      <c r="HVW54" s="3078"/>
      <c r="HVX54" s="3078"/>
      <c r="HVY54" s="3078"/>
      <c r="HVZ54" s="3078"/>
      <c r="HWA54" s="3078"/>
      <c r="HWB54" s="3078"/>
      <c r="HWC54" s="3075" t="s">
        <v>55</v>
      </c>
      <c r="HWD54" s="3078"/>
      <c r="HWE54" s="3078"/>
      <c r="HWF54" s="3078"/>
      <c r="HWG54" s="3078"/>
      <c r="HWH54" s="3078"/>
      <c r="HWI54" s="3078"/>
      <c r="HWJ54" s="3078"/>
      <c r="HWK54" s="3075" t="s">
        <v>55</v>
      </c>
      <c r="HWL54" s="3078"/>
      <c r="HWM54" s="3078"/>
      <c r="HWN54" s="3078"/>
      <c r="HWO54" s="3078"/>
      <c r="HWP54" s="3078"/>
      <c r="HWQ54" s="3078"/>
      <c r="HWR54" s="3078"/>
      <c r="HWS54" s="3075" t="s">
        <v>55</v>
      </c>
      <c r="HWT54" s="3078"/>
      <c r="HWU54" s="3078"/>
      <c r="HWV54" s="3078"/>
      <c r="HWW54" s="3078"/>
      <c r="HWX54" s="3078"/>
      <c r="HWY54" s="3078"/>
      <c r="HWZ54" s="3078"/>
      <c r="HXA54" s="3075" t="s">
        <v>55</v>
      </c>
      <c r="HXB54" s="3078"/>
      <c r="HXC54" s="3078"/>
      <c r="HXD54" s="3078"/>
      <c r="HXE54" s="3078"/>
      <c r="HXF54" s="3078"/>
      <c r="HXG54" s="3078"/>
      <c r="HXH54" s="3078"/>
      <c r="HXI54" s="3075" t="s">
        <v>55</v>
      </c>
      <c r="HXJ54" s="3078"/>
      <c r="HXK54" s="3078"/>
      <c r="HXL54" s="3078"/>
      <c r="HXM54" s="3078"/>
      <c r="HXN54" s="3078"/>
      <c r="HXO54" s="3078"/>
      <c r="HXP54" s="3078"/>
      <c r="HXQ54" s="3075" t="s">
        <v>55</v>
      </c>
      <c r="HXR54" s="3078"/>
      <c r="HXS54" s="3078"/>
      <c r="HXT54" s="3078"/>
      <c r="HXU54" s="3078"/>
      <c r="HXV54" s="3078"/>
      <c r="HXW54" s="3078"/>
      <c r="HXX54" s="3078"/>
      <c r="HXY54" s="3075" t="s">
        <v>55</v>
      </c>
      <c r="HXZ54" s="3078"/>
      <c r="HYA54" s="3078"/>
      <c r="HYB54" s="3078"/>
      <c r="HYC54" s="3078"/>
      <c r="HYD54" s="3078"/>
      <c r="HYE54" s="3078"/>
      <c r="HYF54" s="3078"/>
      <c r="HYG54" s="3075" t="s">
        <v>55</v>
      </c>
      <c r="HYH54" s="3078"/>
      <c r="HYI54" s="3078"/>
      <c r="HYJ54" s="3078"/>
      <c r="HYK54" s="3078"/>
      <c r="HYL54" s="3078"/>
      <c r="HYM54" s="3078"/>
      <c r="HYN54" s="3078"/>
      <c r="HYO54" s="3075" t="s">
        <v>55</v>
      </c>
      <c r="HYP54" s="3078"/>
      <c r="HYQ54" s="3078"/>
      <c r="HYR54" s="3078"/>
      <c r="HYS54" s="3078"/>
      <c r="HYT54" s="3078"/>
      <c r="HYU54" s="3078"/>
      <c r="HYV54" s="3078"/>
      <c r="HYW54" s="3075" t="s">
        <v>55</v>
      </c>
      <c r="HYX54" s="3078"/>
      <c r="HYY54" s="3078"/>
      <c r="HYZ54" s="3078"/>
      <c r="HZA54" s="3078"/>
      <c r="HZB54" s="3078"/>
      <c r="HZC54" s="3078"/>
      <c r="HZD54" s="3078"/>
      <c r="HZE54" s="3075" t="s">
        <v>55</v>
      </c>
      <c r="HZF54" s="3078"/>
      <c r="HZG54" s="3078"/>
      <c r="HZH54" s="3078"/>
      <c r="HZI54" s="3078"/>
      <c r="HZJ54" s="3078"/>
      <c r="HZK54" s="3078"/>
      <c r="HZL54" s="3078"/>
      <c r="HZM54" s="3075" t="s">
        <v>55</v>
      </c>
      <c r="HZN54" s="3078"/>
      <c r="HZO54" s="3078"/>
      <c r="HZP54" s="3078"/>
      <c r="HZQ54" s="3078"/>
      <c r="HZR54" s="3078"/>
      <c r="HZS54" s="3078"/>
      <c r="HZT54" s="3078"/>
      <c r="HZU54" s="3075" t="s">
        <v>55</v>
      </c>
      <c r="HZV54" s="3078"/>
      <c r="HZW54" s="3078"/>
      <c r="HZX54" s="3078"/>
      <c r="HZY54" s="3078"/>
      <c r="HZZ54" s="3078"/>
      <c r="IAA54" s="3078"/>
      <c r="IAB54" s="3078"/>
      <c r="IAC54" s="3075" t="s">
        <v>55</v>
      </c>
      <c r="IAD54" s="3078"/>
      <c r="IAE54" s="3078"/>
      <c r="IAF54" s="3078"/>
      <c r="IAG54" s="3078"/>
      <c r="IAH54" s="3078"/>
      <c r="IAI54" s="3078"/>
      <c r="IAJ54" s="3078"/>
      <c r="IAK54" s="3075" t="s">
        <v>55</v>
      </c>
      <c r="IAL54" s="3078"/>
      <c r="IAM54" s="3078"/>
      <c r="IAN54" s="3078"/>
      <c r="IAO54" s="3078"/>
      <c r="IAP54" s="3078"/>
      <c r="IAQ54" s="3078"/>
      <c r="IAR54" s="3078"/>
      <c r="IAS54" s="3075" t="s">
        <v>55</v>
      </c>
      <c r="IAT54" s="3078"/>
      <c r="IAU54" s="3078"/>
      <c r="IAV54" s="3078"/>
      <c r="IAW54" s="3078"/>
      <c r="IAX54" s="3078"/>
      <c r="IAY54" s="3078"/>
      <c r="IAZ54" s="3078"/>
      <c r="IBA54" s="3075" t="s">
        <v>55</v>
      </c>
      <c r="IBB54" s="3078"/>
      <c r="IBC54" s="3078"/>
      <c r="IBD54" s="3078"/>
      <c r="IBE54" s="3078"/>
      <c r="IBF54" s="3078"/>
      <c r="IBG54" s="3078"/>
      <c r="IBH54" s="3078"/>
      <c r="IBI54" s="3075" t="s">
        <v>55</v>
      </c>
      <c r="IBJ54" s="3078"/>
      <c r="IBK54" s="3078"/>
      <c r="IBL54" s="3078"/>
      <c r="IBM54" s="3078"/>
      <c r="IBN54" s="3078"/>
      <c r="IBO54" s="3078"/>
      <c r="IBP54" s="3078"/>
      <c r="IBQ54" s="3075" t="s">
        <v>55</v>
      </c>
      <c r="IBR54" s="3078"/>
      <c r="IBS54" s="3078"/>
      <c r="IBT54" s="3078"/>
      <c r="IBU54" s="3078"/>
      <c r="IBV54" s="3078"/>
      <c r="IBW54" s="3078"/>
      <c r="IBX54" s="3078"/>
      <c r="IBY54" s="3075" t="s">
        <v>55</v>
      </c>
      <c r="IBZ54" s="3078"/>
      <c r="ICA54" s="3078"/>
      <c r="ICB54" s="3078"/>
      <c r="ICC54" s="3078"/>
      <c r="ICD54" s="3078"/>
      <c r="ICE54" s="3078"/>
      <c r="ICF54" s="3078"/>
      <c r="ICG54" s="3075" t="s">
        <v>55</v>
      </c>
      <c r="ICH54" s="3078"/>
      <c r="ICI54" s="3078"/>
      <c r="ICJ54" s="3078"/>
      <c r="ICK54" s="3078"/>
      <c r="ICL54" s="3078"/>
      <c r="ICM54" s="3078"/>
      <c r="ICN54" s="3078"/>
      <c r="ICO54" s="3075" t="s">
        <v>55</v>
      </c>
      <c r="ICP54" s="3078"/>
      <c r="ICQ54" s="3078"/>
      <c r="ICR54" s="3078"/>
      <c r="ICS54" s="3078"/>
      <c r="ICT54" s="3078"/>
      <c r="ICU54" s="3078"/>
      <c r="ICV54" s="3078"/>
      <c r="ICW54" s="3075" t="s">
        <v>55</v>
      </c>
      <c r="ICX54" s="3078"/>
      <c r="ICY54" s="3078"/>
      <c r="ICZ54" s="3078"/>
      <c r="IDA54" s="3078"/>
      <c r="IDB54" s="3078"/>
      <c r="IDC54" s="3078"/>
      <c r="IDD54" s="3078"/>
      <c r="IDE54" s="3075" t="s">
        <v>55</v>
      </c>
      <c r="IDF54" s="3078"/>
      <c r="IDG54" s="3078"/>
      <c r="IDH54" s="3078"/>
      <c r="IDI54" s="3078"/>
      <c r="IDJ54" s="3078"/>
      <c r="IDK54" s="3078"/>
      <c r="IDL54" s="3078"/>
      <c r="IDM54" s="3075" t="s">
        <v>55</v>
      </c>
      <c r="IDN54" s="3078"/>
      <c r="IDO54" s="3078"/>
      <c r="IDP54" s="3078"/>
      <c r="IDQ54" s="3078"/>
      <c r="IDR54" s="3078"/>
      <c r="IDS54" s="3078"/>
      <c r="IDT54" s="3078"/>
      <c r="IDU54" s="3075" t="s">
        <v>55</v>
      </c>
      <c r="IDV54" s="3078"/>
      <c r="IDW54" s="3078"/>
      <c r="IDX54" s="3078"/>
      <c r="IDY54" s="3078"/>
      <c r="IDZ54" s="3078"/>
      <c r="IEA54" s="3078"/>
      <c r="IEB54" s="3078"/>
      <c r="IEC54" s="3075" t="s">
        <v>55</v>
      </c>
      <c r="IED54" s="3078"/>
      <c r="IEE54" s="3078"/>
      <c r="IEF54" s="3078"/>
      <c r="IEG54" s="3078"/>
      <c r="IEH54" s="3078"/>
      <c r="IEI54" s="3078"/>
      <c r="IEJ54" s="3078"/>
      <c r="IEK54" s="3075" t="s">
        <v>55</v>
      </c>
      <c r="IEL54" s="3078"/>
      <c r="IEM54" s="3078"/>
      <c r="IEN54" s="3078"/>
      <c r="IEO54" s="3078"/>
      <c r="IEP54" s="3078"/>
      <c r="IEQ54" s="3078"/>
      <c r="IER54" s="3078"/>
      <c r="IES54" s="3075" t="s">
        <v>55</v>
      </c>
      <c r="IET54" s="3078"/>
      <c r="IEU54" s="3078"/>
      <c r="IEV54" s="3078"/>
      <c r="IEW54" s="3078"/>
      <c r="IEX54" s="3078"/>
      <c r="IEY54" s="3078"/>
      <c r="IEZ54" s="3078"/>
      <c r="IFA54" s="3075" t="s">
        <v>55</v>
      </c>
      <c r="IFB54" s="3078"/>
      <c r="IFC54" s="3078"/>
      <c r="IFD54" s="3078"/>
      <c r="IFE54" s="3078"/>
      <c r="IFF54" s="3078"/>
      <c r="IFG54" s="3078"/>
      <c r="IFH54" s="3078"/>
      <c r="IFI54" s="3075" t="s">
        <v>55</v>
      </c>
      <c r="IFJ54" s="3078"/>
      <c r="IFK54" s="3078"/>
      <c r="IFL54" s="3078"/>
      <c r="IFM54" s="3078"/>
      <c r="IFN54" s="3078"/>
      <c r="IFO54" s="3078"/>
      <c r="IFP54" s="3078"/>
      <c r="IFQ54" s="3075" t="s">
        <v>55</v>
      </c>
      <c r="IFR54" s="3078"/>
      <c r="IFS54" s="3078"/>
      <c r="IFT54" s="3078"/>
      <c r="IFU54" s="3078"/>
      <c r="IFV54" s="3078"/>
      <c r="IFW54" s="3078"/>
      <c r="IFX54" s="3078"/>
      <c r="IFY54" s="3075" t="s">
        <v>55</v>
      </c>
      <c r="IFZ54" s="3078"/>
      <c r="IGA54" s="3078"/>
      <c r="IGB54" s="3078"/>
      <c r="IGC54" s="3078"/>
      <c r="IGD54" s="3078"/>
      <c r="IGE54" s="3078"/>
      <c r="IGF54" s="3078"/>
      <c r="IGG54" s="3075" t="s">
        <v>55</v>
      </c>
      <c r="IGH54" s="3078"/>
      <c r="IGI54" s="3078"/>
      <c r="IGJ54" s="3078"/>
      <c r="IGK54" s="3078"/>
      <c r="IGL54" s="3078"/>
      <c r="IGM54" s="3078"/>
      <c r="IGN54" s="3078"/>
      <c r="IGO54" s="3075" t="s">
        <v>55</v>
      </c>
      <c r="IGP54" s="3078"/>
      <c r="IGQ54" s="3078"/>
      <c r="IGR54" s="3078"/>
      <c r="IGS54" s="3078"/>
      <c r="IGT54" s="3078"/>
      <c r="IGU54" s="3078"/>
      <c r="IGV54" s="3078"/>
      <c r="IGW54" s="3075" t="s">
        <v>55</v>
      </c>
      <c r="IGX54" s="3078"/>
      <c r="IGY54" s="3078"/>
      <c r="IGZ54" s="3078"/>
      <c r="IHA54" s="3078"/>
      <c r="IHB54" s="3078"/>
      <c r="IHC54" s="3078"/>
      <c r="IHD54" s="3078"/>
      <c r="IHE54" s="3075" t="s">
        <v>55</v>
      </c>
      <c r="IHF54" s="3078"/>
      <c r="IHG54" s="3078"/>
      <c r="IHH54" s="3078"/>
      <c r="IHI54" s="3078"/>
      <c r="IHJ54" s="3078"/>
      <c r="IHK54" s="3078"/>
      <c r="IHL54" s="3078"/>
      <c r="IHM54" s="3075" t="s">
        <v>55</v>
      </c>
      <c r="IHN54" s="3078"/>
      <c r="IHO54" s="3078"/>
      <c r="IHP54" s="3078"/>
      <c r="IHQ54" s="3078"/>
      <c r="IHR54" s="3078"/>
      <c r="IHS54" s="3078"/>
      <c r="IHT54" s="3078"/>
      <c r="IHU54" s="3075" t="s">
        <v>55</v>
      </c>
      <c r="IHV54" s="3078"/>
      <c r="IHW54" s="3078"/>
      <c r="IHX54" s="3078"/>
      <c r="IHY54" s="3078"/>
      <c r="IHZ54" s="3078"/>
      <c r="IIA54" s="3078"/>
      <c r="IIB54" s="3078"/>
      <c r="IIC54" s="3075" t="s">
        <v>55</v>
      </c>
      <c r="IID54" s="3078"/>
      <c r="IIE54" s="3078"/>
      <c r="IIF54" s="3078"/>
      <c r="IIG54" s="3078"/>
      <c r="IIH54" s="3078"/>
      <c r="III54" s="3078"/>
      <c r="IIJ54" s="3078"/>
      <c r="IIK54" s="3075" t="s">
        <v>55</v>
      </c>
      <c r="IIL54" s="3078"/>
      <c r="IIM54" s="3078"/>
      <c r="IIN54" s="3078"/>
      <c r="IIO54" s="3078"/>
      <c r="IIP54" s="3078"/>
      <c r="IIQ54" s="3078"/>
      <c r="IIR54" s="3078"/>
      <c r="IIS54" s="3075" t="s">
        <v>55</v>
      </c>
      <c r="IIT54" s="3078"/>
      <c r="IIU54" s="3078"/>
      <c r="IIV54" s="3078"/>
      <c r="IIW54" s="3078"/>
      <c r="IIX54" s="3078"/>
      <c r="IIY54" s="3078"/>
      <c r="IIZ54" s="3078"/>
      <c r="IJA54" s="3075" t="s">
        <v>55</v>
      </c>
      <c r="IJB54" s="3078"/>
      <c r="IJC54" s="3078"/>
      <c r="IJD54" s="3078"/>
      <c r="IJE54" s="3078"/>
      <c r="IJF54" s="3078"/>
      <c r="IJG54" s="3078"/>
      <c r="IJH54" s="3078"/>
      <c r="IJI54" s="3075" t="s">
        <v>55</v>
      </c>
      <c r="IJJ54" s="3078"/>
      <c r="IJK54" s="3078"/>
      <c r="IJL54" s="3078"/>
      <c r="IJM54" s="3078"/>
      <c r="IJN54" s="3078"/>
      <c r="IJO54" s="3078"/>
      <c r="IJP54" s="3078"/>
      <c r="IJQ54" s="3075" t="s">
        <v>55</v>
      </c>
      <c r="IJR54" s="3078"/>
      <c r="IJS54" s="3078"/>
      <c r="IJT54" s="3078"/>
      <c r="IJU54" s="3078"/>
      <c r="IJV54" s="3078"/>
      <c r="IJW54" s="3078"/>
      <c r="IJX54" s="3078"/>
      <c r="IJY54" s="3075" t="s">
        <v>55</v>
      </c>
      <c r="IJZ54" s="3078"/>
      <c r="IKA54" s="3078"/>
      <c r="IKB54" s="3078"/>
      <c r="IKC54" s="3078"/>
      <c r="IKD54" s="3078"/>
      <c r="IKE54" s="3078"/>
      <c r="IKF54" s="3078"/>
      <c r="IKG54" s="3075" t="s">
        <v>55</v>
      </c>
      <c r="IKH54" s="3078"/>
      <c r="IKI54" s="3078"/>
      <c r="IKJ54" s="3078"/>
      <c r="IKK54" s="3078"/>
      <c r="IKL54" s="3078"/>
      <c r="IKM54" s="3078"/>
      <c r="IKN54" s="3078"/>
      <c r="IKO54" s="3075" t="s">
        <v>55</v>
      </c>
      <c r="IKP54" s="3078"/>
      <c r="IKQ54" s="3078"/>
      <c r="IKR54" s="3078"/>
      <c r="IKS54" s="3078"/>
      <c r="IKT54" s="3078"/>
      <c r="IKU54" s="3078"/>
      <c r="IKV54" s="3078"/>
      <c r="IKW54" s="3075" t="s">
        <v>55</v>
      </c>
      <c r="IKX54" s="3078"/>
      <c r="IKY54" s="3078"/>
      <c r="IKZ54" s="3078"/>
      <c r="ILA54" s="3078"/>
      <c r="ILB54" s="3078"/>
      <c r="ILC54" s="3078"/>
      <c r="ILD54" s="3078"/>
      <c r="ILE54" s="3075" t="s">
        <v>55</v>
      </c>
      <c r="ILF54" s="3078"/>
      <c r="ILG54" s="3078"/>
      <c r="ILH54" s="3078"/>
      <c r="ILI54" s="3078"/>
      <c r="ILJ54" s="3078"/>
      <c r="ILK54" s="3078"/>
      <c r="ILL54" s="3078"/>
      <c r="ILM54" s="3075" t="s">
        <v>55</v>
      </c>
      <c r="ILN54" s="3078"/>
      <c r="ILO54" s="3078"/>
      <c r="ILP54" s="3078"/>
      <c r="ILQ54" s="3078"/>
      <c r="ILR54" s="3078"/>
      <c r="ILS54" s="3078"/>
      <c r="ILT54" s="3078"/>
      <c r="ILU54" s="3075" t="s">
        <v>55</v>
      </c>
      <c r="ILV54" s="3078"/>
      <c r="ILW54" s="3078"/>
      <c r="ILX54" s="3078"/>
      <c r="ILY54" s="3078"/>
      <c r="ILZ54" s="3078"/>
      <c r="IMA54" s="3078"/>
      <c r="IMB54" s="3078"/>
      <c r="IMC54" s="3075" t="s">
        <v>55</v>
      </c>
      <c r="IMD54" s="3078"/>
      <c r="IME54" s="3078"/>
      <c r="IMF54" s="3078"/>
      <c r="IMG54" s="3078"/>
      <c r="IMH54" s="3078"/>
      <c r="IMI54" s="3078"/>
      <c r="IMJ54" s="3078"/>
      <c r="IMK54" s="3075" t="s">
        <v>55</v>
      </c>
      <c r="IML54" s="3078"/>
      <c r="IMM54" s="3078"/>
      <c r="IMN54" s="3078"/>
      <c r="IMO54" s="3078"/>
      <c r="IMP54" s="3078"/>
      <c r="IMQ54" s="3078"/>
      <c r="IMR54" s="3078"/>
      <c r="IMS54" s="3075" t="s">
        <v>55</v>
      </c>
      <c r="IMT54" s="3078"/>
      <c r="IMU54" s="3078"/>
      <c r="IMV54" s="3078"/>
      <c r="IMW54" s="3078"/>
      <c r="IMX54" s="3078"/>
      <c r="IMY54" s="3078"/>
      <c r="IMZ54" s="3078"/>
      <c r="INA54" s="3075" t="s">
        <v>55</v>
      </c>
      <c r="INB54" s="3078"/>
      <c r="INC54" s="3078"/>
      <c r="IND54" s="3078"/>
      <c r="INE54" s="3078"/>
      <c r="INF54" s="3078"/>
      <c r="ING54" s="3078"/>
      <c r="INH54" s="3078"/>
      <c r="INI54" s="3075" t="s">
        <v>55</v>
      </c>
      <c r="INJ54" s="3078"/>
      <c r="INK54" s="3078"/>
      <c r="INL54" s="3078"/>
      <c r="INM54" s="3078"/>
      <c r="INN54" s="3078"/>
      <c r="INO54" s="3078"/>
      <c r="INP54" s="3078"/>
      <c r="INQ54" s="3075" t="s">
        <v>55</v>
      </c>
      <c r="INR54" s="3078"/>
      <c r="INS54" s="3078"/>
      <c r="INT54" s="3078"/>
      <c r="INU54" s="3078"/>
      <c r="INV54" s="3078"/>
      <c r="INW54" s="3078"/>
      <c r="INX54" s="3078"/>
      <c r="INY54" s="3075" t="s">
        <v>55</v>
      </c>
      <c r="INZ54" s="3078"/>
      <c r="IOA54" s="3078"/>
      <c r="IOB54" s="3078"/>
      <c r="IOC54" s="3078"/>
      <c r="IOD54" s="3078"/>
      <c r="IOE54" s="3078"/>
      <c r="IOF54" s="3078"/>
      <c r="IOG54" s="3075" t="s">
        <v>55</v>
      </c>
      <c r="IOH54" s="3078"/>
      <c r="IOI54" s="3078"/>
      <c r="IOJ54" s="3078"/>
      <c r="IOK54" s="3078"/>
      <c r="IOL54" s="3078"/>
      <c r="IOM54" s="3078"/>
      <c r="ION54" s="3078"/>
      <c r="IOO54" s="3075" t="s">
        <v>55</v>
      </c>
      <c r="IOP54" s="3078"/>
      <c r="IOQ54" s="3078"/>
      <c r="IOR54" s="3078"/>
      <c r="IOS54" s="3078"/>
      <c r="IOT54" s="3078"/>
      <c r="IOU54" s="3078"/>
      <c r="IOV54" s="3078"/>
      <c r="IOW54" s="3075" t="s">
        <v>55</v>
      </c>
      <c r="IOX54" s="3078"/>
      <c r="IOY54" s="3078"/>
      <c r="IOZ54" s="3078"/>
      <c r="IPA54" s="3078"/>
      <c r="IPB54" s="3078"/>
      <c r="IPC54" s="3078"/>
      <c r="IPD54" s="3078"/>
      <c r="IPE54" s="3075" t="s">
        <v>55</v>
      </c>
      <c r="IPF54" s="3078"/>
      <c r="IPG54" s="3078"/>
      <c r="IPH54" s="3078"/>
      <c r="IPI54" s="3078"/>
      <c r="IPJ54" s="3078"/>
      <c r="IPK54" s="3078"/>
      <c r="IPL54" s="3078"/>
      <c r="IPM54" s="3075" t="s">
        <v>55</v>
      </c>
      <c r="IPN54" s="3078"/>
      <c r="IPO54" s="3078"/>
      <c r="IPP54" s="3078"/>
      <c r="IPQ54" s="3078"/>
      <c r="IPR54" s="3078"/>
      <c r="IPS54" s="3078"/>
      <c r="IPT54" s="3078"/>
      <c r="IPU54" s="3075" t="s">
        <v>55</v>
      </c>
      <c r="IPV54" s="3078"/>
      <c r="IPW54" s="3078"/>
      <c r="IPX54" s="3078"/>
      <c r="IPY54" s="3078"/>
      <c r="IPZ54" s="3078"/>
      <c r="IQA54" s="3078"/>
      <c r="IQB54" s="3078"/>
      <c r="IQC54" s="3075" t="s">
        <v>55</v>
      </c>
      <c r="IQD54" s="3078"/>
      <c r="IQE54" s="3078"/>
      <c r="IQF54" s="3078"/>
      <c r="IQG54" s="3078"/>
      <c r="IQH54" s="3078"/>
      <c r="IQI54" s="3078"/>
      <c r="IQJ54" s="3078"/>
      <c r="IQK54" s="3075" t="s">
        <v>55</v>
      </c>
      <c r="IQL54" s="3078"/>
      <c r="IQM54" s="3078"/>
      <c r="IQN54" s="3078"/>
      <c r="IQO54" s="3078"/>
      <c r="IQP54" s="3078"/>
      <c r="IQQ54" s="3078"/>
      <c r="IQR54" s="3078"/>
      <c r="IQS54" s="3075" t="s">
        <v>55</v>
      </c>
      <c r="IQT54" s="3078"/>
      <c r="IQU54" s="3078"/>
      <c r="IQV54" s="3078"/>
      <c r="IQW54" s="3078"/>
      <c r="IQX54" s="3078"/>
      <c r="IQY54" s="3078"/>
      <c r="IQZ54" s="3078"/>
      <c r="IRA54" s="3075" t="s">
        <v>55</v>
      </c>
      <c r="IRB54" s="3078"/>
      <c r="IRC54" s="3078"/>
      <c r="IRD54" s="3078"/>
      <c r="IRE54" s="3078"/>
      <c r="IRF54" s="3078"/>
      <c r="IRG54" s="3078"/>
      <c r="IRH54" s="3078"/>
      <c r="IRI54" s="3075" t="s">
        <v>55</v>
      </c>
      <c r="IRJ54" s="3078"/>
      <c r="IRK54" s="3078"/>
      <c r="IRL54" s="3078"/>
      <c r="IRM54" s="3078"/>
      <c r="IRN54" s="3078"/>
      <c r="IRO54" s="3078"/>
      <c r="IRP54" s="3078"/>
      <c r="IRQ54" s="3075" t="s">
        <v>55</v>
      </c>
      <c r="IRR54" s="3078"/>
      <c r="IRS54" s="3078"/>
      <c r="IRT54" s="3078"/>
      <c r="IRU54" s="3078"/>
      <c r="IRV54" s="3078"/>
      <c r="IRW54" s="3078"/>
      <c r="IRX54" s="3078"/>
      <c r="IRY54" s="3075" t="s">
        <v>55</v>
      </c>
      <c r="IRZ54" s="3078"/>
      <c r="ISA54" s="3078"/>
      <c r="ISB54" s="3078"/>
      <c r="ISC54" s="3078"/>
      <c r="ISD54" s="3078"/>
      <c r="ISE54" s="3078"/>
      <c r="ISF54" s="3078"/>
      <c r="ISG54" s="3075" t="s">
        <v>55</v>
      </c>
      <c r="ISH54" s="3078"/>
      <c r="ISI54" s="3078"/>
      <c r="ISJ54" s="3078"/>
      <c r="ISK54" s="3078"/>
      <c r="ISL54" s="3078"/>
      <c r="ISM54" s="3078"/>
      <c r="ISN54" s="3078"/>
      <c r="ISO54" s="3075" t="s">
        <v>55</v>
      </c>
      <c r="ISP54" s="3078"/>
      <c r="ISQ54" s="3078"/>
      <c r="ISR54" s="3078"/>
      <c r="ISS54" s="3078"/>
      <c r="IST54" s="3078"/>
      <c r="ISU54" s="3078"/>
      <c r="ISV54" s="3078"/>
      <c r="ISW54" s="3075" t="s">
        <v>55</v>
      </c>
      <c r="ISX54" s="3078"/>
      <c r="ISY54" s="3078"/>
      <c r="ISZ54" s="3078"/>
      <c r="ITA54" s="3078"/>
      <c r="ITB54" s="3078"/>
      <c r="ITC54" s="3078"/>
      <c r="ITD54" s="3078"/>
      <c r="ITE54" s="3075" t="s">
        <v>55</v>
      </c>
      <c r="ITF54" s="3078"/>
      <c r="ITG54" s="3078"/>
      <c r="ITH54" s="3078"/>
      <c r="ITI54" s="3078"/>
      <c r="ITJ54" s="3078"/>
      <c r="ITK54" s="3078"/>
      <c r="ITL54" s="3078"/>
      <c r="ITM54" s="3075" t="s">
        <v>55</v>
      </c>
      <c r="ITN54" s="3078"/>
      <c r="ITO54" s="3078"/>
      <c r="ITP54" s="3078"/>
      <c r="ITQ54" s="3078"/>
      <c r="ITR54" s="3078"/>
      <c r="ITS54" s="3078"/>
      <c r="ITT54" s="3078"/>
      <c r="ITU54" s="3075" t="s">
        <v>55</v>
      </c>
      <c r="ITV54" s="3078"/>
      <c r="ITW54" s="3078"/>
      <c r="ITX54" s="3078"/>
      <c r="ITY54" s="3078"/>
      <c r="ITZ54" s="3078"/>
      <c r="IUA54" s="3078"/>
      <c r="IUB54" s="3078"/>
      <c r="IUC54" s="3075" t="s">
        <v>55</v>
      </c>
      <c r="IUD54" s="3078"/>
      <c r="IUE54" s="3078"/>
      <c r="IUF54" s="3078"/>
      <c r="IUG54" s="3078"/>
      <c r="IUH54" s="3078"/>
      <c r="IUI54" s="3078"/>
      <c r="IUJ54" s="3078"/>
      <c r="IUK54" s="3075" t="s">
        <v>55</v>
      </c>
      <c r="IUL54" s="3078"/>
      <c r="IUM54" s="3078"/>
      <c r="IUN54" s="3078"/>
      <c r="IUO54" s="3078"/>
      <c r="IUP54" s="3078"/>
      <c r="IUQ54" s="3078"/>
      <c r="IUR54" s="3078"/>
      <c r="IUS54" s="3075" t="s">
        <v>55</v>
      </c>
      <c r="IUT54" s="3078"/>
      <c r="IUU54" s="3078"/>
      <c r="IUV54" s="3078"/>
      <c r="IUW54" s="3078"/>
      <c r="IUX54" s="3078"/>
      <c r="IUY54" s="3078"/>
      <c r="IUZ54" s="3078"/>
      <c r="IVA54" s="3075" t="s">
        <v>55</v>
      </c>
      <c r="IVB54" s="3078"/>
      <c r="IVC54" s="3078"/>
      <c r="IVD54" s="3078"/>
      <c r="IVE54" s="3078"/>
      <c r="IVF54" s="3078"/>
      <c r="IVG54" s="3078"/>
      <c r="IVH54" s="3078"/>
      <c r="IVI54" s="3075" t="s">
        <v>55</v>
      </c>
      <c r="IVJ54" s="3078"/>
      <c r="IVK54" s="3078"/>
      <c r="IVL54" s="3078"/>
      <c r="IVM54" s="3078"/>
      <c r="IVN54" s="3078"/>
      <c r="IVO54" s="3078"/>
      <c r="IVP54" s="3078"/>
      <c r="IVQ54" s="3075" t="s">
        <v>55</v>
      </c>
      <c r="IVR54" s="3078"/>
      <c r="IVS54" s="3078"/>
      <c r="IVT54" s="3078"/>
      <c r="IVU54" s="3078"/>
      <c r="IVV54" s="3078"/>
      <c r="IVW54" s="3078"/>
      <c r="IVX54" s="3078"/>
      <c r="IVY54" s="3075" t="s">
        <v>55</v>
      </c>
      <c r="IVZ54" s="3078"/>
      <c r="IWA54" s="3078"/>
      <c r="IWB54" s="3078"/>
      <c r="IWC54" s="3078"/>
      <c r="IWD54" s="3078"/>
      <c r="IWE54" s="3078"/>
      <c r="IWF54" s="3078"/>
      <c r="IWG54" s="3075" t="s">
        <v>55</v>
      </c>
      <c r="IWH54" s="3078"/>
      <c r="IWI54" s="3078"/>
      <c r="IWJ54" s="3078"/>
      <c r="IWK54" s="3078"/>
      <c r="IWL54" s="3078"/>
      <c r="IWM54" s="3078"/>
      <c r="IWN54" s="3078"/>
      <c r="IWO54" s="3075" t="s">
        <v>55</v>
      </c>
      <c r="IWP54" s="3078"/>
      <c r="IWQ54" s="3078"/>
      <c r="IWR54" s="3078"/>
      <c r="IWS54" s="3078"/>
      <c r="IWT54" s="3078"/>
      <c r="IWU54" s="3078"/>
      <c r="IWV54" s="3078"/>
      <c r="IWW54" s="3075" t="s">
        <v>55</v>
      </c>
      <c r="IWX54" s="3078"/>
      <c r="IWY54" s="3078"/>
      <c r="IWZ54" s="3078"/>
      <c r="IXA54" s="3078"/>
      <c r="IXB54" s="3078"/>
      <c r="IXC54" s="3078"/>
      <c r="IXD54" s="3078"/>
      <c r="IXE54" s="3075" t="s">
        <v>55</v>
      </c>
      <c r="IXF54" s="3078"/>
      <c r="IXG54" s="3078"/>
      <c r="IXH54" s="3078"/>
      <c r="IXI54" s="3078"/>
      <c r="IXJ54" s="3078"/>
      <c r="IXK54" s="3078"/>
      <c r="IXL54" s="3078"/>
      <c r="IXM54" s="3075" t="s">
        <v>55</v>
      </c>
      <c r="IXN54" s="3078"/>
      <c r="IXO54" s="3078"/>
      <c r="IXP54" s="3078"/>
      <c r="IXQ54" s="3078"/>
      <c r="IXR54" s="3078"/>
      <c r="IXS54" s="3078"/>
      <c r="IXT54" s="3078"/>
      <c r="IXU54" s="3075" t="s">
        <v>55</v>
      </c>
      <c r="IXV54" s="3078"/>
      <c r="IXW54" s="3078"/>
      <c r="IXX54" s="3078"/>
      <c r="IXY54" s="3078"/>
      <c r="IXZ54" s="3078"/>
      <c r="IYA54" s="3078"/>
      <c r="IYB54" s="3078"/>
      <c r="IYC54" s="3075" t="s">
        <v>55</v>
      </c>
      <c r="IYD54" s="3078"/>
      <c r="IYE54" s="3078"/>
      <c r="IYF54" s="3078"/>
      <c r="IYG54" s="3078"/>
      <c r="IYH54" s="3078"/>
      <c r="IYI54" s="3078"/>
      <c r="IYJ54" s="3078"/>
      <c r="IYK54" s="3075" t="s">
        <v>55</v>
      </c>
      <c r="IYL54" s="3078"/>
      <c r="IYM54" s="3078"/>
      <c r="IYN54" s="3078"/>
      <c r="IYO54" s="3078"/>
      <c r="IYP54" s="3078"/>
      <c r="IYQ54" s="3078"/>
      <c r="IYR54" s="3078"/>
      <c r="IYS54" s="3075" t="s">
        <v>55</v>
      </c>
      <c r="IYT54" s="3078"/>
      <c r="IYU54" s="3078"/>
      <c r="IYV54" s="3078"/>
      <c r="IYW54" s="3078"/>
      <c r="IYX54" s="3078"/>
      <c r="IYY54" s="3078"/>
      <c r="IYZ54" s="3078"/>
      <c r="IZA54" s="3075" t="s">
        <v>55</v>
      </c>
      <c r="IZB54" s="3078"/>
      <c r="IZC54" s="3078"/>
      <c r="IZD54" s="3078"/>
      <c r="IZE54" s="3078"/>
      <c r="IZF54" s="3078"/>
      <c r="IZG54" s="3078"/>
      <c r="IZH54" s="3078"/>
      <c r="IZI54" s="3075" t="s">
        <v>55</v>
      </c>
      <c r="IZJ54" s="3078"/>
      <c r="IZK54" s="3078"/>
      <c r="IZL54" s="3078"/>
      <c r="IZM54" s="3078"/>
      <c r="IZN54" s="3078"/>
      <c r="IZO54" s="3078"/>
      <c r="IZP54" s="3078"/>
      <c r="IZQ54" s="3075" t="s">
        <v>55</v>
      </c>
      <c r="IZR54" s="3078"/>
      <c r="IZS54" s="3078"/>
      <c r="IZT54" s="3078"/>
      <c r="IZU54" s="3078"/>
      <c r="IZV54" s="3078"/>
      <c r="IZW54" s="3078"/>
      <c r="IZX54" s="3078"/>
      <c r="IZY54" s="3075" t="s">
        <v>55</v>
      </c>
      <c r="IZZ54" s="3078"/>
      <c r="JAA54" s="3078"/>
      <c r="JAB54" s="3078"/>
      <c r="JAC54" s="3078"/>
      <c r="JAD54" s="3078"/>
      <c r="JAE54" s="3078"/>
      <c r="JAF54" s="3078"/>
      <c r="JAG54" s="3075" t="s">
        <v>55</v>
      </c>
      <c r="JAH54" s="3078"/>
      <c r="JAI54" s="3078"/>
      <c r="JAJ54" s="3078"/>
      <c r="JAK54" s="3078"/>
      <c r="JAL54" s="3078"/>
      <c r="JAM54" s="3078"/>
      <c r="JAN54" s="3078"/>
      <c r="JAO54" s="3075" t="s">
        <v>55</v>
      </c>
      <c r="JAP54" s="3078"/>
      <c r="JAQ54" s="3078"/>
      <c r="JAR54" s="3078"/>
      <c r="JAS54" s="3078"/>
      <c r="JAT54" s="3078"/>
      <c r="JAU54" s="3078"/>
      <c r="JAV54" s="3078"/>
      <c r="JAW54" s="3075" t="s">
        <v>55</v>
      </c>
      <c r="JAX54" s="3078"/>
      <c r="JAY54" s="3078"/>
      <c r="JAZ54" s="3078"/>
      <c r="JBA54" s="3078"/>
      <c r="JBB54" s="3078"/>
      <c r="JBC54" s="3078"/>
      <c r="JBD54" s="3078"/>
      <c r="JBE54" s="3075" t="s">
        <v>55</v>
      </c>
      <c r="JBF54" s="3078"/>
      <c r="JBG54" s="3078"/>
      <c r="JBH54" s="3078"/>
      <c r="JBI54" s="3078"/>
      <c r="JBJ54" s="3078"/>
      <c r="JBK54" s="3078"/>
      <c r="JBL54" s="3078"/>
      <c r="JBM54" s="3075" t="s">
        <v>55</v>
      </c>
      <c r="JBN54" s="3078"/>
      <c r="JBO54" s="3078"/>
      <c r="JBP54" s="3078"/>
      <c r="JBQ54" s="3078"/>
      <c r="JBR54" s="3078"/>
      <c r="JBS54" s="3078"/>
      <c r="JBT54" s="3078"/>
      <c r="JBU54" s="3075" t="s">
        <v>55</v>
      </c>
      <c r="JBV54" s="3078"/>
      <c r="JBW54" s="3078"/>
      <c r="JBX54" s="3078"/>
      <c r="JBY54" s="3078"/>
      <c r="JBZ54" s="3078"/>
      <c r="JCA54" s="3078"/>
      <c r="JCB54" s="3078"/>
      <c r="JCC54" s="3075" t="s">
        <v>55</v>
      </c>
      <c r="JCD54" s="3078"/>
      <c r="JCE54" s="3078"/>
      <c r="JCF54" s="3078"/>
      <c r="JCG54" s="3078"/>
      <c r="JCH54" s="3078"/>
      <c r="JCI54" s="3078"/>
      <c r="JCJ54" s="3078"/>
      <c r="JCK54" s="3075" t="s">
        <v>55</v>
      </c>
      <c r="JCL54" s="3078"/>
      <c r="JCM54" s="3078"/>
      <c r="JCN54" s="3078"/>
      <c r="JCO54" s="3078"/>
      <c r="JCP54" s="3078"/>
      <c r="JCQ54" s="3078"/>
      <c r="JCR54" s="3078"/>
      <c r="JCS54" s="3075" t="s">
        <v>55</v>
      </c>
      <c r="JCT54" s="3078"/>
      <c r="JCU54" s="3078"/>
      <c r="JCV54" s="3078"/>
      <c r="JCW54" s="3078"/>
      <c r="JCX54" s="3078"/>
      <c r="JCY54" s="3078"/>
      <c r="JCZ54" s="3078"/>
      <c r="JDA54" s="3075" t="s">
        <v>55</v>
      </c>
      <c r="JDB54" s="3078"/>
      <c r="JDC54" s="3078"/>
      <c r="JDD54" s="3078"/>
      <c r="JDE54" s="3078"/>
      <c r="JDF54" s="3078"/>
      <c r="JDG54" s="3078"/>
      <c r="JDH54" s="3078"/>
      <c r="JDI54" s="3075" t="s">
        <v>55</v>
      </c>
      <c r="JDJ54" s="3078"/>
      <c r="JDK54" s="3078"/>
      <c r="JDL54" s="3078"/>
      <c r="JDM54" s="3078"/>
      <c r="JDN54" s="3078"/>
      <c r="JDO54" s="3078"/>
      <c r="JDP54" s="3078"/>
      <c r="JDQ54" s="3075" t="s">
        <v>55</v>
      </c>
      <c r="JDR54" s="3078"/>
      <c r="JDS54" s="3078"/>
      <c r="JDT54" s="3078"/>
      <c r="JDU54" s="3078"/>
      <c r="JDV54" s="3078"/>
      <c r="JDW54" s="3078"/>
      <c r="JDX54" s="3078"/>
      <c r="JDY54" s="3075" t="s">
        <v>55</v>
      </c>
      <c r="JDZ54" s="3078"/>
      <c r="JEA54" s="3078"/>
      <c r="JEB54" s="3078"/>
      <c r="JEC54" s="3078"/>
      <c r="JED54" s="3078"/>
      <c r="JEE54" s="3078"/>
      <c r="JEF54" s="3078"/>
      <c r="JEG54" s="3075" t="s">
        <v>55</v>
      </c>
      <c r="JEH54" s="3078"/>
      <c r="JEI54" s="3078"/>
      <c r="JEJ54" s="3078"/>
      <c r="JEK54" s="3078"/>
      <c r="JEL54" s="3078"/>
      <c r="JEM54" s="3078"/>
      <c r="JEN54" s="3078"/>
      <c r="JEO54" s="3075" t="s">
        <v>55</v>
      </c>
      <c r="JEP54" s="3078"/>
      <c r="JEQ54" s="3078"/>
      <c r="JER54" s="3078"/>
      <c r="JES54" s="3078"/>
      <c r="JET54" s="3078"/>
      <c r="JEU54" s="3078"/>
      <c r="JEV54" s="3078"/>
      <c r="JEW54" s="3075" t="s">
        <v>55</v>
      </c>
      <c r="JEX54" s="3078"/>
      <c r="JEY54" s="3078"/>
      <c r="JEZ54" s="3078"/>
      <c r="JFA54" s="3078"/>
      <c r="JFB54" s="3078"/>
      <c r="JFC54" s="3078"/>
      <c r="JFD54" s="3078"/>
      <c r="JFE54" s="3075" t="s">
        <v>55</v>
      </c>
      <c r="JFF54" s="3078"/>
      <c r="JFG54" s="3078"/>
      <c r="JFH54" s="3078"/>
      <c r="JFI54" s="3078"/>
      <c r="JFJ54" s="3078"/>
      <c r="JFK54" s="3078"/>
      <c r="JFL54" s="3078"/>
      <c r="JFM54" s="3075" t="s">
        <v>55</v>
      </c>
      <c r="JFN54" s="3078"/>
      <c r="JFO54" s="3078"/>
      <c r="JFP54" s="3078"/>
      <c r="JFQ54" s="3078"/>
      <c r="JFR54" s="3078"/>
      <c r="JFS54" s="3078"/>
      <c r="JFT54" s="3078"/>
      <c r="JFU54" s="3075" t="s">
        <v>55</v>
      </c>
      <c r="JFV54" s="3078"/>
      <c r="JFW54" s="3078"/>
      <c r="JFX54" s="3078"/>
      <c r="JFY54" s="3078"/>
      <c r="JFZ54" s="3078"/>
      <c r="JGA54" s="3078"/>
      <c r="JGB54" s="3078"/>
      <c r="JGC54" s="3075" t="s">
        <v>55</v>
      </c>
      <c r="JGD54" s="3078"/>
      <c r="JGE54" s="3078"/>
      <c r="JGF54" s="3078"/>
      <c r="JGG54" s="3078"/>
      <c r="JGH54" s="3078"/>
      <c r="JGI54" s="3078"/>
      <c r="JGJ54" s="3078"/>
      <c r="JGK54" s="3075" t="s">
        <v>55</v>
      </c>
      <c r="JGL54" s="3078"/>
      <c r="JGM54" s="3078"/>
      <c r="JGN54" s="3078"/>
      <c r="JGO54" s="3078"/>
      <c r="JGP54" s="3078"/>
      <c r="JGQ54" s="3078"/>
      <c r="JGR54" s="3078"/>
      <c r="JGS54" s="3075" t="s">
        <v>55</v>
      </c>
      <c r="JGT54" s="3078"/>
      <c r="JGU54" s="3078"/>
      <c r="JGV54" s="3078"/>
      <c r="JGW54" s="3078"/>
      <c r="JGX54" s="3078"/>
      <c r="JGY54" s="3078"/>
      <c r="JGZ54" s="3078"/>
      <c r="JHA54" s="3075" t="s">
        <v>55</v>
      </c>
      <c r="JHB54" s="3078"/>
      <c r="JHC54" s="3078"/>
      <c r="JHD54" s="3078"/>
      <c r="JHE54" s="3078"/>
      <c r="JHF54" s="3078"/>
      <c r="JHG54" s="3078"/>
      <c r="JHH54" s="3078"/>
      <c r="JHI54" s="3075" t="s">
        <v>55</v>
      </c>
      <c r="JHJ54" s="3078"/>
      <c r="JHK54" s="3078"/>
      <c r="JHL54" s="3078"/>
      <c r="JHM54" s="3078"/>
      <c r="JHN54" s="3078"/>
      <c r="JHO54" s="3078"/>
      <c r="JHP54" s="3078"/>
      <c r="JHQ54" s="3075" t="s">
        <v>55</v>
      </c>
      <c r="JHR54" s="3078"/>
      <c r="JHS54" s="3078"/>
      <c r="JHT54" s="3078"/>
      <c r="JHU54" s="3078"/>
      <c r="JHV54" s="3078"/>
      <c r="JHW54" s="3078"/>
      <c r="JHX54" s="3078"/>
      <c r="JHY54" s="3075" t="s">
        <v>55</v>
      </c>
      <c r="JHZ54" s="3078"/>
      <c r="JIA54" s="3078"/>
      <c r="JIB54" s="3078"/>
      <c r="JIC54" s="3078"/>
      <c r="JID54" s="3078"/>
      <c r="JIE54" s="3078"/>
      <c r="JIF54" s="3078"/>
      <c r="JIG54" s="3075" t="s">
        <v>55</v>
      </c>
      <c r="JIH54" s="3078"/>
      <c r="JII54" s="3078"/>
      <c r="JIJ54" s="3078"/>
      <c r="JIK54" s="3078"/>
      <c r="JIL54" s="3078"/>
      <c r="JIM54" s="3078"/>
      <c r="JIN54" s="3078"/>
      <c r="JIO54" s="3075" t="s">
        <v>55</v>
      </c>
      <c r="JIP54" s="3078"/>
      <c r="JIQ54" s="3078"/>
      <c r="JIR54" s="3078"/>
      <c r="JIS54" s="3078"/>
      <c r="JIT54" s="3078"/>
      <c r="JIU54" s="3078"/>
      <c r="JIV54" s="3078"/>
      <c r="JIW54" s="3075" t="s">
        <v>55</v>
      </c>
      <c r="JIX54" s="3078"/>
      <c r="JIY54" s="3078"/>
      <c r="JIZ54" s="3078"/>
      <c r="JJA54" s="3078"/>
      <c r="JJB54" s="3078"/>
      <c r="JJC54" s="3078"/>
      <c r="JJD54" s="3078"/>
      <c r="JJE54" s="3075" t="s">
        <v>55</v>
      </c>
      <c r="JJF54" s="3078"/>
      <c r="JJG54" s="3078"/>
      <c r="JJH54" s="3078"/>
      <c r="JJI54" s="3078"/>
      <c r="JJJ54" s="3078"/>
      <c r="JJK54" s="3078"/>
      <c r="JJL54" s="3078"/>
      <c r="JJM54" s="3075" t="s">
        <v>55</v>
      </c>
      <c r="JJN54" s="3078"/>
      <c r="JJO54" s="3078"/>
      <c r="JJP54" s="3078"/>
      <c r="JJQ54" s="3078"/>
      <c r="JJR54" s="3078"/>
      <c r="JJS54" s="3078"/>
      <c r="JJT54" s="3078"/>
      <c r="JJU54" s="3075" t="s">
        <v>55</v>
      </c>
      <c r="JJV54" s="3078"/>
      <c r="JJW54" s="3078"/>
      <c r="JJX54" s="3078"/>
      <c r="JJY54" s="3078"/>
      <c r="JJZ54" s="3078"/>
      <c r="JKA54" s="3078"/>
      <c r="JKB54" s="3078"/>
      <c r="JKC54" s="3075" t="s">
        <v>55</v>
      </c>
      <c r="JKD54" s="3078"/>
      <c r="JKE54" s="3078"/>
      <c r="JKF54" s="3078"/>
      <c r="JKG54" s="3078"/>
      <c r="JKH54" s="3078"/>
      <c r="JKI54" s="3078"/>
      <c r="JKJ54" s="3078"/>
      <c r="JKK54" s="3075" t="s">
        <v>55</v>
      </c>
      <c r="JKL54" s="3078"/>
      <c r="JKM54" s="3078"/>
      <c r="JKN54" s="3078"/>
      <c r="JKO54" s="3078"/>
      <c r="JKP54" s="3078"/>
      <c r="JKQ54" s="3078"/>
      <c r="JKR54" s="3078"/>
      <c r="JKS54" s="3075" t="s">
        <v>55</v>
      </c>
      <c r="JKT54" s="3078"/>
      <c r="JKU54" s="3078"/>
      <c r="JKV54" s="3078"/>
      <c r="JKW54" s="3078"/>
      <c r="JKX54" s="3078"/>
      <c r="JKY54" s="3078"/>
      <c r="JKZ54" s="3078"/>
      <c r="JLA54" s="3075" t="s">
        <v>55</v>
      </c>
      <c r="JLB54" s="3078"/>
      <c r="JLC54" s="3078"/>
      <c r="JLD54" s="3078"/>
      <c r="JLE54" s="3078"/>
      <c r="JLF54" s="3078"/>
      <c r="JLG54" s="3078"/>
      <c r="JLH54" s="3078"/>
      <c r="JLI54" s="3075" t="s">
        <v>55</v>
      </c>
      <c r="JLJ54" s="3078"/>
      <c r="JLK54" s="3078"/>
      <c r="JLL54" s="3078"/>
      <c r="JLM54" s="3078"/>
      <c r="JLN54" s="3078"/>
      <c r="JLO54" s="3078"/>
      <c r="JLP54" s="3078"/>
      <c r="JLQ54" s="3075" t="s">
        <v>55</v>
      </c>
      <c r="JLR54" s="3078"/>
      <c r="JLS54" s="3078"/>
      <c r="JLT54" s="3078"/>
      <c r="JLU54" s="3078"/>
      <c r="JLV54" s="3078"/>
      <c r="JLW54" s="3078"/>
      <c r="JLX54" s="3078"/>
      <c r="JLY54" s="3075" t="s">
        <v>55</v>
      </c>
      <c r="JLZ54" s="3078"/>
      <c r="JMA54" s="3078"/>
      <c r="JMB54" s="3078"/>
      <c r="JMC54" s="3078"/>
      <c r="JMD54" s="3078"/>
      <c r="JME54" s="3078"/>
      <c r="JMF54" s="3078"/>
      <c r="JMG54" s="3075" t="s">
        <v>55</v>
      </c>
      <c r="JMH54" s="3078"/>
      <c r="JMI54" s="3078"/>
      <c r="JMJ54" s="3078"/>
      <c r="JMK54" s="3078"/>
      <c r="JML54" s="3078"/>
      <c r="JMM54" s="3078"/>
      <c r="JMN54" s="3078"/>
      <c r="JMO54" s="3075" t="s">
        <v>55</v>
      </c>
      <c r="JMP54" s="3078"/>
      <c r="JMQ54" s="3078"/>
      <c r="JMR54" s="3078"/>
      <c r="JMS54" s="3078"/>
      <c r="JMT54" s="3078"/>
      <c r="JMU54" s="3078"/>
      <c r="JMV54" s="3078"/>
      <c r="JMW54" s="3075" t="s">
        <v>55</v>
      </c>
      <c r="JMX54" s="3078"/>
      <c r="JMY54" s="3078"/>
      <c r="JMZ54" s="3078"/>
      <c r="JNA54" s="3078"/>
      <c r="JNB54" s="3078"/>
      <c r="JNC54" s="3078"/>
      <c r="JND54" s="3078"/>
      <c r="JNE54" s="3075" t="s">
        <v>55</v>
      </c>
      <c r="JNF54" s="3078"/>
      <c r="JNG54" s="3078"/>
      <c r="JNH54" s="3078"/>
      <c r="JNI54" s="3078"/>
      <c r="JNJ54" s="3078"/>
      <c r="JNK54" s="3078"/>
      <c r="JNL54" s="3078"/>
      <c r="JNM54" s="3075" t="s">
        <v>55</v>
      </c>
      <c r="JNN54" s="3078"/>
      <c r="JNO54" s="3078"/>
      <c r="JNP54" s="3078"/>
      <c r="JNQ54" s="3078"/>
      <c r="JNR54" s="3078"/>
      <c r="JNS54" s="3078"/>
      <c r="JNT54" s="3078"/>
      <c r="JNU54" s="3075" t="s">
        <v>55</v>
      </c>
      <c r="JNV54" s="3078"/>
      <c r="JNW54" s="3078"/>
      <c r="JNX54" s="3078"/>
      <c r="JNY54" s="3078"/>
      <c r="JNZ54" s="3078"/>
      <c r="JOA54" s="3078"/>
      <c r="JOB54" s="3078"/>
      <c r="JOC54" s="3075" t="s">
        <v>55</v>
      </c>
      <c r="JOD54" s="3078"/>
      <c r="JOE54" s="3078"/>
      <c r="JOF54" s="3078"/>
      <c r="JOG54" s="3078"/>
      <c r="JOH54" s="3078"/>
      <c r="JOI54" s="3078"/>
      <c r="JOJ54" s="3078"/>
      <c r="JOK54" s="3075" t="s">
        <v>55</v>
      </c>
      <c r="JOL54" s="3078"/>
      <c r="JOM54" s="3078"/>
      <c r="JON54" s="3078"/>
      <c r="JOO54" s="3078"/>
      <c r="JOP54" s="3078"/>
      <c r="JOQ54" s="3078"/>
      <c r="JOR54" s="3078"/>
      <c r="JOS54" s="3075" t="s">
        <v>55</v>
      </c>
      <c r="JOT54" s="3078"/>
      <c r="JOU54" s="3078"/>
      <c r="JOV54" s="3078"/>
      <c r="JOW54" s="3078"/>
      <c r="JOX54" s="3078"/>
      <c r="JOY54" s="3078"/>
      <c r="JOZ54" s="3078"/>
      <c r="JPA54" s="3075" t="s">
        <v>55</v>
      </c>
      <c r="JPB54" s="3078"/>
      <c r="JPC54" s="3078"/>
      <c r="JPD54" s="3078"/>
      <c r="JPE54" s="3078"/>
      <c r="JPF54" s="3078"/>
      <c r="JPG54" s="3078"/>
      <c r="JPH54" s="3078"/>
      <c r="JPI54" s="3075" t="s">
        <v>55</v>
      </c>
      <c r="JPJ54" s="3078"/>
      <c r="JPK54" s="3078"/>
      <c r="JPL54" s="3078"/>
      <c r="JPM54" s="3078"/>
      <c r="JPN54" s="3078"/>
      <c r="JPO54" s="3078"/>
      <c r="JPP54" s="3078"/>
      <c r="JPQ54" s="3075" t="s">
        <v>55</v>
      </c>
      <c r="JPR54" s="3078"/>
      <c r="JPS54" s="3078"/>
      <c r="JPT54" s="3078"/>
      <c r="JPU54" s="3078"/>
      <c r="JPV54" s="3078"/>
      <c r="JPW54" s="3078"/>
      <c r="JPX54" s="3078"/>
      <c r="JPY54" s="3075" t="s">
        <v>55</v>
      </c>
      <c r="JPZ54" s="3078"/>
      <c r="JQA54" s="3078"/>
      <c r="JQB54" s="3078"/>
      <c r="JQC54" s="3078"/>
      <c r="JQD54" s="3078"/>
      <c r="JQE54" s="3078"/>
      <c r="JQF54" s="3078"/>
      <c r="JQG54" s="3075" t="s">
        <v>55</v>
      </c>
      <c r="JQH54" s="3078"/>
      <c r="JQI54" s="3078"/>
      <c r="JQJ54" s="3078"/>
      <c r="JQK54" s="3078"/>
      <c r="JQL54" s="3078"/>
      <c r="JQM54" s="3078"/>
      <c r="JQN54" s="3078"/>
      <c r="JQO54" s="3075" t="s">
        <v>55</v>
      </c>
      <c r="JQP54" s="3078"/>
      <c r="JQQ54" s="3078"/>
      <c r="JQR54" s="3078"/>
      <c r="JQS54" s="3078"/>
      <c r="JQT54" s="3078"/>
      <c r="JQU54" s="3078"/>
      <c r="JQV54" s="3078"/>
      <c r="JQW54" s="3075" t="s">
        <v>55</v>
      </c>
      <c r="JQX54" s="3078"/>
      <c r="JQY54" s="3078"/>
      <c r="JQZ54" s="3078"/>
      <c r="JRA54" s="3078"/>
      <c r="JRB54" s="3078"/>
      <c r="JRC54" s="3078"/>
      <c r="JRD54" s="3078"/>
      <c r="JRE54" s="3075" t="s">
        <v>55</v>
      </c>
      <c r="JRF54" s="3078"/>
      <c r="JRG54" s="3078"/>
      <c r="JRH54" s="3078"/>
      <c r="JRI54" s="3078"/>
      <c r="JRJ54" s="3078"/>
      <c r="JRK54" s="3078"/>
      <c r="JRL54" s="3078"/>
      <c r="JRM54" s="3075" t="s">
        <v>55</v>
      </c>
      <c r="JRN54" s="3078"/>
      <c r="JRO54" s="3078"/>
      <c r="JRP54" s="3078"/>
      <c r="JRQ54" s="3078"/>
      <c r="JRR54" s="3078"/>
      <c r="JRS54" s="3078"/>
      <c r="JRT54" s="3078"/>
      <c r="JRU54" s="3075" t="s">
        <v>55</v>
      </c>
      <c r="JRV54" s="3078"/>
      <c r="JRW54" s="3078"/>
      <c r="JRX54" s="3078"/>
      <c r="JRY54" s="3078"/>
      <c r="JRZ54" s="3078"/>
      <c r="JSA54" s="3078"/>
      <c r="JSB54" s="3078"/>
      <c r="JSC54" s="3075" t="s">
        <v>55</v>
      </c>
      <c r="JSD54" s="3078"/>
      <c r="JSE54" s="3078"/>
      <c r="JSF54" s="3078"/>
      <c r="JSG54" s="3078"/>
      <c r="JSH54" s="3078"/>
      <c r="JSI54" s="3078"/>
      <c r="JSJ54" s="3078"/>
      <c r="JSK54" s="3075" t="s">
        <v>55</v>
      </c>
      <c r="JSL54" s="3078"/>
      <c r="JSM54" s="3078"/>
      <c r="JSN54" s="3078"/>
      <c r="JSO54" s="3078"/>
      <c r="JSP54" s="3078"/>
      <c r="JSQ54" s="3078"/>
      <c r="JSR54" s="3078"/>
      <c r="JSS54" s="3075" t="s">
        <v>55</v>
      </c>
      <c r="JST54" s="3078"/>
      <c r="JSU54" s="3078"/>
      <c r="JSV54" s="3078"/>
      <c r="JSW54" s="3078"/>
      <c r="JSX54" s="3078"/>
      <c r="JSY54" s="3078"/>
      <c r="JSZ54" s="3078"/>
      <c r="JTA54" s="3075" t="s">
        <v>55</v>
      </c>
      <c r="JTB54" s="3078"/>
      <c r="JTC54" s="3078"/>
      <c r="JTD54" s="3078"/>
      <c r="JTE54" s="3078"/>
      <c r="JTF54" s="3078"/>
      <c r="JTG54" s="3078"/>
      <c r="JTH54" s="3078"/>
      <c r="JTI54" s="3075" t="s">
        <v>55</v>
      </c>
      <c r="JTJ54" s="3078"/>
      <c r="JTK54" s="3078"/>
      <c r="JTL54" s="3078"/>
      <c r="JTM54" s="3078"/>
      <c r="JTN54" s="3078"/>
      <c r="JTO54" s="3078"/>
      <c r="JTP54" s="3078"/>
      <c r="JTQ54" s="3075" t="s">
        <v>55</v>
      </c>
      <c r="JTR54" s="3078"/>
      <c r="JTS54" s="3078"/>
      <c r="JTT54" s="3078"/>
      <c r="JTU54" s="3078"/>
      <c r="JTV54" s="3078"/>
      <c r="JTW54" s="3078"/>
      <c r="JTX54" s="3078"/>
      <c r="JTY54" s="3075" t="s">
        <v>55</v>
      </c>
      <c r="JTZ54" s="3078"/>
      <c r="JUA54" s="3078"/>
      <c r="JUB54" s="3078"/>
      <c r="JUC54" s="3078"/>
      <c r="JUD54" s="3078"/>
      <c r="JUE54" s="3078"/>
      <c r="JUF54" s="3078"/>
      <c r="JUG54" s="3075" t="s">
        <v>55</v>
      </c>
      <c r="JUH54" s="3078"/>
      <c r="JUI54" s="3078"/>
      <c r="JUJ54" s="3078"/>
      <c r="JUK54" s="3078"/>
      <c r="JUL54" s="3078"/>
      <c r="JUM54" s="3078"/>
      <c r="JUN54" s="3078"/>
      <c r="JUO54" s="3075" t="s">
        <v>55</v>
      </c>
      <c r="JUP54" s="3078"/>
      <c r="JUQ54" s="3078"/>
      <c r="JUR54" s="3078"/>
      <c r="JUS54" s="3078"/>
      <c r="JUT54" s="3078"/>
      <c r="JUU54" s="3078"/>
      <c r="JUV54" s="3078"/>
      <c r="JUW54" s="3075" t="s">
        <v>55</v>
      </c>
      <c r="JUX54" s="3078"/>
      <c r="JUY54" s="3078"/>
      <c r="JUZ54" s="3078"/>
      <c r="JVA54" s="3078"/>
      <c r="JVB54" s="3078"/>
      <c r="JVC54" s="3078"/>
      <c r="JVD54" s="3078"/>
      <c r="JVE54" s="3075" t="s">
        <v>55</v>
      </c>
      <c r="JVF54" s="3078"/>
      <c r="JVG54" s="3078"/>
      <c r="JVH54" s="3078"/>
      <c r="JVI54" s="3078"/>
      <c r="JVJ54" s="3078"/>
      <c r="JVK54" s="3078"/>
      <c r="JVL54" s="3078"/>
      <c r="JVM54" s="3075" t="s">
        <v>55</v>
      </c>
      <c r="JVN54" s="3078"/>
      <c r="JVO54" s="3078"/>
      <c r="JVP54" s="3078"/>
      <c r="JVQ54" s="3078"/>
      <c r="JVR54" s="3078"/>
      <c r="JVS54" s="3078"/>
      <c r="JVT54" s="3078"/>
      <c r="JVU54" s="3075" t="s">
        <v>55</v>
      </c>
      <c r="JVV54" s="3078"/>
      <c r="JVW54" s="3078"/>
      <c r="JVX54" s="3078"/>
      <c r="JVY54" s="3078"/>
      <c r="JVZ54" s="3078"/>
      <c r="JWA54" s="3078"/>
      <c r="JWB54" s="3078"/>
      <c r="JWC54" s="3075" t="s">
        <v>55</v>
      </c>
      <c r="JWD54" s="3078"/>
      <c r="JWE54" s="3078"/>
      <c r="JWF54" s="3078"/>
      <c r="JWG54" s="3078"/>
      <c r="JWH54" s="3078"/>
      <c r="JWI54" s="3078"/>
      <c r="JWJ54" s="3078"/>
      <c r="JWK54" s="3075" t="s">
        <v>55</v>
      </c>
      <c r="JWL54" s="3078"/>
      <c r="JWM54" s="3078"/>
      <c r="JWN54" s="3078"/>
      <c r="JWO54" s="3078"/>
      <c r="JWP54" s="3078"/>
      <c r="JWQ54" s="3078"/>
      <c r="JWR54" s="3078"/>
      <c r="JWS54" s="3075" t="s">
        <v>55</v>
      </c>
      <c r="JWT54" s="3078"/>
      <c r="JWU54" s="3078"/>
      <c r="JWV54" s="3078"/>
      <c r="JWW54" s="3078"/>
      <c r="JWX54" s="3078"/>
      <c r="JWY54" s="3078"/>
      <c r="JWZ54" s="3078"/>
      <c r="JXA54" s="3075" t="s">
        <v>55</v>
      </c>
      <c r="JXB54" s="3078"/>
      <c r="JXC54" s="3078"/>
      <c r="JXD54" s="3078"/>
      <c r="JXE54" s="3078"/>
      <c r="JXF54" s="3078"/>
      <c r="JXG54" s="3078"/>
      <c r="JXH54" s="3078"/>
      <c r="JXI54" s="3075" t="s">
        <v>55</v>
      </c>
      <c r="JXJ54" s="3078"/>
      <c r="JXK54" s="3078"/>
      <c r="JXL54" s="3078"/>
      <c r="JXM54" s="3078"/>
      <c r="JXN54" s="3078"/>
      <c r="JXO54" s="3078"/>
      <c r="JXP54" s="3078"/>
      <c r="JXQ54" s="3075" t="s">
        <v>55</v>
      </c>
      <c r="JXR54" s="3078"/>
      <c r="JXS54" s="3078"/>
      <c r="JXT54" s="3078"/>
      <c r="JXU54" s="3078"/>
      <c r="JXV54" s="3078"/>
      <c r="JXW54" s="3078"/>
      <c r="JXX54" s="3078"/>
      <c r="JXY54" s="3075" t="s">
        <v>55</v>
      </c>
      <c r="JXZ54" s="3078"/>
      <c r="JYA54" s="3078"/>
      <c r="JYB54" s="3078"/>
      <c r="JYC54" s="3078"/>
      <c r="JYD54" s="3078"/>
      <c r="JYE54" s="3078"/>
      <c r="JYF54" s="3078"/>
      <c r="JYG54" s="3075" t="s">
        <v>55</v>
      </c>
      <c r="JYH54" s="3078"/>
      <c r="JYI54" s="3078"/>
      <c r="JYJ54" s="3078"/>
      <c r="JYK54" s="3078"/>
      <c r="JYL54" s="3078"/>
      <c r="JYM54" s="3078"/>
      <c r="JYN54" s="3078"/>
      <c r="JYO54" s="3075" t="s">
        <v>55</v>
      </c>
      <c r="JYP54" s="3078"/>
      <c r="JYQ54" s="3078"/>
      <c r="JYR54" s="3078"/>
      <c r="JYS54" s="3078"/>
      <c r="JYT54" s="3078"/>
      <c r="JYU54" s="3078"/>
      <c r="JYV54" s="3078"/>
      <c r="JYW54" s="3075" t="s">
        <v>55</v>
      </c>
      <c r="JYX54" s="3078"/>
      <c r="JYY54" s="3078"/>
      <c r="JYZ54" s="3078"/>
      <c r="JZA54" s="3078"/>
      <c r="JZB54" s="3078"/>
      <c r="JZC54" s="3078"/>
      <c r="JZD54" s="3078"/>
      <c r="JZE54" s="3075" t="s">
        <v>55</v>
      </c>
      <c r="JZF54" s="3078"/>
      <c r="JZG54" s="3078"/>
      <c r="JZH54" s="3078"/>
      <c r="JZI54" s="3078"/>
      <c r="JZJ54" s="3078"/>
      <c r="JZK54" s="3078"/>
      <c r="JZL54" s="3078"/>
      <c r="JZM54" s="3075" t="s">
        <v>55</v>
      </c>
      <c r="JZN54" s="3078"/>
      <c r="JZO54" s="3078"/>
      <c r="JZP54" s="3078"/>
      <c r="JZQ54" s="3078"/>
      <c r="JZR54" s="3078"/>
      <c r="JZS54" s="3078"/>
      <c r="JZT54" s="3078"/>
      <c r="JZU54" s="3075" t="s">
        <v>55</v>
      </c>
      <c r="JZV54" s="3078"/>
      <c r="JZW54" s="3078"/>
      <c r="JZX54" s="3078"/>
      <c r="JZY54" s="3078"/>
      <c r="JZZ54" s="3078"/>
      <c r="KAA54" s="3078"/>
      <c r="KAB54" s="3078"/>
      <c r="KAC54" s="3075" t="s">
        <v>55</v>
      </c>
      <c r="KAD54" s="3078"/>
      <c r="KAE54" s="3078"/>
      <c r="KAF54" s="3078"/>
      <c r="KAG54" s="3078"/>
      <c r="KAH54" s="3078"/>
      <c r="KAI54" s="3078"/>
      <c r="KAJ54" s="3078"/>
      <c r="KAK54" s="3075" t="s">
        <v>55</v>
      </c>
      <c r="KAL54" s="3078"/>
      <c r="KAM54" s="3078"/>
      <c r="KAN54" s="3078"/>
      <c r="KAO54" s="3078"/>
      <c r="KAP54" s="3078"/>
      <c r="KAQ54" s="3078"/>
      <c r="KAR54" s="3078"/>
      <c r="KAS54" s="3075" t="s">
        <v>55</v>
      </c>
      <c r="KAT54" s="3078"/>
      <c r="KAU54" s="3078"/>
      <c r="KAV54" s="3078"/>
      <c r="KAW54" s="3078"/>
      <c r="KAX54" s="3078"/>
      <c r="KAY54" s="3078"/>
      <c r="KAZ54" s="3078"/>
      <c r="KBA54" s="3075" t="s">
        <v>55</v>
      </c>
      <c r="KBB54" s="3078"/>
      <c r="KBC54" s="3078"/>
      <c r="KBD54" s="3078"/>
      <c r="KBE54" s="3078"/>
      <c r="KBF54" s="3078"/>
      <c r="KBG54" s="3078"/>
      <c r="KBH54" s="3078"/>
      <c r="KBI54" s="3075" t="s">
        <v>55</v>
      </c>
      <c r="KBJ54" s="3078"/>
      <c r="KBK54" s="3078"/>
      <c r="KBL54" s="3078"/>
      <c r="KBM54" s="3078"/>
      <c r="KBN54" s="3078"/>
      <c r="KBO54" s="3078"/>
      <c r="KBP54" s="3078"/>
      <c r="KBQ54" s="3075" t="s">
        <v>55</v>
      </c>
      <c r="KBR54" s="3078"/>
      <c r="KBS54" s="3078"/>
      <c r="KBT54" s="3078"/>
      <c r="KBU54" s="3078"/>
      <c r="KBV54" s="3078"/>
      <c r="KBW54" s="3078"/>
      <c r="KBX54" s="3078"/>
      <c r="KBY54" s="3075" t="s">
        <v>55</v>
      </c>
      <c r="KBZ54" s="3078"/>
      <c r="KCA54" s="3078"/>
      <c r="KCB54" s="3078"/>
      <c r="KCC54" s="3078"/>
      <c r="KCD54" s="3078"/>
      <c r="KCE54" s="3078"/>
      <c r="KCF54" s="3078"/>
      <c r="KCG54" s="3075" t="s">
        <v>55</v>
      </c>
      <c r="KCH54" s="3078"/>
      <c r="KCI54" s="3078"/>
      <c r="KCJ54" s="3078"/>
      <c r="KCK54" s="3078"/>
      <c r="KCL54" s="3078"/>
      <c r="KCM54" s="3078"/>
      <c r="KCN54" s="3078"/>
      <c r="KCO54" s="3075" t="s">
        <v>55</v>
      </c>
      <c r="KCP54" s="3078"/>
      <c r="KCQ54" s="3078"/>
      <c r="KCR54" s="3078"/>
      <c r="KCS54" s="3078"/>
      <c r="KCT54" s="3078"/>
      <c r="KCU54" s="3078"/>
      <c r="KCV54" s="3078"/>
      <c r="KCW54" s="3075" t="s">
        <v>55</v>
      </c>
      <c r="KCX54" s="3078"/>
      <c r="KCY54" s="3078"/>
      <c r="KCZ54" s="3078"/>
      <c r="KDA54" s="3078"/>
      <c r="KDB54" s="3078"/>
      <c r="KDC54" s="3078"/>
      <c r="KDD54" s="3078"/>
      <c r="KDE54" s="3075" t="s">
        <v>55</v>
      </c>
      <c r="KDF54" s="3078"/>
      <c r="KDG54" s="3078"/>
      <c r="KDH54" s="3078"/>
      <c r="KDI54" s="3078"/>
      <c r="KDJ54" s="3078"/>
      <c r="KDK54" s="3078"/>
      <c r="KDL54" s="3078"/>
      <c r="KDM54" s="3075" t="s">
        <v>55</v>
      </c>
      <c r="KDN54" s="3078"/>
      <c r="KDO54" s="3078"/>
      <c r="KDP54" s="3078"/>
      <c r="KDQ54" s="3078"/>
      <c r="KDR54" s="3078"/>
      <c r="KDS54" s="3078"/>
      <c r="KDT54" s="3078"/>
      <c r="KDU54" s="3075" t="s">
        <v>55</v>
      </c>
      <c r="KDV54" s="3078"/>
      <c r="KDW54" s="3078"/>
      <c r="KDX54" s="3078"/>
      <c r="KDY54" s="3078"/>
      <c r="KDZ54" s="3078"/>
      <c r="KEA54" s="3078"/>
      <c r="KEB54" s="3078"/>
      <c r="KEC54" s="3075" t="s">
        <v>55</v>
      </c>
      <c r="KED54" s="3078"/>
      <c r="KEE54" s="3078"/>
      <c r="KEF54" s="3078"/>
      <c r="KEG54" s="3078"/>
      <c r="KEH54" s="3078"/>
      <c r="KEI54" s="3078"/>
      <c r="KEJ54" s="3078"/>
      <c r="KEK54" s="3075" t="s">
        <v>55</v>
      </c>
      <c r="KEL54" s="3078"/>
      <c r="KEM54" s="3078"/>
      <c r="KEN54" s="3078"/>
      <c r="KEO54" s="3078"/>
      <c r="KEP54" s="3078"/>
      <c r="KEQ54" s="3078"/>
      <c r="KER54" s="3078"/>
      <c r="KES54" s="3075" t="s">
        <v>55</v>
      </c>
      <c r="KET54" s="3078"/>
      <c r="KEU54" s="3078"/>
      <c r="KEV54" s="3078"/>
      <c r="KEW54" s="3078"/>
      <c r="KEX54" s="3078"/>
      <c r="KEY54" s="3078"/>
      <c r="KEZ54" s="3078"/>
      <c r="KFA54" s="3075" t="s">
        <v>55</v>
      </c>
      <c r="KFB54" s="3078"/>
      <c r="KFC54" s="3078"/>
      <c r="KFD54" s="3078"/>
      <c r="KFE54" s="3078"/>
      <c r="KFF54" s="3078"/>
      <c r="KFG54" s="3078"/>
      <c r="KFH54" s="3078"/>
      <c r="KFI54" s="3075" t="s">
        <v>55</v>
      </c>
      <c r="KFJ54" s="3078"/>
      <c r="KFK54" s="3078"/>
      <c r="KFL54" s="3078"/>
      <c r="KFM54" s="3078"/>
      <c r="KFN54" s="3078"/>
      <c r="KFO54" s="3078"/>
      <c r="KFP54" s="3078"/>
      <c r="KFQ54" s="3075" t="s">
        <v>55</v>
      </c>
      <c r="KFR54" s="3078"/>
      <c r="KFS54" s="3078"/>
      <c r="KFT54" s="3078"/>
      <c r="KFU54" s="3078"/>
      <c r="KFV54" s="3078"/>
      <c r="KFW54" s="3078"/>
      <c r="KFX54" s="3078"/>
      <c r="KFY54" s="3075" t="s">
        <v>55</v>
      </c>
      <c r="KFZ54" s="3078"/>
      <c r="KGA54" s="3078"/>
      <c r="KGB54" s="3078"/>
      <c r="KGC54" s="3078"/>
      <c r="KGD54" s="3078"/>
      <c r="KGE54" s="3078"/>
      <c r="KGF54" s="3078"/>
      <c r="KGG54" s="3075" t="s">
        <v>55</v>
      </c>
      <c r="KGH54" s="3078"/>
      <c r="KGI54" s="3078"/>
      <c r="KGJ54" s="3078"/>
      <c r="KGK54" s="3078"/>
      <c r="KGL54" s="3078"/>
      <c r="KGM54" s="3078"/>
      <c r="KGN54" s="3078"/>
      <c r="KGO54" s="3075" t="s">
        <v>55</v>
      </c>
      <c r="KGP54" s="3078"/>
      <c r="KGQ54" s="3078"/>
      <c r="KGR54" s="3078"/>
      <c r="KGS54" s="3078"/>
      <c r="KGT54" s="3078"/>
      <c r="KGU54" s="3078"/>
      <c r="KGV54" s="3078"/>
      <c r="KGW54" s="3075" t="s">
        <v>55</v>
      </c>
      <c r="KGX54" s="3078"/>
      <c r="KGY54" s="3078"/>
      <c r="KGZ54" s="3078"/>
      <c r="KHA54" s="3078"/>
      <c r="KHB54" s="3078"/>
      <c r="KHC54" s="3078"/>
      <c r="KHD54" s="3078"/>
      <c r="KHE54" s="3075" t="s">
        <v>55</v>
      </c>
      <c r="KHF54" s="3078"/>
      <c r="KHG54" s="3078"/>
      <c r="KHH54" s="3078"/>
      <c r="KHI54" s="3078"/>
      <c r="KHJ54" s="3078"/>
      <c r="KHK54" s="3078"/>
      <c r="KHL54" s="3078"/>
      <c r="KHM54" s="3075" t="s">
        <v>55</v>
      </c>
      <c r="KHN54" s="3078"/>
      <c r="KHO54" s="3078"/>
      <c r="KHP54" s="3078"/>
      <c r="KHQ54" s="3078"/>
      <c r="KHR54" s="3078"/>
      <c r="KHS54" s="3078"/>
      <c r="KHT54" s="3078"/>
      <c r="KHU54" s="3075" t="s">
        <v>55</v>
      </c>
      <c r="KHV54" s="3078"/>
      <c r="KHW54" s="3078"/>
      <c r="KHX54" s="3078"/>
      <c r="KHY54" s="3078"/>
      <c r="KHZ54" s="3078"/>
      <c r="KIA54" s="3078"/>
      <c r="KIB54" s="3078"/>
      <c r="KIC54" s="3075" t="s">
        <v>55</v>
      </c>
      <c r="KID54" s="3078"/>
      <c r="KIE54" s="3078"/>
      <c r="KIF54" s="3078"/>
      <c r="KIG54" s="3078"/>
      <c r="KIH54" s="3078"/>
      <c r="KII54" s="3078"/>
      <c r="KIJ54" s="3078"/>
      <c r="KIK54" s="3075" t="s">
        <v>55</v>
      </c>
      <c r="KIL54" s="3078"/>
      <c r="KIM54" s="3078"/>
      <c r="KIN54" s="3078"/>
      <c r="KIO54" s="3078"/>
      <c r="KIP54" s="3078"/>
      <c r="KIQ54" s="3078"/>
      <c r="KIR54" s="3078"/>
      <c r="KIS54" s="3075" t="s">
        <v>55</v>
      </c>
      <c r="KIT54" s="3078"/>
      <c r="KIU54" s="3078"/>
      <c r="KIV54" s="3078"/>
      <c r="KIW54" s="3078"/>
      <c r="KIX54" s="3078"/>
      <c r="KIY54" s="3078"/>
      <c r="KIZ54" s="3078"/>
      <c r="KJA54" s="3075" t="s">
        <v>55</v>
      </c>
      <c r="KJB54" s="3078"/>
      <c r="KJC54" s="3078"/>
      <c r="KJD54" s="3078"/>
      <c r="KJE54" s="3078"/>
      <c r="KJF54" s="3078"/>
      <c r="KJG54" s="3078"/>
      <c r="KJH54" s="3078"/>
      <c r="KJI54" s="3075" t="s">
        <v>55</v>
      </c>
      <c r="KJJ54" s="3078"/>
      <c r="KJK54" s="3078"/>
      <c r="KJL54" s="3078"/>
      <c r="KJM54" s="3078"/>
      <c r="KJN54" s="3078"/>
      <c r="KJO54" s="3078"/>
      <c r="KJP54" s="3078"/>
      <c r="KJQ54" s="3075" t="s">
        <v>55</v>
      </c>
      <c r="KJR54" s="3078"/>
      <c r="KJS54" s="3078"/>
      <c r="KJT54" s="3078"/>
      <c r="KJU54" s="3078"/>
      <c r="KJV54" s="3078"/>
      <c r="KJW54" s="3078"/>
      <c r="KJX54" s="3078"/>
      <c r="KJY54" s="3075" t="s">
        <v>55</v>
      </c>
      <c r="KJZ54" s="3078"/>
      <c r="KKA54" s="3078"/>
      <c r="KKB54" s="3078"/>
      <c r="KKC54" s="3078"/>
      <c r="KKD54" s="3078"/>
      <c r="KKE54" s="3078"/>
      <c r="KKF54" s="3078"/>
      <c r="KKG54" s="3075" t="s">
        <v>55</v>
      </c>
      <c r="KKH54" s="3078"/>
      <c r="KKI54" s="3078"/>
      <c r="KKJ54" s="3078"/>
      <c r="KKK54" s="3078"/>
      <c r="KKL54" s="3078"/>
      <c r="KKM54" s="3078"/>
      <c r="KKN54" s="3078"/>
      <c r="KKO54" s="3075" t="s">
        <v>55</v>
      </c>
      <c r="KKP54" s="3078"/>
      <c r="KKQ54" s="3078"/>
      <c r="KKR54" s="3078"/>
      <c r="KKS54" s="3078"/>
      <c r="KKT54" s="3078"/>
      <c r="KKU54" s="3078"/>
      <c r="KKV54" s="3078"/>
      <c r="KKW54" s="3075" t="s">
        <v>55</v>
      </c>
      <c r="KKX54" s="3078"/>
      <c r="KKY54" s="3078"/>
      <c r="KKZ54" s="3078"/>
      <c r="KLA54" s="3078"/>
      <c r="KLB54" s="3078"/>
      <c r="KLC54" s="3078"/>
      <c r="KLD54" s="3078"/>
      <c r="KLE54" s="3075" t="s">
        <v>55</v>
      </c>
      <c r="KLF54" s="3078"/>
      <c r="KLG54" s="3078"/>
      <c r="KLH54" s="3078"/>
      <c r="KLI54" s="3078"/>
      <c r="KLJ54" s="3078"/>
      <c r="KLK54" s="3078"/>
      <c r="KLL54" s="3078"/>
      <c r="KLM54" s="3075" t="s">
        <v>55</v>
      </c>
      <c r="KLN54" s="3078"/>
      <c r="KLO54" s="3078"/>
      <c r="KLP54" s="3078"/>
      <c r="KLQ54" s="3078"/>
      <c r="KLR54" s="3078"/>
      <c r="KLS54" s="3078"/>
      <c r="KLT54" s="3078"/>
      <c r="KLU54" s="3075" t="s">
        <v>55</v>
      </c>
      <c r="KLV54" s="3078"/>
      <c r="KLW54" s="3078"/>
      <c r="KLX54" s="3078"/>
      <c r="KLY54" s="3078"/>
      <c r="KLZ54" s="3078"/>
      <c r="KMA54" s="3078"/>
      <c r="KMB54" s="3078"/>
      <c r="KMC54" s="3075" t="s">
        <v>55</v>
      </c>
      <c r="KMD54" s="3078"/>
      <c r="KME54" s="3078"/>
      <c r="KMF54" s="3078"/>
      <c r="KMG54" s="3078"/>
      <c r="KMH54" s="3078"/>
      <c r="KMI54" s="3078"/>
      <c r="KMJ54" s="3078"/>
      <c r="KMK54" s="3075" t="s">
        <v>55</v>
      </c>
      <c r="KML54" s="3078"/>
      <c r="KMM54" s="3078"/>
      <c r="KMN54" s="3078"/>
      <c r="KMO54" s="3078"/>
      <c r="KMP54" s="3078"/>
      <c r="KMQ54" s="3078"/>
      <c r="KMR54" s="3078"/>
      <c r="KMS54" s="3075" t="s">
        <v>55</v>
      </c>
      <c r="KMT54" s="3078"/>
      <c r="KMU54" s="3078"/>
      <c r="KMV54" s="3078"/>
      <c r="KMW54" s="3078"/>
      <c r="KMX54" s="3078"/>
      <c r="KMY54" s="3078"/>
      <c r="KMZ54" s="3078"/>
      <c r="KNA54" s="3075" t="s">
        <v>55</v>
      </c>
      <c r="KNB54" s="3078"/>
      <c r="KNC54" s="3078"/>
      <c r="KND54" s="3078"/>
      <c r="KNE54" s="3078"/>
      <c r="KNF54" s="3078"/>
      <c r="KNG54" s="3078"/>
      <c r="KNH54" s="3078"/>
      <c r="KNI54" s="3075" t="s">
        <v>55</v>
      </c>
      <c r="KNJ54" s="3078"/>
      <c r="KNK54" s="3078"/>
      <c r="KNL54" s="3078"/>
      <c r="KNM54" s="3078"/>
      <c r="KNN54" s="3078"/>
      <c r="KNO54" s="3078"/>
      <c r="KNP54" s="3078"/>
      <c r="KNQ54" s="3075" t="s">
        <v>55</v>
      </c>
      <c r="KNR54" s="3078"/>
      <c r="KNS54" s="3078"/>
      <c r="KNT54" s="3078"/>
      <c r="KNU54" s="3078"/>
      <c r="KNV54" s="3078"/>
      <c r="KNW54" s="3078"/>
      <c r="KNX54" s="3078"/>
      <c r="KNY54" s="3075" t="s">
        <v>55</v>
      </c>
      <c r="KNZ54" s="3078"/>
      <c r="KOA54" s="3078"/>
      <c r="KOB54" s="3078"/>
      <c r="KOC54" s="3078"/>
      <c r="KOD54" s="3078"/>
      <c r="KOE54" s="3078"/>
      <c r="KOF54" s="3078"/>
      <c r="KOG54" s="3075" t="s">
        <v>55</v>
      </c>
      <c r="KOH54" s="3078"/>
      <c r="KOI54" s="3078"/>
      <c r="KOJ54" s="3078"/>
      <c r="KOK54" s="3078"/>
      <c r="KOL54" s="3078"/>
      <c r="KOM54" s="3078"/>
      <c r="KON54" s="3078"/>
      <c r="KOO54" s="3075" t="s">
        <v>55</v>
      </c>
      <c r="KOP54" s="3078"/>
      <c r="KOQ54" s="3078"/>
      <c r="KOR54" s="3078"/>
      <c r="KOS54" s="3078"/>
      <c r="KOT54" s="3078"/>
      <c r="KOU54" s="3078"/>
      <c r="KOV54" s="3078"/>
      <c r="KOW54" s="3075" t="s">
        <v>55</v>
      </c>
      <c r="KOX54" s="3078"/>
      <c r="KOY54" s="3078"/>
      <c r="KOZ54" s="3078"/>
      <c r="KPA54" s="3078"/>
      <c r="KPB54" s="3078"/>
      <c r="KPC54" s="3078"/>
      <c r="KPD54" s="3078"/>
      <c r="KPE54" s="3075" t="s">
        <v>55</v>
      </c>
      <c r="KPF54" s="3078"/>
      <c r="KPG54" s="3078"/>
      <c r="KPH54" s="3078"/>
      <c r="KPI54" s="3078"/>
      <c r="KPJ54" s="3078"/>
      <c r="KPK54" s="3078"/>
      <c r="KPL54" s="3078"/>
      <c r="KPM54" s="3075" t="s">
        <v>55</v>
      </c>
      <c r="KPN54" s="3078"/>
      <c r="KPO54" s="3078"/>
      <c r="KPP54" s="3078"/>
      <c r="KPQ54" s="3078"/>
      <c r="KPR54" s="3078"/>
      <c r="KPS54" s="3078"/>
      <c r="KPT54" s="3078"/>
      <c r="KPU54" s="3075" t="s">
        <v>55</v>
      </c>
      <c r="KPV54" s="3078"/>
      <c r="KPW54" s="3078"/>
      <c r="KPX54" s="3078"/>
      <c r="KPY54" s="3078"/>
      <c r="KPZ54" s="3078"/>
      <c r="KQA54" s="3078"/>
      <c r="KQB54" s="3078"/>
      <c r="KQC54" s="3075" t="s">
        <v>55</v>
      </c>
      <c r="KQD54" s="3078"/>
      <c r="KQE54" s="3078"/>
      <c r="KQF54" s="3078"/>
      <c r="KQG54" s="3078"/>
      <c r="KQH54" s="3078"/>
      <c r="KQI54" s="3078"/>
      <c r="KQJ54" s="3078"/>
      <c r="KQK54" s="3075" t="s">
        <v>55</v>
      </c>
      <c r="KQL54" s="3078"/>
      <c r="KQM54" s="3078"/>
      <c r="KQN54" s="3078"/>
      <c r="KQO54" s="3078"/>
      <c r="KQP54" s="3078"/>
      <c r="KQQ54" s="3078"/>
      <c r="KQR54" s="3078"/>
      <c r="KQS54" s="3075" t="s">
        <v>55</v>
      </c>
      <c r="KQT54" s="3078"/>
      <c r="KQU54" s="3078"/>
      <c r="KQV54" s="3078"/>
      <c r="KQW54" s="3078"/>
      <c r="KQX54" s="3078"/>
      <c r="KQY54" s="3078"/>
      <c r="KQZ54" s="3078"/>
      <c r="KRA54" s="3075" t="s">
        <v>55</v>
      </c>
      <c r="KRB54" s="3078"/>
      <c r="KRC54" s="3078"/>
      <c r="KRD54" s="3078"/>
      <c r="KRE54" s="3078"/>
      <c r="KRF54" s="3078"/>
      <c r="KRG54" s="3078"/>
      <c r="KRH54" s="3078"/>
      <c r="KRI54" s="3075" t="s">
        <v>55</v>
      </c>
      <c r="KRJ54" s="3078"/>
      <c r="KRK54" s="3078"/>
      <c r="KRL54" s="3078"/>
      <c r="KRM54" s="3078"/>
      <c r="KRN54" s="3078"/>
      <c r="KRO54" s="3078"/>
      <c r="KRP54" s="3078"/>
      <c r="KRQ54" s="3075" t="s">
        <v>55</v>
      </c>
      <c r="KRR54" s="3078"/>
      <c r="KRS54" s="3078"/>
      <c r="KRT54" s="3078"/>
      <c r="KRU54" s="3078"/>
      <c r="KRV54" s="3078"/>
      <c r="KRW54" s="3078"/>
      <c r="KRX54" s="3078"/>
      <c r="KRY54" s="3075" t="s">
        <v>55</v>
      </c>
      <c r="KRZ54" s="3078"/>
      <c r="KSA54" s="3078"/>
      <c r="KSB54" s="3078"/>
      <c r="KSC54" s="3078"/>
      <c r="KSD54" s="3078"/>
      <c r="KSE54" s="3078"/>
      <c r="KSF54" s="3078"/>
      <c r="KSG54" s="3075" t="s">
        <v>55</v>
      </c>
      <c r="KSH54" s="3078"/>
      <c r="KSI54" s="3078"/>
      <c r="KSJ54" s="3078"/>
      <c r="KSK54" s="3078"/>
      <c r="KSL54" s="3078"/>
      <c r="KSM54" s="3078"/>
      <c r="KSN54" s="3078"/>
      <c r="KSO54" s="3075" t="s">
        <v>55</v>
      </c>
      <c r="KSP54" s="3078"/>
      <c r="KSQ54" s="3078"/>
      <c r="KSR54" s="3078"/>
      <c r="KSS54" s="3078"/>
      <c r="KST54" s="3078"/>
      <c r="KSU54" s="3078"/>
      <c r="KSV54" s="3078"/>
      <c r="KSW54" s="3075" t="s">
        <v>55</v>
      </c>
      <c r="KSX54" s="3078"/>
      <c r="KSY54" s="3078"/>
      <c r="KSZ54" s="3078"/>
      <c r="KTA54" s="3078"/>
      <c r="KTB54" s="3078"/>
      <c r="KTC54" s="3078"/>
      <c r="KTD54" s="3078"/>
      <c r="KTE54" s="3075" t="s">
        <v>55</v>
      </c>
      <c r="KTF54" s="3078"/>
      <c r="KTG54" s="3078"/>
      <c r="KTH54" s="3078"/>
      <c r="KTI54" s="3078"/>
      <c r="KTJ54" s="3078"/>
      <c r="KTK54" s="3078"/>
      <c r="KTL54" s="3078"/>
      <c r="KTM54" s="3075" t="s">
        <v>55</v>
      </c>
      <c r="KTN54" s="3078"/>
      <c r="KTO54" s="3078"/>
      <c r="KTP54" s="3078"/>
      <c r="KTQ54" s="3078"/>
      <c r="KTR54" s="3078"/>
      <c r="KTS54" s="3078"/>
      <c r="KTT54" s="3078"/>
      <c r="KTU54" s="3075" t="s">
        <v>55</v>
      </c>
      <c r="KTV54" s="3078"/>
      <c r="KTW54" s="3078"/>
      <c r="KTX54" s="3078"/>
      <c r="KTY54" s="3078"/>
      <c r="KTZ54" s="3078"/>
      <c r="KUA54" s="3078"/>
      <c r="KUB54" s="3078"/>
      <c r="KUC54" s="3075" t="s">
        <v>55</v>
      </c>
      <c r="KUD54" s="3078"/>
      <c r="KUE54" s="3078"/>
      <c r="KUF54" s="3078"/>
      <c r="KUG54" s="3078"/>
      <c r="KUH54" s="3078"/>
      <c r="KUI54" s="3078"/>
      <c r="KUJ54" s="3078"/>
      <c r="KUK54" s="3075" t="s">
        <v>55</v>
      </c>
      <c r="KUL54" s="3078"/>
      <c r="KUM54" s="3078"/>
      <c r="KUN54" s="3078"/>
      <c r="KUO54" s="3078"/>
      <c r="KUP54" s="3078"/>
      <c r="KUQ54" s="3078"/>
      <c r="KUR54" s="3078"/>
      <c r="KUS54" s="3075" t="s">
        <v>55</v>
      </c>
      <c r="KUT54" s="3078"/>
      <c r="KUU54" s="3078"/>
      <c r="KUV54" s="3078"/>
      <c r="KUW54" s="3078"/>
      <c r="KUX54" s="3078"/>
      <c r="KUY54" s="3078"/>
      <c r="KUZ54" s="3078"/>
      <c r="KVA54" s="3075" t="s">
        <v>55</v>
      </c>
      <c r="KVB54" s="3078"/>
      <c r="KVC54" s="3078"/>
      <c r="KVD54" s="3078"/>
      <c r="KVE54" s="3078"/>
      <c r="KVF54" s="3078"/>
      <c r="KVG54" s="3078"/>
      <c r="KVH54" s="3078"/>
      <c r="KVI54" s="3075" t="s">
        <v>55</v>
      </c>
      <c r="KVJ54" s="3078"/>
      <c r="KVK54" s="3078"/>
      <c r="KVL54" s="3078"/>
      <c r="KVM54" s="3078"/>
      <c r="KVN54" s="3078"/>
      <c r="KVO54" s="3078"/>
      <c r="KVP54" s="3078"/>
      <c r="KVQ54" s="3075" t="s">
        <v>55</v>
      </c>
      <c r="KVR54" s="3078"/>
      <c r="KVS54" s="3078"/>
      <c r="KVT54" s="3078"/>
      <c r="KVU54" s="3078"/>
      <c r="KVV54" s="3078"/>
      <c r="KVW54" s="3078"/>
      <c r="KVX54" s="3078"/>
      <c r="KVY54" s="3075" t="s">
        <v>55</v>
      </c>
      <c r="KVZ54" s="3078"/>
      <c r="KWA54" s="3078"/>
      <c r="KWB54" s="3078"/>
      <c r="KWC54" s="3078"/>
      <c r="KWD54" s="3078"/>
      <c r="KWE54" s="3078"/>
      <c r="KWF54" s="3078"/>
      <c r="KWG54" s="3075" t="s">
        <v>55</v>
      </c>
      <c r="KWH54" s="3078"/>
      <c r="KWI54" s="3078"/>
      <c r="KWJ54" s="3078"/>
      <c r="KWK54" s="3078"/>
      <c r="KWL54" s="3078"/>
      <c r="KWM54" s="3078"/>
      <c r="KWN54" s="3078"/>
      <c r="KWO54" s="3075" t="s">
        <v>55</v>
      </c>
      <c r="KWP54" s="3078"/>
      <c r="KWQ54" s="3078"/>
      <c r="KWR54" s="3078"/>
      <c r="KWS54" s="3078"/>
      <c r="KWT54" s="3078"/>
      <c r="KWU54" s="3078"/>
      <c r="KWV54" s="3078"/>
      <c r="KWW54" s="3075" t="s">
        <v>55</v>
      </c>
      <c r="KWX54" s="3078"/>
      <c r="KWY54" s="3078"/>
      <c r="KWZ54" s="3078"/>
      <c r="KXA54" s="3078"/>
      <c r="KXB54" s="3078"/>
      <c r="KXC54" s="3078"/>
      <c r="KXD54" s="3078"/>
      <c r="KXE54" s="3075" t="s">
        <v>55</v>
      </c>
      <c r="KXF54" s="3078"/>
      <c r="KXG54" s="3078"/>
      <c r="KXH54" s="3078"/>
      <c r="KXI54" s="3078"/>
      <c r="KXJ54" s="3078"/>
      <c r="KXK54" s="3078"/>
      <c r="KXL54" s="3078"/>
      <c r="KXM54" s="3075" t="s">
        <v>55</v>
      </c>
      <c r="KXN54" s="3078"/>
      <c r="KXO54" s="3078"/>
      <c r="KXP54" s="3078"/>
      <c r="KXQ54" s="3078"/>
      <c r="KXR54" s="3078"/>
      <c r="KXS54" s="3078"/>
      <c r="KXT54" s="3078"/>
      <c r="KXU54" s="3075" t="s">
        <v>55</v>
      </c>
      <c r="KXV54" s="3078"/>
      <c r="KXW54" s="3078"/>
      <c r="KXX54" s="3078"/>
      <c r="KXY54" s="3078"/>
      <c r="KXZ54" s="3078"/>
      <c r="KYA54" s="3078"/>
      <c r="KYB54" s="3078"/>
      <c r="KYC54" s="3075" t="s">
        <v>55</v>
      </c>
      <c r="KYD54" s="3078"/>
      <c r="KYE54" s="3078"/>
      <c r="KYF54" s="3078"/>
      <c r="KYG54" s="3078"/>
      <c r="KYH54" s="3078"/>
      <c r="KYI54" s="3078"/>
      <c r="KYJ54" s="3078"/>
      <c r="KYK54" s="3075" t="s">
        <v>55</v>
      </c>
      <c r="KYL54" s="3078"/>
      <c r="KYM54" s="3078"/>
      <c r="KYN54" s="3078"/>
      <c r="KYO54" s="3078"/>
      <c r="KYP54" s="3078"/>
      <c r="KYQ54" s="3078"/>
      <c r="KYR54" s="3078"/>
      <c r="KYS54" s="3075" t="s">
        <v>55</v>
      </c>
      <c r="KYT54" s="3078"/>
      <c r="KYU54" s="3078"/>
      <c r="KYV54" s="3078"/>
      <c r="KYW54" s="3078"/>
      <c r="KYX54" s="3078"/>
      <c r="KYY54" s="3078"/>
      <c r="KYZ54" s="3078"/>
      <c r="KZA54" s="3075" t="s">
        <v>55</v>
      </c>
      <c r="KZB54" s="3078"/>
      <c r="KZC54" s="3078"/>
      <c r="KZD54" s="3078"/>
      <c r="KZE54" s="3078"/>
      <c r="KZF54" s="3078"/>
      <c r="KZG54" s="3078"/>
      <c r="KZH54" s="3078"/>
      <c r="KZI54" s="3075" t="s">
        <v>55</v>
      </c>
      <c r="KZJ54" s="3078"/>
      <c r="KZK54" s="3078"/>
      <c r="KZL54" s="3078"/>
      <c r="KZM54" s="3078"/>
      <c r="KZN54" s="3078"/>
      <c r="KZO54" s="3078"/>
      <c r="KZP54" s="3078"/>
      <c r="KZQ54" s="3075" t="s">
        <v>55</v>
      </c>
      <c r="KZR54" s="3078"/>
      <c r="KZS54" s="3078"/>
      <c r="KZT54" s="3078"/>
      <c r="KZU54" s="3078"/>
      <c r="KZV54" s="3078"/>
      <c r="KZW54" s="3078"/>
      <c r="KZX54" s="3078"/>
      <c r="KZY54" s="3075" t="s">
        <v>55</v>
      </c>
      <c r="KZZ54" s="3078"/>
      <c r="LAA54" s="3078"/>
      <c r="LAB54" s="3078"/>
      <c r="LAC54" s="3078"/>
      <c r="LAD54" s="3078"/>
      <c r="LAE54" s="3078"/>
      <c r="LAF54" s="3078"/>
      <c r="LAG54" s="3075" t="s">
        <v>55</v>
      </c>
      <c r="LAH54" s="3078"/>
      <c r="LAI54" s="3078"/>
      <c r="LAJ54" s="3078"/>
      <c r="LAK54" s="3078"/>
      <c r="LAL54" s="3078"/>
      <c r="LAM54" s="3078"/>
      <c r="LAN54" s="3078"/>
      <c r="LAO54" s="3075" t="s">
        <v>55</v>
      </c>
      <c r="LAP54" s="3078"/>
      <c r="LAQ54" s="3078"/>
      <c r="LAR54" s="3078"/>
      <c r="LAS54" s="3078"/>
      <c r="LAT54" s="3078"/>
      <c r="LAU54" s="3078"/>
      <c r="LAV54" s="3078"/>
      <c r="LAW54" s="3075" t="s">
        <v>55</v>
      </c>
      <c r="LAX54" s="3078"/>
      <c r="LAY54" s="3078"/>
      <c r="LAZ54" s="3078"/>
      <c r="LBA54" s="3078"/>
      <c r="LBB54" s="3078"/>
      <c r="LBC54" s="3078"/>
      <c r="LBD54" s="3078"/>
      <c r="LBE54" s="3075" t="s">
        <v>55</v>
      </c>
      <c r="LBF54" s="3078"/>
      <c r="LBG54" s="3078"/>
      <c r="LBH54" s="3078"/>
      <c r="LBI54" s="3078"/>
      <c r="LBJ54" s="3078"/>
      <c r="LBK54" s="3078"/>
      <c r="LBL54" s="3078"/>
      <c r="LBM54" s="3075" t="s">
        <v>55</v>
      </c>
      <c r="LBN54" s="3078"/>
      <c r="LBO54" s="3078"/>
      <c r="LBP54" s="3078"/>
      <c r="LBQ54" s="3078"/>
      <c r="LBR54" s="3078"/>
      <c r="LBS54" s="3078"/>
      <c r="LBT54" s="3078"/>
      <c r="LBU54" s="3075" t="s">
        <v>55</v>
      </c>
      <c r="LBV54" s="3078"/>
      <c r="LBW54" s="3078"/>
      <c r="LBX54" s="3078"/>
      <c r="LBY54" s="3078"/>
      <c r="LBZ54" s="3078"/>
      <c r="LCA54" s="3078"/>
      <c r="LCB54" s="3078"/>
      <c r="LCC54" s="3075" t="s">
        <v>55</v>
      </c>
      <c r="LCD54" s="3078"/>
      <c r="LCE54" s="3078"/>
      <c r="LCF54" s="3078"/>
      <c r="LCG54" s="3078"/>
      <c r="LCH54" s="3078"/>
      <c r="LCI54" s="3078"/>
      <c r="LCJ54" s="3078"/>
      <c r="LCK54" s="3075" t="s">
        <v>55</v>
      </c>
      <c r="LCL54" s="3078"/>
      <c r="LCM54" s="3078"/>
      <c r="LCN54" s="3078"/>
      <c r="LCO54" s="3078"/>
      <c r="LCP54" s="3078"/>
      <c r="LCQ54" s="3078"/>
      <c r="LCR54" s="3078"/>
      <c r="LCS54" s="3075" t="s">
        <v>55</v>
      </c>
      <c r="LCT54" s="3078"/>
      <c r="LCU54" s="3078"/>
      <c r="LCV54" s="3078"/>
      <c r="LCW54" s="3078"/>
      <c r="LCX54" s="3078"/>
      <c r="LCY54" s="3078"/>
      <c r="LCZ54" s="3078"/>
      <c r="LDA54" s="3075" t="s">
        <v>55</v>
      </c>
      <c r="LDB54" s="3078"/>
      <c r="LDC54" s="3078"/>
      <c r="LDD54" s="3078"/>
      <c r="LDE54" s="3078"/>
      <c r="LDF54" s="3078"/>
      <c r="LDG54" s="3078"/>
      <c r="LDH54" s="3078"/>
      <c r="LDI54" s="3075" t="s">
        <v>55</v>
      </c>
      <c r="LDJ54" s="3078"/>
      <c r="LDK54" s="3078"/>
      <c r="LDL54" s="3078"/>
      <c r="LDM54" s="3078"/>
      <c r="LDN54" s="3078"/>
      <c r="LDO54" s="3078"/>
      <c r="LDP54" s="3078"/>
      <c r="LDQ54" s="3075" t="s">
        <v>55</v>
      </c>
      <c r="LDR54" s="3078"/>
      <c r="LDS54" s="3078"/>
      <c r="LDT54" s="3078"/>
      <c r="LDU54" s="3078"/>
      <c r="LDV54" s="3078"/>
      <c r="LDW54" s="3078"/>
      <c r="LDX54" s="3078"/>
      <c r="LDY54" s="3075" t="s">
        <v>55</v>
      </c>
      <c r="LDZ54" s="3078"/>
      <c r="LEA54" s="3078"/>
      <c r="LEB54" s="3078"/>
      <c r="LEC54" s="3078"/>
      <c r="LED54" s="3078"/>
      <c r="LEE54" s="3078"/>
      <c r="LEF54" s="3078"/>
      <c r="LEG54" s="3075" t="s">
        <v>55</v>
      </c>
      <c r="LEH54" s="3078"/>
      <c r="LEI54" s="3078"/>
      <c r="LEJ54" s="3078"/>
      <c r="LEK54" s="3078"/>
      <c r="LEL54" s="3078"/>
      <c r="LEM54" s="3078"/>
      <c r="LEN54" s="3078"/>
      <c r="LEO54" s="3075" t="s">
        <v>55</v>
      </c>
      <c r="LEP54" s="3078"/>
      <c r="LEQ54" s="3078"/>
      <c r="LER54" s="3078"/>
      <c r="LES54" s="3078"/>
      <c r="LET54" s="3078"/>
      <c r="LEU54" s="3078"/>
      <c r="LEV54" s="3078"/>
      <c r="LEW54" s="3075" t="s">
        <v>55</v>
      </c>
      <c r="LEX54" s="3078"/>
      <c r="LEY54" s="3078"/>
      <c r="LEZ54" s="3078"/>
      <c r="LFA54" s="3078"/>
      <c r="LFB54" s="3078"/>
      <c r="LFC54" s="3078"/>
      <c r="LFD54" s="3078"/>
      <c r="LFE54" s="3075" t="s">
        <v>55</v>
      </c>
      <c r="LFF54" s="3078"/>
      <c r="LFG54" s="3078"/>
      <c r="LFH54" s="3078"/>
      <c r="LFI54" s="3078"/>
      <c r="LFJ54" s="3078"/>
      <c r="LFK54" s="3078"/>
      <c r="LFL54" s="3078"/>
      <c r="LFM54" s="3075" t="s">
        <v>55</v>
      </c>
      <c r="LFN54" s="3078"/>
      <c r="LFO54" s="3078"/>
      <c r="LFP54" s="3078"/>
      <c r="LFQ54" s="3078"/>
      <c r="LFR54" s="3078"/>
      <c r="LFS54" s="3078"/>
      <c r="LFT54" s="3078"/>
      <c r="LFU54" s="3075" t="s">
        <v>55</v>
      </c>
      <c r="LFV54" s="3078"/>
      <c r="LFW54" s="3078"/>
      <c r="LFX54" s="3078"/>
      <c r="LFY54" s="3078"/>
      <c r="LFZ54" s="3078"/>
      <c r="LGA54" s="3078"/>
      <c r="LGB54" s="3078"/>
      <c r="LGC54" s="3075" t="s">
        <v>55</v>
      </c>
      <c r="LGD54" s="3078"/>
      <c r="LGE54" s="3078"/>
      <c r="LGF54" s="3078"/>
      <c r="LGG54" s="3078"/>
      <c r="LGH54" s="3078"/>
      <c r="LGI54" s="3078"/>
      <c r="LGJ54" s="3078"/>
      <c r="LGK54" s="3075" t="s">
        <v>55</v>
      </c>
      <c r="LGL54" s="3078"/>
      <c r="LGM54" s="3078"/>
      <c r="LGN54" s="3078"/>
      <c r="LGO54" s="3078"/>
      <c r="LGP54" s="3078"/>
      <c r="LGQ54" s="3078"/>
      <c r="LGR54" s="3078"/>
      <c r="LGS54" s="3075" t="s">
        <v>55</v>
      </c>
      <c r="LGT54" s="3078"/>
      <c r="LGU54" s="3078"/>
      <c r="LGV54" s="3078"/>
      <c r="LGW54" s="3078"/>
      <c r="LGX54" s="3078"/>
      <c r="LGY54" s="3078"/>
      <c r="LGZ54" s="3078"/>
      <c r="LHA54" s="3075" t="s">
        <v>55</v>
      </c>
      <c r="LHB54" s="3078"/>
      <c r="LHC54" s="3078"/>
      <c r="LHD54" s="3078"/>
      <c r="LHE54" s="3078"/>
      <c r="LHF54" s="3078"/>
      <c r="LHG54" s="3078"/>
      <c r="LHH54" s="3078"/>
      <c r="LHI54" s="3075" t="s">
        <v>55</v>
      </c>
      <c r="LHJ54" s="3078"/>
      <c r="LHK54" s="3078"/>
      <c r="LHL54" s="3078"/>
      <c r="LHM54" s="3078"/>
      <c r="LHN54" s="3078"/>
      <c r="LHO54" s="3078"/>
      <c r="LHP54" s="3078"/>
      <c r="LHQ54" s="3075" t="s">
        <v>55</v>
      </c>
      <c r="LHR54" s="3078"/>
      <c r="LHS54" s="3078"/>
      <c r="LHT54" s="3078"/>
      <c r="LHU54" s="3078"/>
      <c r="LHV54" s="3078"/>
      <c r="LHW54" s="3078"/>
      <c r="LHX54" s="3078"/>
      <c r="LHY54" s="3075" t="s">
        <v>55</v>
      </c>
      <c r="LHZ54" s="3078"/>
      <c r="LIA54" s="3078"/>
      <c r="LIB54" s="3078"/>
      <c r="LIC54" s="3078"/>
      <c r="LID54" s="3078"/>
      <c r="LIE54" s="3078"/>
      <c r="LIF54" s="3078"/>
      <c r="LIG54" s="3075" t="s">
        <v>55</v>
      </c>
      <c r="LIH54" s="3078"/>
      <c r="LII54" s="3078"/>
      <c r="LIJ54" s="3078"/>
      <c r="LIK54" s="3078"/>
      <c r="LIL54" s="3078"/>
      <c r="LIM54" s="3078"/>
      <c r="LIN54" s="3078"/>
      <c r="LIO54" s="3075" t="s">
        <v>55</v>
      </c>
      <c r="LIP54" s="3078"/>
      <c r="LIQ54" s="3078"/>
      <c r="LIR54" s="3078"/>
      <c r="LIS54" s="3078"/>
      <c r="LIT54" s="3078"/>
      <c r="LIU54" s="3078"/>
      <c r="LIV54" s="3078"/>
      <c r="LIW54" s="3075" t="s">
        <v>55</v>
      </c>
      <c r="LIX54" s="3078"/>
      <c r="LIY54" s="3078"/>
      <c r="LIZ54" s="3078"/>
      <c r="LJA54" s="3078"/>
      <c r="LJB54" s="3078"/>
      <c r="LJC54" s="3078"/>
      <c r="LJD54" s="3078"/>
      <c r="LJE54" s="3075" t="s">
        <v>55</v>
      </c>
      <c r="LJF54" s="3078"/>
      <c r="LJG54" s="3078"/>
      <c r="LJH54" s="3078"/>
      <c r="LJI54" s="3078"/>
      <c r="LJJ54" s="3078"/>
      <c r="LJK54" s="3078"/>
      <c r="LJL54" s="3078"/>
      <c r="LJM54" s="3075" t="s">
        <v>55</v>
      </c>
      <c r="LJN54" s="3078"/>
      <c r="LJO54" s="3078"/>
      <c r="LJP54" s="3078"/>
      <c r="LJQ54" s="3078"/>
      <c r="LJR54" s="3078"/>
      <c r="LJS54" s="3078"/>
      <c r="LJT54" s="3078"/>
      <c r="LJU54" s="3075" t="s">
        <v>55</v>
      </c>
      <c r="LJV54" s="3078"/>
      <c r="LJW54" s="3078"/>
      <c r="LJX54" s="3078"/>
      <c r="LJY54" s="3078"/>
      <c r="LJZ54" s="3078"/>
      <c r="LKA54" s="3078"/>
      <c r="LKB54" s="3078"/>
      <c r="LKC54" s="3075" t="s">
        <v>55</v>
      </c>
      <c r="LKD54" s="3078"/>
      <c r="LKE54" s="3078"/>
      <c r="LKF54" s="3078"/>
      <c r="LKG54" s="3078"/>
      <c r="LKH54" s="3078"/>
      <c r="LKI54" s="3078"/>
      <c r="LKJ54" s="3078"/>
      <c r="LKK54" s="3075" t="s">
        <v>55</v>
      </c>
      <c r="LKL54" s="3078"/>
      <c r="LKM54" s="3078"/>
      <c r="LKN54" s="3078"/>
      <c r="LKO54" s="3078"/>
      <c r="LKP54" s="3078"/>
      <c r="LKQ54" s="3078"/>
      <c r="LKR54" s="3078"/>
      <c r="LKS54" s="3075" t="s">
        <v>55</v>
      </c>
      <c r="LKT54" s="3078"/>
      <c r="LKU54" s="3078"/>
      <c r="LKV54" s="3078"/>
      <c r="LKW54" s="3078"/>
      <c r="LKX54" s="3078"/>
      <c r="LKY54" s="3078"/>
      <c r="LKZ54" s="3078"/>
      <c r="LLA54" s="3075" t="s">
        <v>55</v>
      </c>
      <c r="LLB54" s="3078"/>
      <c r="LLC54" s="3078"/>
      <c r="LLD54" s="3078"/>
      <c r="LLE54" s="3078"/>
      <c r="LLF54" s="3078"/>
      <c r="LLG54" s="3078"/>
      <c r="LLH54" s="3078"/>
      <c r="LLI54" s="3075" t="s">
        <v>55</v>
      </c>
      <c r="LLJ54" s="3078"/>
      <c r="LLK54" s="3078"/>
      <c r="LLL54" s="3078"/>
      <c r="LLM54" s="3078"/>
      <c r="LLN54" s="3078"/>
      <c r="LLO54" s="3078"/>
      <c r="LLP54" s="3078"/>
      <c r="LLQ54" s="3075" t="s">
        <v>55</v>
      </c>
      <c r="LLR54" s="3078"/>
      <c r="LLS54" s="3078"/>
      <c r="LLT54" s="3078"/>
      <c r="LLU54" s="3078"/>
      <c r="LLV54" s="3078"/>
      <c r="LLW54" s="3078"/>
      <c r="LLX54" s="3078"/>
      <c r="LLY54" s="3075" t="s">
        <v>55</v>
      </c>
      <c r="LLZ54" s="3078"/>
      <c r="LMA54" s="3078"/>
      <c r="LMB54" s="3078"/>
      <c r="LMC54" s="3078"/>
      <c r="LMD54" s="3078"/>
      <c r="LME54" s="3078"/>
      <c r="LMF54" s="3078"/>
      <c r="LMG54" s="3075" t="s">
        <v>55</v>
      </c>
      <c r="LMH54" s="3078"/>
      <c r="LMI54" s="3078"/>
      <c r="LMJ54" s="3078"/>
      <c r="LMK54" s="3078"/>
      <c r="LML54" s="3078"/>
      <c r="LMM54" s="3078"/>
      <c r="LMN54" s="3078"/>
      <c r="LMO54" s="3075" t="s">
        <v>55</v>
      </c>
      <c r="LMP54" s="3078"/>
      <c r="LMQ54" s="3078"/>
      <c r="LMR54" s="3078"/>
      <c r="LMS54" s="3078"/>
      <c r="LMT54" s="3078"/>
      <c r="LMU54" s="3078"/>
      <c r="LMV54" s="3078"/>
      <c r="LMW54" s="3075" t="s">
        <v>55</v>
      </c>
      <c r="LMX54" s="3078"/>
      <c r="LMY54" s="3078"/>
      <c r="LMZ54" s="3078"/>
      <c r="LNA54" s="3078"/>
      <c r="LNB54" s="3078"/>
      <c r="LNC54" s="3078"/>
      <c r="LND54" s="3078"/>
      <c r="LNE54" s="3075" t="s">
        <v>55</v>
      </c>
      <c r="LNF54" s="3078"/>
      <c r="LNG54" s="3078"/>
      <c r="LNH54" s="3078"/>
      <c r="LNI54" s="3078"/>
      <c r="LNJ54" s="3078"/>
      <c r="LNK54" s="3078"/>
      <c r="LNL54" s="3078"/>
      <c r="LNM54" s="3075" t="s">
        <v>55</v>
      </c>
      <c r="LNN54" s="3078"/>
      <c r="LNO54" s="3078"/>
      <c r="LNP54" s="3078"/>
      <c r="LNQ54" s="3078"/>
      <c r="LNR54" s="3078"/>
      <c r="LNS54" s="3078"/>
      <c r="LNT54" s="3078"/>
      <c r="LNU54" s="3075" t="s">
        <v>55</v>
      </c>
      <c r="LNV54" s="3078"/>
      <c r="LNW54" s="3078"/>
      <c r="LNX54" s="3078"/>
      <c r="LNY54" s="3078"/>
      <c r="LNZ54" s="3078"/>
      <c r="LOA54" s="3078"/>
      <c r="LOB54" s="3078"/>
      <c r="LOC54" s="3075" t="s">
        <v>55</v>
      </c>
      <c r="LOD54" s="3078"/>
      <c r="LOE54" s="3078"/>
      <c r="LOF54" s="3078"/>
      <c r="LOG54" s="3078"/>
      <c r="LOH54" s="3078"/>
      <c r="LOI54" s="3078"/>
      <c r="LOJ54" s="3078"/>
      <c r="LOK54" s="3075" t="s">
        <v>55</v>
      </c>
      <c r="LOL54" s="3078"/>
      <c r="LOM54" s="3078"/>
      <c r="LON54" s="3078"/>
      <c r="LOO54" s="3078"/>
      <c r="LOP54" s="3078"/>
      <c r="LOQ54" s="3078"/>
      <c r="LOR54" s="3078"/>
      <c r="LOS54" s="3075" t="s">
        <v>55</v>
      </c>
      <c r="LOT54" s="3078"/>
      <c r="LOU54" s="3078"/>
      <c r="LOV54" s="3078"/>
      <c r="LOW54" s="3078"/>
      <c r="LOX54" s="3078"/>
      <c r="LOY54" s="3078"/>
      <c r="LOZ54" s="3078"/>
      <c r="LPA54" s="3075" t="s">
        <v>55</v>
      </c>
      <c r="LPB54" s="3078"/>
      <c r="LPC54" s="3078"/>
      <c r="LPD54" s="3078"/>
      <c r="LPE54" s="3078"/>
      <c r="LPF54" s="3078"/>
      <c r="LPG54" s="3078"/>
      <c r="LPH54" s="3078"/>
      <c r="LPI54" s="3075" t="s">
        <v>55</v>
      </c>
      <c r="LPJ54" s="3078"/>
      <c r="LPK54" s="3078"/>
      <c r="LPL54" s="3078"/>
      <c r="LPM54" s="3078"/>
      <c r="LPN54" s="3078"/>
      <c r="LPO54" s="3078"/>
      <c r="LPP54" s="3078"/>
      <c r="LPQ54" s="3075" t="s">
        <v>55</v>
      </c>
      <c r="LPR54" s="3078"/>
      <c r="LPS54" s="3078"/>
      <c r="LPT54" s="3078"/>
      <c r="LPU54" s="3078"/>
      <c r="LPV54" s="3078"/>
      <c r="LPW54" s="3078"/>
      <c r="LPX54" s="3078"/>
      <c r="LPY54" s="3075" t="s">
        <v>55</v>
      </c>
      <c r="LPZ54" s="3078"/>
      <c r="LQA54" s="3078"/>
      <c r="LQB54" s="3078"/>
      <c r="LQC54" s="3078"/>
      <c r="LQD54" s="3078"/>
      <c r="LQE54" s="3078"/>
      <c r="LQF54" s="3078"/>
      <c r="LQG54" s="3075" t="s">
        <v>55</v>
      </c>
      <c r="LQH54" s="3078"/>
      <c r="LQI54" s="3078"/>
      <c r="LQJ54" s="3078"/>
      <c r="LQK54" s="3078"/>
      <c r="LQL54" s="3078"/>
      <c r="LQM54" s="3078"/>
      <c r="LQN54" s="3078"/>
      <c r="LQO54" s="3075" t="s">
        <v>55</v>
      </c>
      <c r="LQP54" s="3078"/>
      <c r="LQQ54" s="3078"/>
      <c r="LQR54" s="3078"/>
      <c r="LQS54" s="3078"/>
      <c r="LQT54" s="3078"/>
      <c r="LQU54" s="3078"/>
      <c r="LQV54" s="3078"/>
      <c r="LQW54" s="3075" t="s">
        <v>55</v>
      </c>
      <c r="LQX54" s="3078"/>
      <c r="LQY54" s="3078"/>
      <c r="LQZ54" s="3078"/>
      <c r="LRA54" s="3078"/>
      <c r="LRB54" s="3078"/>
      <c r="LRC54" s="3078"/>
      <c r="LRD54" s="3078"/>
      <c r="LRE54" s="3075" t="s">
        <v>55</v>
      </c>
      <c r="LRF54" s="3078"/>
      <c r="LRG54" s="3078"/>
      <c r="LRH54" s="3078"/>
      <c r="LRI54" s="3078"/>
      <c r="LRJ54" s="3078"/>
      <c r="LRK54" s="3078"/>
      <c r="LRL54" s="3078"/>
      <c r="LRM54" s="3075" t="s">
        <v>55</v>
      </c>
      <c r="LRN54" s="3078"/>
      <c r="LRO54" s="3078"/>
      <c r="LRP54" s="3078"/>
      <c r="LRQ54" s="3078"/>
      <c r="LRR54" s="3078"/>
      <c r="LRS54" s="3078"/>
      <c r="LRT54" s="3078"/>
      <c r="LRU54" s="3075" t="s">
        <v>55</v>
      </c>
      <c r="LRV54" s="3078"/>
      <c r="LRW54" s="3078"/>
      <c r="LRX54" s="3078"/>
      <c r="LRY54" s="3078"/>
      <c r="LRZ54" s="3078"/>
      <c r="LSA54" s="3078"/>
      <c r="LSB54" s="3078"/>
      <c r="LSC54" s="3075" t="s">
        <v>55</v>
      </c>
      <c r="LSD54" s="3078"/>
      <c r="LSE54" s="3078"/>
      <c r="LSF54" s="3078"/>
      <c r="LSG54" s="3078"/>
      <c r="LSH54" s="3078"/>
      <c r="LSI54" s="3078"/>
      <c r="LSJ54" s="3078"/>
      <c r="LSK54" s="3075" t="s">
        <v>55</v>
      </c>
      <c r="LSL54" s="3078"/>
      <c r="LSM54" s="3078"/>
      <c r="LSN54" s="3078"/>
      <c r="LSO54" s="3078"/>
      <c r="LSP54" s="3078"/>
      <c r="LSQ54" s="3078"/>
      <c r="LSR54" s="3078"/>
      <c r="LSS54" s="3075" t="s">
        <v>55</v>
      </c>
      <c r="LST54" s="3078"/>
      <c r="LSU54" s="3078"/>
      <c r="LSV54" s="3078"/>
      <c r="LSW54" s="3078"/>
      <c r="LSX54" s="3078"/>
      <c r="LSY54" s="3078"/>
      <c r="LSZ54" s="3078"/>
      <c r="LTA54" s="3075" t="s">
        <v>55</v>
      </c>
      <c r="LTB54" s="3078"/>
      <c r="LTC54" s="3078"/>
      <c r="LTD54" s="3078"/>
      <c r="LTE54" s="3078"/>
      <c r="LTF54" s="3078"/>
      <c r="LTG54" s="3078"/>
      <c r="LTH54" s="3078"/>
      <c r="LTI54" s="3075" t="s">
        <v>55</v>
      </c>
      <c r="LTJ54" s="3078"/>
      <c r="LTK54" s="3078"/>
      <c r="LTL54" s="3078"/>
      <c r="LTM54" s="3078"/>
      <c r="LTN54" s="3078"/>
      <c r="LTO54" s="3078"/>
      <c r="LTP54" s="3078"/>
      <c r="LTQ54" s="3075" t="s">
        <v>55</v>
      </c>
      <c r="LTR54" s="3078"/>
      <c r="LTS54" s="3078"/>
      <c r="LTT54" s="3078"/>
      <c r="LTU54" s="3078"/>
      <c r="LTV54" s="3078"/>
      <c r="LTW54" s="3078"/>
      <c r="LTX54" s="3078"/>
      <c r="LTY54" s="3075" t="s">
        <v>55</v>
      </c>
      <c r="LTZ54" s="3078"/>
      <c r="LUA54" s="3078"/>
      <c r="LUB54" s="3078"/>
      <c r="LUC54" s="3078"/>
      <c r="LUD54" s="3078"/>
      <c r="LUE54" s="3078"/>
      <c r="LUF54" s="3078"/>
      <c r="LUG54" s="3075" t="s">
        <v>55</v>
      </c>
      <c r="LUH54" s="3078"/>
      <c r="LUI54" s="3078"/>
      <c r="LUJ54" s="3078"/>
      <c r="LUK54" s="3078"/>
      <c r="LUL54" s="3078"/>
      <c r="LUM54" s="3078"/>
      <c r="LUN54" s="3078"/>
      <c r="LUO54" s="3075" t="s">
        <v>55</v>
      </c>
      <c r="LUP54" s="3078"/>
      <c r="LUQ54" s="3078"/>
      <c r="LUR54" s="3078"/>
      <c r="LUS54" s="3078"/>
      <c r="LUT54" s="3078"/>
      <c r="LUU54" s="3078"/>
      <c r="LUV54" s="3078"/>
      <c r="LUW54" s="3075" t="s">
        <v>55</v>
      </c>
      <c r="LUX54" s="3078"/>
      <c r="LUY54" s="3078"/>
      <c r="LUZ54" s="3078"/>
      <c r="LVA54" s="3078"/>
      <c r="LVB54" s="3078"/>
      <c r="LVC54" s="3078"/>
      <c r="LVD54" s="3078"/>
      <c r="LVE54" s="3075" t="s">
        <v>55</v>
      </c>
      <c r="LVF54" s="3078"/>
      <c r="LVG54" s="3078"/>
      <c r="LVH54" s="3078"/>
      <c r="LVI54" s="3078"/>
      <c r="LVJ54" s="3078"/>
      <c r="LVK54" s="3078"/>
      <c r="LVL54" s="3078"/>
      <c r="LVM54" s="3075" t="s">
        <v>55</v>
      </c>
      <c r="LVN54" s="3078"/>
      <c r="LVO54" s="3078"/>
      <c r="LVP54" s="3078"/>
      <c r="LVQ54" s="3078"/>
      <c r="LVR54" s="3078"/>
      <c r="LVS54" s="3078"/>
      <c r="LVT54" s="3078"/>
      <c r="LVU54" s="3075" t="s">
        <v>55</v>
      </c>
      <c r="LVV54" s="3078"/>
      <c r="LVW54" s="3078"/>
      <c r="LVX54" s="3078"/>
      <c r="LVY54" s="3078"/>
      <c r="LVZ54" s="3078"/>
      <c r="LWA54" s="3078"/>
      <c r="LWB54" s="3078"/>
      <c r="LWC54" s="3075" t="s">
        <v>55</v>
      </c>
      <c r="LWD54" s="3078"/>
      <c r="LWE54" s="3078"/>
      <c r="LWF54" s="3078"/>
      <c r="LWG54" s="3078"/>
      <c r="LWH54" s="3078"/>
      <c r="LWI54" s="3078"/>
      <c r="LWJ54" s="3078"/>
      <c r="LWK54" s="3075" t="s">
        <v>55</v>
      </c>
      <c r="LWL54" s="3078"/>
      <c r="LWM54" s="3078"/>
      <c r="LWN54" s="3078"/>
      <c r="LWO54" s="3078"/>
      <c r="LWP54" s="3078"/>
      <c r="LWQ54" s="3078"/>
      <c r="LWR54" s="3078"/>
      <c r="LWS54" s="3075" t="s">
        <v>55</v>
      </c>
      <c r="LWT54" s="3078"/>
      <c r="LWU54" s="3078"/>
      <c r="LWV54" s="3078"/>
      <c r="LWW54" s="3078"/>
      <c r="LWX54" s="3078"/>
      <c r="LWY54" s="3078"/>
      <c r="LWZ54" s="3078"/>
      <c r="LXA54" s="3075" t="s">
        <v>55</v>
      </c>
      <c r="LXB54" s="3078"/>
      <c r="LXC54" s="3078"/>
      <c r="LXD54" s="3078"/>
      <c r="LXE54" s="3078"/>
      <c r="LXF54" s="3078"/>
      <c r="LXG54" s="3078"/>
      <c r="LXH54" s="3078"/>
      <c r="LXI54" s="3075" t="s">
        <v>55</v>
      </c>
      <c r="LXJ54" s="3078"/>
      <c r="LXK54" s="3078"/>
      <c r="LXL54" s="3078"/>
      <c r="LXM54" s="3078"/>
      <c r="LXN54" s="3078"/>
      <c r="LXO54" s="3078"/>
      <c r="LXP54" s="3078"/>
      <c r="LXQ54" s="3075" t="s">
        <v>55</v>
      </c>
      <c r="LXR54" s="3078"/>
      <c r="LXS54" s="3078"/>
      <c r="LXT54" s="3078"/>
      <c r="LXU54" s="3078"/>
      <c r="LXV54" s="3078"/>
      <c r="LXW54" s="3078"/>
      <c r="LXX54" s="3078"/>
      <c r="LXY54" s="3075" t="s">
        <v>55</v>
      </c>
      <c r="LXZ54" s="3078"/>
      <c r="LYA54" s="3078"/>
      <c r="LYB54" s="3078"/>
      <c r="LYC54" s="3078"/>
      <c r="LYD54" s="3078"/>
      <c r="LYE54" s="3078"/>
      <c r="LYF54" s="3078"/>
      <c r="LYG54" s="3075" t="s">
        <v>55</v>
      </c>
      <c r="LYH54" s="3078"/>
      <c r="LYI54" s="3078"/>
      <c r="LYJ54" s="3078"/>
      <c r="LYK54" s="3078"/>
      <c r="LYL54" s="3078"/>
      <c r="LYM54" s="3078"/>
      <c r="LYN54" s="3078"/>
      <c r="LYO54" s="3075" t="s">
        <v>55</v>
      </c>
      <c r="LYP54" s="3078"/>
      <c r="LYQ54" s="3078"/>
      <c r="LYR54" s="3078"/>
      <c r="LYS54" s="3078"/>
      <c r="LYT54" s="3078"/>
      <c r="LYU54" s="3078"/>
      <c r="LYV54" s="3078"/>
      <c r="LYW54" s="3075" t="s">
        <v>55</v>
      </c>
      <c r="LYX54" s="3078"/>
      <c r="LYY54" s="3078"/>
      <c r="LYZ54" s="3078"/>
      <c r="LZA54" s="3078"/>
      <c r="LZB54" s="3078"/>
      <c r="LZC54" s="3078"/>
      <c r="LZD54" s="3078"/>
      <c r="LZE54" s="3075" t="s">
        <v>55</v>
      </c>
      <c r="LZF54" s="3078"/>
      <c r="LZG54" s="3078"/>
      <c r="LZH54" s="3078"/>
      <c r="LZI54" s="3078"/>
      <c r="LZJ54" s="3078"/>
      <c r="LZK54" s="3078"/>
      <c r="LZL54" s="3078"/>
      <c r="LZM54" s="3075" t="s">
        <v>55</v>
      </c>
      <c r="LZN54" s="3078"/>
      <c r="LZO54" s="3078"/>
      <c r="LZP54" s="3078"/>
      <c r="LZQ54" s="3078"/>
      <c r="LZR54" s="3078"/>
      <c r="LZS54" s="3078"/>
      <c r="LZT54" s="3078"/>
      <c r="LZU54" s="3075" t="s">
        <v>55</v>
      </c>
      <c r="LZV54" s="3078"/>
      <c r="LZW54" s="3078"/>
      <c r="LZX54" s="3078"/>
      <c r="LZY54" s="3078"/>
      <c r="LZZ54" s="3078"/>
      <c r="MAA54" s="3078"/>
      <c r="MAB54" s="3078"/>
      <c r="MAC54" s="3075" t="s">
        <v>55</v>
      </c>
      <c r="MAD54" s="3078"/>
      <c r="MAE54" s="3078"/>
      <c r="MAF54" s="3078"/>
      <c r="MAG54" s="3078"/>
      <c r="MAH54" s="3078"/>
      <c r="MAI54" s="3078"/>
      <c r="MAJ54" s="3078"/>
      <c r="MAK54" s="3075" t="s">
        <v>55</v>
      </c>
      <c r="MAL54" s="3078"/>
      <c r="MAM54" s="3078"/>
      <c r="MAN54" s="3078"/>
      <c r="MAO54" s="3078"/>
      <c r="MAP54" s="3078"/>
      <c r="MAQ54" s="3078"/>
      <c r="MAR54" s="3078"/>
      <c r="MAS54" s="3075" t="s">
        <v>55</v>
      </c>
      <c r="MAT54" s="3078"/>
      <c r="MAU54" s="3078"/>
      <c r="MAV54" s="3078"/>
      <c r="MAW54" s="3078"/>
      <c r="MAX54" s="3078"/>
      <c r="MAY54" s="3078"/>
      <c r="MAZ54" s="3078"/>
      <c r="MBA54" s="3075" t="s">
        <v>55</v>
      </c>
      <c r="MBB54" s="3078"/>
      <c r="MBC54" s="3078"/>
      <c r="MBD54" s="3078"/>
      <c r="MBE54" s="3078"/>
      <c r="MBF54" s="3078"/>
      <c r="MBG54" s="3078"/>
      <c r="MBH54" s="3078"/>
      <c r="MBI54" s="3075" t="s">
        <v>55</v>
      </c>
      <c r="MBJ54" s="3078"/>
      <c r="MBK54" s="3078"/>
      <c r="MBL54" s="3078"/>
      <c r="MBM54" s="3078"/>
      <c r="MBN54" s="3078"/>
      <c r="MBO54" s="3078"/>
      <c r="MBP54" s="3078"/>
      <c r="MBQ54" s="3075" t="s">
        <v>55</v>
      </c>
      <c r="MBR54" s="3078"/>
      <c r="MBS54" s="3078"/>
      <c r="MBT54" s="3078"/>
      <c r="MBU54" s="3078"/>
      <c r="MBV54" s="3078"/>
      <c r="MBW54" s="3078"/>
      <c r="MBX54" s="3078"/>
      <c r="MBY54" s="3075" t="s">
        <v>55</v>
      </c>
      <c r="MBZ54" s="3078"/>
      <c r="MCA54" s="3078"/>
      <c r="MCB54" s="3078"/>
      <c r="MCC54" s="3078"/>
      <c r="MCD54" s="3078"/>
      <c r="MCE54" s="3078"/>
      <c r="MCF54" s="3078"/>
      <c r="MCG54" s="3075" t="s">
        <v>55</v>
      </c>
      <c r="MCH54" s="3078"/>
      <c r="MCI54" s="3078"/>
      <c r="MCJ54" s="3078"/>
      <c r="MCK54" s="3078"/>
      <c r="MCL54" s="3078"/>
      <c r="MCM54" s="3078"/>
      <c r="MCN54" s="3078"/>
      <c r="MCO54" s="3075" t="s">
        <v>55</v>
      </c>
      <c r="MCP54" s="3078"/>
      <c r="MCQ54" s="3078"/>
      <c r="MCR54" s="3078"/>
      <c r="MCS54" s="3078"/>
      <c r="MCT54" s="3078"/>
      <c r="MCU54" s="3078"/>
      <c r="MCV54" s="3078"/>
      <c r="MCW54" s="3075" t="s">
        <v>55</v>
      </c>
      <c r="MCX54" s="3078"/>
      <c r="MCY54" s="3078"/>
      <c r="MCZ54" s="3078"/>
      <c r="MDA54" s="3078"/>
      <c r="MDB54" s="3078"/>
      <c r="MDC54" s="3078"/>
      <c r="MDD54" s="3078"/>
      <c r="MDE54" s="3075" t="s">
        <v>55</v>
      </c>
      <c r="MDF54" s="3078"/>
      <c r="MDG54" s="3078"/>
      <c r="MDH54" s="3078"/>
      <c r="MDI54" s="3078"/>
      <c r="MDJ54" s="3078"/>
      <c r="MDK54" s="3078"/>
      <c r="MDL54" s="3078"/>
      <c r="MDM54" s="3075" t="s">
        <v>55</v>
      </c>
      <c r="MDN54" s="3078"/>
      <c r="MDO54" s="3078"/>
      <c r="MDP54" s="3078"/>
      <c r="MDQ54" s="3078"/>
      <c r="MDR54" s="3078"/>
      <c r="MDS54" s="3078"/>
      <c r="MDT54" s="3078"/>
      <c r="MDU54" s="3075" t="s">
        <v>55</v>
      </c>
      <c r="MDV54" s="3078"/>
      <c r="MDW54" s="3078"/>
      <c r="MDX54" s="3078"/>
      <c r="MDY54" s="3078"/>
      <c r="MDZ54" s="3078"/>
      <c r="MEA54" s="3078"/>
      <c r="MEB54" s="3078"/>
      <c r="MEC54" s="3075" t="s">
        <v>55</v>
      </c>
      <c r="MED54" s="3078"/>
      <c r="MEE54" s="3078"/>
      <c r="MEF54" s="3078"/>
      <c r="MEG54" s="3078"/>
      <c r="MEH54" s="3078"/>
      <c r="MEI54" s="3078"/>
      <c r="MEJ54" s="3078"/>
      <c r="MEK54" s="3075" t="s">
        <v>55</v>
      </c>
      <c r="MEL54" s="3078"/>
      <c r="MEM54" s="3078"/>
      <c r="MEN54" s="3078"/>
      <c r="MEO54" s="3078"/>
      <c r="MEP54" s="3078"/>
      <c r="MEQ54" s="3078"/>
      <c r="MER54" s="3078"/>
      <c r="MES54" s="3075" t="s">
        <v>55</v>
      </c>
      <c r="MET54" s="3078"/>
      <c r="MEU54" s="3078"/>
      <c r="MEV54" s="3078"/>
      <c r="MEW54" s="3078"/>
      <c r="MEX54" s="3078"/>
      <c r="MEY54" s="3078"/>
      <c r="MEZ54" s="3078"/>
      <c r="MFA54" s="3075" t="s">
        <v>55</v>
      </c>
      <c r="MFB54" s="3078"/>
      <c r="MFC54" s="3078"/>
      <c r="MFD54" s="3078"/>
      <c r="MFE54" s="3078"/>
      <c r="MFF54" s="3078"/>
      <c r="MFG54" s="3078"/>
      <c r="MFH54" s="3078"/>
      <c r="MFI54" s="3075" t="s">
        <v>55</v>
      </c>
      <c r="MFJ54" s="3078"/>
      <c r="MFK54" s="3078"/>
      <c r="MFL54" s="3078"/>
      <c r="MFM54" s="3078"/>
      <c r="MFN54" s="3078"/>
      <c r="MFO54" s="3078"/>
      <c r="MFP54" s="3078"/>
      <c r="MFQ54" s="3075" t="s">
        <v>55</v>
      </c>
      <c r="MFR54" s="3078"/>
      <c r="MFS54" s="3078"/>
      <c r="MFT54" s="3078"/>
      <c r="MFU54" s="3078"/>
      <c r="MFV54" s="3078"/>
      <c r="MFW54" s="3078"/>
      <c r="MFX54" s="3078"/>
      <c r="MFY54" s="3075" t="s">
        <v>55</v>
      </c>
      <c r="MFZ54" s="3078"/>
      <c r="MGA54" s="3078"/>
      <c r="MGB54" s="3078"/>
      <c r="MGC54" s="3078"/>
      <c r="MGD54" s="3078"/>
      <c r="MGE54" s="3078"/>
      <c r="MGF54" s="3078"/>
      <c r="MGG54" s="3075" t="s">
        <v>55</v>
      </c>
      <c r="MGH54" s="3078"/>
      <c r="MGI54" s="3078"/>
      <c r="MGJ54" s="3078"/>
      <c r="MGK54" s="3078"/>
      <c r="MGL54" s="3078"/>
      <c r="MGM54" s="3078"/>
      <c r="MGN54" s="3078"/>
      <c r="MGO54" s="3075" t="s">
        <v>55</v>
      </c>
      <c r="MGP54" s="3078"/>
      <c r="MGQ54" s="3078"/>
      <c r="MGR54" s="3078"/>
      <c r="MGS54" s="3078"/>
      <c r="MGT54" s="3078"/>
      <c r="MGU54" s="3078"/>
      <c r="MGV54" s="3078"/>
      <c r="MGW54" s="3075" t="s">
        <v>55</v>
      </c>
      <c r="MGX54" s="3078"/>
      <c r="MGY54" s="3078"/>
      <c r="MGZ54" s="3078"/>
      <c r="MHA54" s="3078"/>
      <c r="MHB54" s="3078"/>
      <c r="MHC54" s="3078"/>
      <c r="MHD54" s="3078"/>
      <c r="MHE54" s="3075" t="s">
        <v>55</v>
      </c>
      <c r="MHF54" s="3078"/>
      <c r="MHG54" s="3078"/>
      <c r="MHH54" s="3078"/>
      <c r="MHI54" s="3078"/>
      <c r="MHJ54" s="3078"/>
      <c r="MHK54" s="3078"/>
      <c r="MHL54" s="3078"/>
      <c r="MHM54" s="3075" t="s">
        <v>55</v>
      </c>
      <c r="MHN54" s="3078"/>
      <c r="MHO54" s="3078"/>
      <c r="MHP54" s="3078"/>
      <c r="MHQ54" s="3078"/>
      <c r="MHR54" s="3078"/>
      <c r="MHS54" s="3078"/>
      <c r="MHT54" s="3078"/>
      <c r="MHU54" s="3075" t="s">
        <v>55</v>
      </c>
      <c r="MHV54" s="3078"/>
      <c r="MHW54" s="3078"/>
      <c r="MHX54" s="3078"/>
      <c r="MHY54" s="3078"/>
      <c r="MHZ54" s="3078"/>
      <c r="MIA54" s="3078"/>
      <c r="MIB54" s="3078"/>
      <c r="MIC54" s="3075" t="s">
        <v>55</v>
      </c>
      <c r="MID54" s="3078"/>
      <c r="MIE54" s="3078"/>
      <c r="MIF54" s="3078"/>
      <c r="MIG54" s="3078"/>
      <c r="MIH54" s="3078"/>
      <c r="MII54" s="3078"/>
      <c r="MIJ54" s="3078"/>
      <c r="MIK54" s="3075" t="s">
        <v>55</v>
      </c>
      <c r="MIL54" s="3078"/>
      <c r="MIM54" s="3078"/>
      <c r="MIN54" s="3078"/>
      <c r="MIO54" s="3078"/>
      <c r="MIP54" s="3078"/>
      <c r="MIQ54" s="3078"/>
      <c r="MIR54" s="3078"/>
      <c r="MIS54" s="3075" t="s">
        <v>55</v>
      </c>
      <c r="MIT54" s="3078"/>
      <c r="MIU54" s="3078"/>
      <c r="MIV54" s="3078"/>
      <c r="MIW54" s="3078"/>
      <c r="MIX54" s="3078"/>
      <c r="MIY54" s="3078"/>
      <c r="MIZ54" s="3078"/>
      <c r="MJA54" s="3075" t="s">
        <v>55</v>
      </c>
      <c r="MJB54" s="3078"/>
      <c r="MJC54" s="3078"/>
      <c r="MJD54" s="3078"/>
      <c r="MJE54" s="3078"/>
      <c r="MJF54" s="3078"/>
      <c r="MJG54" s="3078"/>
      <c r="MJH54" s="3078"/>
      <c r="MJI54" s="3075" t="s">
        <v>55</v>
      </c>
      <c r="MJJ54" s="3078"/>
      <c r="MJK54" s="3078"/>
      <c r="MJL54" s="3078"/>
      <c r="MJM54" s="3078"/>
      <c r="MJN54" s="3078"/>
      <c r="MJO54" s="3078"/>
      <c r="MJP54" s="3078"/>
      <c r="MJQ54" s="3075" t="s">
        <v>55</v>
      </c>
      <c r="MJR54" s="3078"/>
      <c r="MJS54" s="3078"/>
      <c r="MJT54" s="3078"/>
      <c r="MJU54" s="3078"/>
      <c r="MJV54" s="3078"/>
      <c r="MJW54" s="3078"/>
      <c r="MJX54" s="3078"/>
      <c r="MJY54" s="3075" t="s">
        <v>55</v>
      </c>
      <c r="MJZ54" s="3078"/>
      <c r="MKA54" s="3078"/>
      <c r="MKB54" s="3078"/>
      <c r="MKC54" s="3078"/>
      <c r="MKD54" s="3078"/>
      <c r="MKE54" s="3078"/>
      <c r="MKF54" s="3078"/>
      <c r="MKG54" s="3075" t="s">
        <v>55</v>
      </c>
      <c r="MKH54" s="3078"/>
      <c r="MKI54" s="3078"/>
      <c r="MKJ54" s="3078"/>
      <c r="MKK54" s="3078"/>
      <c r="MKL54" s="3078"/>
      <c r="MKM54" s="3078"/>
      <c r="MKN54" s="3078"/>
      <c r="MKO54" s="3075" t="s">
        <v>55</v>
      </c>
      <c r="MKP54" s="3078"/>
      <c r="MKQ54" s="3078"/>
      <c r="MKR54" s="3078"/>
      <c r="MKS54" s="3078"/>
      <c r="MKT54" s="3078"/>
      <c r="MKU54" s="3078"/>
      <c r="MKV54" s="3078"/>
      <c r="MKW54" s="3075" t="s">
        <v>55</v>
      </c>
      <c r="MKX54" s="3078"/>
      <c r="MKY54" s="3078"/>
      <c r="MKZ54" s="3078"/>
      <c r="MLA54" s="3078"/>
      <c r="MLB54" s="3078"/>
      <c r="MLC54" s="3078"/>
      <c r="MLD54" s="3078"/>
      <c r="MLE54" s="3075" t="s">
        <v>55</v>
      </c>
      <c r="MLF54" s="3078"/>
      <c r="MLG54" s="3078"/>
      <c r="MLH54" s="3078"/>
      <c r="MLI54" s="3078"/>
      <c r="MLJ54" s="3078"/>
      <c r="MLK54" s="3078"/>
      <c r="MLL54" s="3078"/>
      <c r="MLM54" s="3075" t="s">
        <v>55</v>
      </c>
      <c r="MLN54" s="3078"/>
      <c r="MLO54" s="3078"/>
      <c r="MLP54" s="3078"/>
      <c r="MLQ54" s="3078"/>
      <c r="MLR54" s="3078"/>
      <c r="MLS54" s="3078"/>
      <c r="MLT54" s="3078"/>
      <c r="MLU54" s="3075" t="s">
        <v>55</v>
      </c>
      <c r="MLV54" s="3078"/>
      <c r="MLW54" s="3078"/>
      <c r="MLX54" s="3078"/>
      <c r="MLY54" s="3078"/>
      <c r="MLZ54" s="3078"/>
      <c r="MMA54" s="3078"/>
      <c r="MMB54" s="3078"/>
      <c r="MMC54" s="3075" t="s">
        <v>55</v>
      </c>
      <c r="MMD54" s="3078"/>
      <c r="MME54" s="3078"/>
      <c r="MMF54" s="3078"/>
      <c r="MMG54" s="3078"/>
      <c r="MMH54" s="3078"/>
      <c r="MMI54" s="3078"/>
      <c r="MMJ54" s="3078"/>
      <c r="MMK54" s="3075" t="s">
        <v>55</v>
      </c>
      <c r="MML54" s="3078"/>
      <c r="MMM54" s="3078"/>
      <c r="MMN54" s="3078"/>
      <c r="MMO54" s="3078"/>
      <c r="MMP54" s="3078"/>
      <c r="MMQ54" s="3078"/>
      <c r="MMR54" s="3078"/>
      <c r="MMS54" s="3075" t="s">
        <v>55</v>
      </c>
      <c r="MMT54" s="3078"/>
      <c r="MMU54" s="3078"/>
      <c r="MMV54" s="3078"/>
      <c r="MMW54" s="3078"/>
      <c r="MMX54" s="3078"/>
      <c r="MMY54" s="3078"/>
      <c r="MMZ54" s="3078"/>
      <c r="MNA54" s="3075" t="s">
        <v>55</v>
      </c>
      <c r="MNB54" s="3078"/>
      <c r="MNC54" s="3078"/>
      <c r="MND54" s="3078"/>
      <c r="MNE54" s="3078"/>
      <c r="MNF54" s="3078"/>
      <c r="MNG54" s="3078"/>
      <c r="MNH54" s="3078"/>
      <c r="MNI54" s="3075" t="s">
        <v>55</v>
      </c>
      <c r="MNJ54" s="3078"/>
      <c r="MNK54" s="3078"/>
      <c r="MNL54" s="3078"/>
      <c r="MNM54" s="3078"/>
      <c r="MNN54" s="3078"/>
      <c r="MNO54" s="3078"/>
      <c r="MNP54" s="3078"/>
      <c r="MNQ54" s="3075" t="s">
        <v>55</v>
      </c>
      <c r="MNR54" s="3078"/>
      <c r="MNS54" s="3078"/>
      <c r="MNT54" s="3078"/>
      <c r="MNU54" s="3078"/>
      <c r="MNV54" s="3078"/>
      <c r="MNW54" s="3078"/>
      <c r="MNX54" s="3078"/>
      <c r="MNY54" s="3075" t="s">
        <v>55</v>
      </c>
      <c r="MNZ54" s="3078"/>
      <c r="MOA54" s="3078"/>
      <c r="MOB54" s="3078"/>
      <c r="MOC54" s="3078"/>
      <c r="MOD54" s="3078"/>
      <c r="MOE54" s="3078"/>
      <c r="MOF54" s="3078"/>
      <c r="MOG54" s="3075" t="s">
        <v>55</v>
      </c>
      <c r="MOH54" s="3078"/>
      <c r="MOI54" s="3078"/>
      <c r="MOJ54" s="3078"/>
      <c r="MOK54" s="3078"/>
      <c r="MOL54" s="3078"/>
      <c r="MOM54" s="3078"/>
      <c r="MON54" s="3078"/>
      <c r="MOO54" s="3075" t="s">
        <v>55</v>
      </c>
      <c r="MOP54" s="3078"/>
      <c r="MOQ54" s="3078"/>
      <c r="MOR54" s="3078"/>
      <c r="MOS54" s="3078"/>
      <c r="MOT54" s="3078"/>
      <c r="MOU54" s="3078"/>
      <c r="MOV54" s="3078"/>
      <c r="MOW54" s="3075" t="s">
        <v>55</v>
      </c>
      <c r="MOX54" s="3078"/>
      <c r="MOY54" s="3078"/>
      <c r="MOZ54" s="3078"/>
      <c r="MPA54" s="3078"/>
      <c r="MPB54" s="3078"/>
      <c r="MPC54" s="3078"/>
      <c r="MPD54" s="3078"/>
      <c r="MPE54" s="3075" t="s">
        <v>55</v>
      </c>
      <c r="MPF54" s="3078"/>
      <c r="MPG54" s="3078"/>
      <c r="MPH54" s="3078"/>
      <c r="MPI54" s="3078"/>
      <c r="MPJ54" s="3078"/>
      <c r="MPK54" s="3078"/>
      <c r="MPL54" s="3078"/>
      <c r="MPM54" s="3075" t="s">
        <v>55</v>
      </c>
      <c r="MPN54" s="3078"/>
      <c r="MPO54" s="3078"/>
      <c r="MPP54" s="3078"/>
      <c r="MPQ54" s="3078"/>
      <c r="MPR54" s="3078"/>
      <c r="MPS54" s="3078"/>
      <c r="MPT54" s="3078"/>
      <c r="MPU54" s="3075" t="s">
        <v>55</v>
      </c>
      <c r="MPV54" s="3078"/>
      <c r="MPW54" s="3078"/>
      <c r="MPX54" s="3078"/>
      <c r="MPY54" s="3078"/>
      <c r="MPZ54" s="3078"/>
      <c r="MQA54" s="3078"/>
      <c r="MQB54" s="3078"/>
      <c r="MQC54" s="3075" t="s">
        <v>55</v>
      </c>
      <c r="MQD54" s="3078"/>
      <c r="MQE54" s="3078"/>
      <c r="MQF54" s="3078"/>
      <c r="MQG54" s="3078"/>
      <c r="MQH54" s="3078"/>
      <c r="MQI54" s="3078"/>
      <c r="MQJ54" s="3078"/>
      <c r="MQK54" s="3075" t="s">
        <v>55</v>
      </c>
      <c r="MQL54" s="3078"/>
      <c r="MQM54" s="3078"/>
      <c r="MQN54" s="3078"/>
      <c r="MQO54" s="3078"/>
      <c r="MQP54" s="3078"/>
      <c r="MQQ54" s="3078"/>
      <c r="MQR54" s="3078"/>
      <c r="MQS54" s="3075" t="s">
        <v>55</v>
      </c>
      <c r="MQT54" s="3078"/>
      <c r="MQU54" s="3078"/>
      <c r="MQV54" s="3078"/>
      <c r="MQW54" s="3078"/>
      <c r="MQX54" s="3078"/>
      <c r="MQY54" s="3078"/>
      <c r="MQZ54" s="3078"/>
      <c r="MRA54" s="3075" t="s">
        <v>55</v>
      </c>
      <c r="MRB54" s="3078"/>
      <c r="MRC54" s="3078"/>
      <c r="MRD54" s="3078"/>
      <c r="MRE54" s="3078"/>
      <c r="MRF54" s="3078"/>
      <c r="MRG54" s="3078"/>
      <c r="MRH54" s="3078"/>
      <c r="MRI54" s="3075" t="s">
        <v>55</v>
      </c>
      <c r="MRJ54" s="3078"/>
      <c r="MRK54" s="3078"/>
      <c r="MRL54" s="3078"/>
      <c r="MRM54" s="3078"/>
      <c r="MRN54" s="3078"/>
      <c r="MRO54" s="3078"/>
      <c r="MRP54" s="3078"/>
      <c r="MRQ54" s="3075" t="s">
        <v>55</v>
      </c>
      <c r="MRR54" s="3078"/>
      <c r="MRS54" s="3078"/>
      <c r="MRT54" s="3078"/>
      <c r="MRU54" s="3078"/>
      <c r="MRV54" s="3078"/>
      <c r="MRW54" s="3078"/>
      <c r="MRX54" s="3078"/>
      <c r="MRY54" s="3075" t="s">
        <v>55</v>
      </c>
      <c r="MRZ54" s="3078"/>
      <c r="MSA54" s="3078"/>
      <c r="MSB54" s="3078"/>
      <c r="MSC54" s="3078"/>
      <c r="MSD54" s="3078"/>
      <c r="MSE54" s="3078"/>
      <c r="MSF54" s="3078"/>
      <c r="MSG54" s="3075" t="s">
        <v>55</v>
      </c>
      <c r="MSH54" s="3078"/>
      <c r="MSI54" s="3078"/>
      <c r="MSJ54" s="3078"/>
      <c r="MSK54" s="3078"/>
      <c r="MSL54" s="3078"/>
      <c r="MSM54" s="3078"/>
      <c r="MSN54" s="3078"/>
      <c r="MSO54" s="3075" t="s">
        <v>55</v>
      </c>
      <c r="MSP54" s="3078"/>
      <c r="MSQ54" s="3078"/>
      <c r="MSR54" s="3078"/>
      <c r="MSS54" s="3078"/>
      <c r="MST54" s="3078"/>
      <c r="MSU54" s="3078"/>
      <c r="MSV54" s="3078"/>
      <c r="MSW54" s="3075" t="s">
        <v>55</v>
      </c>
      <c r="MSX54" s="3078"/>
      <c r="MSY54" s="3078"/>
      <c r="MSZ54" s="3078"/>
      <c r="MTA54" s="3078"/>
      <c r="MTB54" s="3078"/>
      <c r="MTC54" s="3078"/>
      <c r="MTD54" s="3078"/>
      <c r="MTE54" s="3075" t="s">
        <v>55</v>
      </c>
      <c r="MTF54" s="3078"/>
      <c r="MTG54" s="3078"/>
      <c r="MTH54" s="3078"/>
      <c r="MTI54" s="3078"/>
      <c r="MTJ54" s="3078"/>
      <c r="MTK54" s="3078"/>
      <c r="MTL54" s="3078"/>
      <c r="MTM54" s="3075" t="s">
        <v>55</v>
      </c>
      <c r="MTN54" s="3078"/>
      <c r="MTO54" s="3078"/>
      <c r="MTP54" s="3078"/>
      <c r="MTQ54" s="3078"/>
      <c r="MTR54" s="3078"/>
      <c r="MTS54" s="3078"/>
      <c r="MTT54" s="3078"/>
      <c r="MTU54" s="3075" t="s">
        <v>55</v>
      </c>
      <c r="MTV54" s="3078"/>
      <c r="MTW54" s="3078"/>
      <c r="MTX54" s="3078"/>
      <c r="MTY54" s="3078"/>
      <c r="MTZ54" s="3078"/>
      <c r="MUA54" s="3078"/>
      <c r="MUB54" s="3078"/>
      <c r="MUC54" s="3075" t="s">
        <v>55</v>
      </c>
      <c r="MUD54" s="3078"/>
      <c r="MUE54" s="3078"/>
      <c r="MUF54" s="3078"/>
      <c r="MUG54" s="3078"/>
      <c r="MUH54" s="3078"/>
      <c r="MUI54" s="3078"/>
      <c r="MUJ54" s="3078"/>
      <c r="MUK54" s="3075" t="s">
        <v>55</v>
      </c>
      <c r="MUL54" s="3078"/>
      <c r="MUM54" s="3078"/>
      <c r="MUN54" s="3078"/>
      <c r="MUO54" s="3078"/>
      <c r="MUP54" s="3078"/>
      <c r="MUQ54" s="3078"/>
      <c r="MUR54" s="3078"/>
      <c r="MUS54" s="3075" t="s">
        <v>55</v>
      </c>
      <c r="MUT54" s="3078"/>
      <c r="MUU54" s="3078"/>
      <c r="MUV54" s="3078"/>
      <c r="MUW54" s="3078"/>
      <c r="MUX54" s="3078"/>
      <c r="MUY54" s="3078"/>
      <c r="MUZ54" s="3078"/>
      <c r="MVA54" s="3075" t="s">
        <v>55</v>
      </c>
      <c r="MVB54" s="3078"/>
      <c r="MVC54" s="3078"/>
      <c r="MVD54" s="3078"/>
      <c r="MVE54" s="3078"/>
      <c r="MVF54" s="3078"/>
      <c r="MVG54" s="3078"/>
      <c r="MVH54" s="3078"/>
      <c r="MVI54" s="3075" t="s">
        <v>55</v>
      </c>
      <c r="MVJ54" s="3078"/>
      <c r="MVK54" s="3078"/>
      <c r="MVL54" s="3078"/>
      <c r="MVM54" s="3078"/>
      <c r="MVN54" s="3078"/>
      <c r="MVO54" s="3078"/>
      <c r="MVP54" s="3078"/>
      <c r="MVQ54" s="3075" t="s">
        <v>55</v>
      </c>
      <c r="MVR54" s="3078"/>
      <c r="MVS54" s="3078"/>
      <c r="MVT54" s="3078"/>
      <c r="MVU54" s="3078"/>
      <c r="MVV54" s="3078"/>
      <c r="MVW54" s="3078"/>
      <c r="MVX54" s="3078"/>
      <c r="MVY54" s="3075" t="s">
        <v>55</v>
      </c>
      <c r="MVZ54" s="3078"/>
      <c r="MWA54" s="3078"/>
      <c r="MWB54" s="3078"/>
      <c r="MWC54" s="3078"/>
      <c r="MWD54" s="3078"/>
      <c r="MWE54" s="3078"/>
      <c r="MWF54" s="3078"/>
      <c r="MWG54" s="3075" t="s">
        <v>55</v>
      </c>
      <c r="MWH54" s="3078"/>
      <c r="MWI54" s="3078"/>
      <c r="MWJ54" s="3078"/>
      <c r="MWK54" s="3078"/>
      <c r="MWL54" s="3078"/>
      <c r="MWM54" s="3078"/>
      <c r="MWN54" s="3078"/>
      <c r="MWO54" s="3075" t="s">
        <v>55</v>
      </c>
      <c r="MWP54" s="3078"/>
      <c r="MWQ54" s="3078"/>
      <c r="MWR54" s="3078"/>
      <c r="MWS54" s="3078"/>
      <c r="MWT54" s="3078"/>
      <c r="MWU54" s="3078"/>
      <c r="MWV54" s="3078"/>
      <c r="MWW54" s="3075" t="s">
        <v>55</v>
      </c>
      <c r="MWX54" s="3078"/>
      <c r="MWY54" s="3078"/>
      <c r="MWZ54" s="3078"/>
      <c r="MXA54" s="3078"/>
      <c r="MXB54" s="3078"/>
      <c r="MXC54" s="3078"/>
      <c r="MXD54" s="3078"/>
      <c r="MXE54" s="3075" t="s">
        <v>55</v>
      </c>
      <c r="MXF54" s="3078"/>
      <c r="MXG54" s="3078"/>
      <c r="MXH54" s="3078"/>
      <c r="MXI54" s="3078"/>
      <c r="MXJ54" s="3078"/>
      <c r="MXK54" s="3078"/>
      <c r="MXL54" s="3078"/>
      <c r="MXM54" s="3075" t="s">
        <v>55</v>
      </c>
      <c r="MXN54" s="3078"/>
      <c r="MXO54" s="3078"/>
      <c r="MXP54" s="3078"/>
      <c r="MXQ54" s="3078"/>
      <c r="MXR54" s="3078"/>
      <c r="MXS54" s="3078"/>
      <c r="MXT54" s="3078"/>
      <c r="MXU54" s="3075" t="s">
        <v>55</v>
      </c>
      <c r="MXV54" s="3078"/>
      <c r="MXW54" s="3078"/>
      <c r="MXX54" s="3078"/>
      <c r="MXY54" s="3078"/>
      <c r="MXZ54" s="3078"/>
      <c r="MYA54" s="3078"/>
      <c r="MYB54" s="3078"/>
      <c r="MYC54" s="3075" t="s">
        <v>55</v>
      </c>
      <c r="MYD54" s="3078"/>
      <c r="MYE54" s="3078"/>
      <c r="MYF54" s="3078"/>
      <c r="MYG54" s="3078"/>
      <c r="MYH54" s="3078"/>
      <c r="MYI54" s="3078"/>
      <c r="MYJ54" s="3078"/>
      <c r="MYK54" s="3075" t="s">
        <v>55</v>
      </c>
      <c r="MYL54" s="3078"/>
      <c r="MYM54" s="3078"/>
      <c r="MYN54" s="3078"/>
      <c r="MYO54" s="3078"/>
      <c r="MYP54" s="3078"/>
      <c r="MYQ54" s="3078"/>
      <c r="MYR54" s="3078"/>
      <c r="MYS54" s="3075" t="s">
        <v>55</v>
      </c>
      <c r="MYT54" s="3078"/>
      <c r="MYU54" s="3078"/>
      <c r="MYV54" s="3078"/>
      <c r="MYW54" s="3078"/>
      <c r="MYX54" s="3078"/>
      <c r="MYY54" s="3078"/>
      <c r="MYZ54" s="3078"/>
      <c r="MZA54" s="3075" t="s">
        <v>55</v>
      </c>
      <c r="MZB54" s="3078"/>
      <c r="MZC54" s="3078"/>
      <c r="MZD54" s="3078"/>
      <c r="MZE54" s="3078"/>
      <c r="MZF54" s="3078"/>
      <c r="MZG54" s="3078"/>
      <c r="MZH54" s="3078"/>
      <c r="MZI54" s="3075" t="s">
        <v>55</v>
      </c>
      <c r="MZJ54" s="3078"/>
      <c r="MZK54" s="3078"/>
      <c r="MZL54" s="3078"/>
      <c r="MZM54" s="3078"/>
      <c r="MZN54" s="3078"/>
      <c r="MZO54" s="3078"/>
      <c r="MZP54" s="3078"/>
      <c r="MZQ54" s="3075" t="s">
        <v>55</v>
      </c>
      <c r="MZR54" s="3078"/>
      <c r="MZS54" s="3078"/>
      <c r="MZT54" s="3078"/>
      <c r="MZU54" s="3078"/>
      <c r="MZV54" s="3078"/>
      <c r="MZW54" s="3078"/>
      <c r="MZX54" s="3078"/>
      <c r="MZY54" s="3075" t="s">
        <v>55</v>
      </c>
      <c r="MZZ54" s="3078"/>
      <c r="NAA54" s="3078"/>
      <c r="NAB54" s="3078"/>
      <c r="NAC54" s="3078"/>
      <c r="NAD54" s="3078"/>
      <c r="NAE54" s="3078"/>
      <c r="NAF54" s="3078"/>
      <c r="NAG54" s="3075" t="s">
        <v>55</v>
      </c>
      <c r="NAH54" s="3078"/>
      <c r="NAI54" s="3078"/>
      <c r="NAJ54" s="3078"/>
      <c r="NAK54" s="3078"/>
      <c r="NAL54" s="3078"/>
      <c r="NAM54" s="3078"/>
      <c r="NAN54" s="3078"/>
      <c r="NAO54" s="3075" t="s">
        <v>55</v>
      </c>
      <c r="NAP54" s="3078"/>
      <c r="NAQ54" s="3078"/>
      <c r="NAR54" s="3078"/>
      <c r="NAS54" s="3078"/>
      <c r="NAT54" s="3078"/>
      <c r="NAU54" s="3078"/>
      <c r="NAV54" s="3078"/>
      <c r="NAW54" s="3075" t="s">
        <v>55</v>
      </c>
      <c r="NAX54" s="3078"/>
      <c r="NAY54" s="3078"/>
      <c r="NAZ54" s="3078"/>
      <c r="NBA54" s="3078"/>
      <c r="NBB54" s="3078"/>
      <c r="NBC54" s="3078"/>
      <c r="NBD54" s="3078"/>
      <c r="NBE54" s="3075" t="s">
        <v>55</v>
      </c>
      <c r="NBF54" s="3078"/>
      <c r="NBG54" s="3078"/>
      <c r="NBH54" s="3078"/>
      <c r="NBI54" s="3078"/>
      <c r="NBJ54" s="3078"/>
      <c r="NBK54" s="3078"/>
      <c r="NBL54" s="3078"/>
      <c r="NBM54" s="3075" t="s">
        <v>55</v>
      </c>
      <c r="NBN54" s="3078"/>
      <c r="NBO54" s="3078"/>
      <c r="NBP54" s="3078"/>
      <c r="NBQ54" s="3078"/>
      <c r="NBR54" s="3078"/>
      <c r="NBS54" s="3078"/>
      <c r="NBT54" s="3078"/>
      <c r="NBU54" s="3075" t="s">
        <v>55</v>
      </c>
      <c r="NBV54" s="3078"/>
      <c r="NBW54" s="3078"/>
      <c r="NBX54" s="3078"/>
      <c r="NBY54" s="3078"/>
      <c r="NBZ54" s="3078"/>
      <c r="NCA54" s="3078"/>
      <c r="NCB54" s="3078"/>
      <c r="NCC54" s="3075" t="s">
        <v>55</v>
      </c>
      <c r="NCD54" s="3078"/>
      <c r="NCE54" s="3078"/>
      <c r="NCF54" s="3078"/>
      <c r="NCG54" s="3078"/>
      <c r="NCH54" s="3078"/>
      <c r="NCI54" s="3078"/>
      <c r="NCJ54" s="3078"/>
      <c r="NCK54" s="3075" t="s">
        <v>55</v>
      </c>
      <c r="NCL54" s="3078"/>
      <c r="NCM54" s="3078"/>
      <c r="NCN54" s="3078"/>
      <c r="NCO54" s="3078"/>
      <c r="NCP54" s="3078"/>
      <c r="NCQ54" s="3078"/>
      <c r="NCR54" s="3078"/>
      <c r="NCS54" s="3075" t="s">
        <v>55</v>
      </c>
      <c r="NCT54" s="3078"/>
      <c r="NCU54" s="3078"/>
      <c r="NCV54" s="3078"/>
      <c r="NCW54" s="3078"/>
      <c r="NCX54" s="3078"/>
      <c r="NCY54" s="3078"/>
      <c r="NCZ54" s="3078"/>
      <c r="NDA54" s="3075" t="s">
        <v>55</v>
      </c>
      <c r="NDB54" s="3078"/>
      <c r="NDC54" s="3078"/>
      <c r="NDD54" s="3078"/>
      <c r="NDE54" s="3078"/>
      <c r="NDF54" s="3078"/>
      <c r="NDG54" s="3078"/>
      <c r="NDH54" s="3078"/>
      <c r="NDI54" s="3075" t="s">
        <v>55</v>
      </c>
      <c r="NDJ54" s="3078"/>
      <c r="NDK54" s="3078"/>
      <c r="NDL54" s="3078"/>
      <c r="NDM54" s="3078"/>
      <c r="NDN54" s="3078"/>
      <c r="NDO54" s="3078"/>
      <c r="NDP54" s="3078"/>
      <c r="NDQ54" s="3075" t="s">
        <v>55</v>
      </c>
      <c r="NDR54" s="3078"/>
      <c r="NDS54" s="3078"/>
      <c r="NDT54" s="3078"/>
      <c r="NDU54" s="3078"/>
      <c r="NDV54" s="3078"/>
      <c r="NDW54" s="3078"/>
      <c r="NDX54" s="3078"/>
      <c r="NDY54" s="3075" t="s">
        <v>55</v>
      </c>
      <c r="NDZ54" s="3078"/>
      <c r="NEA54" s="3078"/>
      <c r="NEB54" s="3078"/>
      <c r="NEC54" s="3078"/>
      <c r="NED54" s="3078"/>
      <c r="NEE54" s="3078"/>
      <c r="NEF54" s="3078"/>
      <c r="NEG54" s="3075" t="s">
        <v>55</v>
      </c>
      <c r="NEH54" s="3078"/>
      <c r="NEI54" s="3078"/>
      <c r="NEJ54" s="3078"/>
      <c r="NEK54" s="3078"/>
      <c r="NEL54" s="3078"/>
      <c r="NEM54" s="3078"/>
      <c r="NEN54" s="3078"/>
      <c r="NEO54" s="3075" t="s">
        <v>55</v>
      </c>
      <c r="NEP54" s="3078"/>
      <c r="NEQ54" s="3078"/>
      <c r="NER54" s="3078"/>
      <c r="NES54" s="3078"/>
      <c r="NET54" s="3078"/>
      <c r="NEU54" s="3078"/>
      <c r="NEV54" s="3078"/>
      <c r="NEW54" s="3075" t="s">
        <v>55</v>
      </c>
      <c r="NEX54" s="3078"/>
      <c r="NEY54" s="3078"/>
      <c r="NEZ54" s="3078"/>
      <c r="NFA54" s="3078"/>
      <c r="NFB54" s="3078"/>
      <c r="NFC54" s="3078"/>
      <c r="NFD54" s="3078"/>
      <c r="NFE54" s="3075" t="s">
        <v>55</v>
      </c>
      <c r="NFF54" s="3078"/>
      <c r="NFG54" s="3078"/>
      <c r="NFH54" s="3078"/>
      <c r="NFI54" s="3078"/>
      <c r="NFJ54" s="3078"/>
      <c r="NFK54" s="3078"/>
      <c r="NFL54" s="3078"/>
      <c r="NFM54" s="3075" t="s">
        <v>55</v>
      </c>
      <c r="NFN54" s="3078"/>
      <c r="NFO54" s="3078"/>
      <c r="NFP54" s="3078"/>
      <c r="NFQ54" s="3078"/>
      <c r="NFR54" s="3078"/>
      <c r="NFS54" s="3078"/>
      <c r="NFT54" s="3078"/>
      <c r="NFU54" s="3075" t="s">
        <v>55</v>
      </c>
      <c r="NFV54" s="3078"/>
      <c r="NFW54" s="3078"/>
      <c r="NFX54" s="3078"/>
      <c r="NFY54" s="3078"/>
      <c r="NFZ54" s="3078"/>
      <c r="NGA54" s="3078"/>
      <c r="NGB54" s="3078"/>
      <c r="NGC54" s="3075" t="s">
        <v>55</v>
      </c>
      <c r="NGD54" s="3078"/>
      <c r="NGE54" s="3078"/>
      <c r="NGF54" s="3078"/>
      <c r="NGG54" s="3078"/>
      <c r="NGH54" s="3078"/>
      <c r="NGI54" s="3078"/>
      <c r="NGJ54" s="3078"/>
      <c r="NGK54" s="3075" t="s">
        <v>55</v>
      </c>
      <c r="NGL54" s="3078"/>
      <c r="NGM54" s="3078"/>
      <c r="NGN54" s="3078"/>
      <c r="NGO54" s="3078"/>
      <c r="NGP54" s="3078"/>
      <c r="NGQ54" s="3078"/>
      <c r="NGR54" s="3078"/>
      <c r="NGS54" s="3075" t="s">
        <v>55</v>
      </c>
      <c r="NGT54" s="3078"/>
      <c r="NGU54" s="3078"/>
      <c r="NGV54" s="3078"/>
      <c r="NGW54" s="3078"/>
      <c r="NGX54" s="3078"/>
      <c r="NGY54" s="3078"/>
      <c r="NGZ54" s="3078"/>
      <c r="NHA54" s="3075" t="s">
        <v>55</v>
      </c>
      <c r="NHB54" s="3078"/>
      <c r="NHC54" s="3078"/>
      <c r="NHD54" s="3078"/>
      <c r="NHE54" s="3078"/>
      <c r="NHF54" s="3078"/>
      <c r="NHG54" s="3078"/>
      <c r="NHH54" s="3078"/>
      <c r="NHI54" s="3075" t="s">
        <v>55</v>
      </c>
      <c r="NHJ54" s="3078"/>
      <c r="NHK54" s="3078"/>
      <c r="NHL54" s="3078"/>
      <c r="NHM54" s="3078"/>
      <c r="NHN54" s="3078"/>
      <c r="NHO54" s="3078"/>
      <c r="NHP54" s="3078"/>
      <c r="NHQ54" s="3075" t="s">
        <v>55</v>
      </c>
      <c r="NHR54" s="3078"/>
      <c r="NHS54" s="3078"/>
      <c r="NHT54" s="3078"/>
      <c r="NHU54" s="3078"/>
      <c r="NHV54" s="3078"/>
      <c r="NHW54" s="3078"/>
      <c r="NHX54" s="3078"/>
      <c r="NHY54" s="3075" t="s">
        <v>55</v>
      </c>
      <c r="NHZ54" s="3078"/>
      <c r="NIA54" s="3078"/>
      <c r="NIB54" s="3078"/>
      <c r="NIC54" s="3078"/>
      <c r="NID54" s="3078"/>
      <c r="NIE54" s="3078"/>
      <c r="NIF54" s="3078"/>
      <c r="NIG54" s="3075" t="s">
        <v>55</v>
      </c>
      <c r="NIH54" s="3078"/>
      <c r="NII54" s="3078"/>
      <c r="NIJ54" s="3078"/>
      <c r="NIK54" s="3078"/>
      <c r="NIL54" s="3078"/>
      <c r="NIM54" s="3078"/>
      <c r="NIN54" s="3078"/>
      <c r="NIO54" s="3075" t="s">
        <v>55</v>
      </c>
      <c r="NIP54" s="3078"/>
      <c r="NIQ54" s="3078"/>
      <c r="NIR54" s="3078"/>
      <c r="NIS54" s="3078"/>
      <c r="NIT54" s="3078"/>
      <c r="NIU54" s="3078"/>
      <c r="NIV54" s="3078"/>
      <c r="NIW54" s="3075" t="s">
        <v>55</v>
      </c>
      <c r="NIX54" s="3078"/>
      <c r="NIY54" s="3078"/>
      <c r="NIZ54" s="3078"/>
      <c r="NJA54" s="3078"/>
      <c r="NJB54" s="3078"/>
      <c r="NJC54" s="3078"/>
      <c r="NJD54" s="3078"/>
      <c r="NJE54" s="3075" t="s">
        <v>55</v>
      </c>
      <c r="NJF54" s="3078"/>
      <c r="NJG54" s="3078"/>
      <c r="NJH54" s="3078"/>
      <c r="NJI54" s="3078"/>
      <c r="NJJ54" s="3078"/>
      <c r="NJK54" s="3078"/>
      <c r="NJL54" s="3078"/>
      <c r="NJM54" s="3075" t="s">
        <v>55</v>
      </c>
      <c r="NJN54" s="3078"/>
      <c r="NJO54" s="3078"/>
      <c r="NJP54" s="3078"/>
      <c r="NJQ54" s="3078"/>
      <c r="NJR54" s="3078"/>
      <c r="NJS54" s="3078"/>
      <c r="NJT54" s="3078"/>
      <c r="NJU54" s="3075" t="s">
        <v>55</v>
      </c>
      <c r="NJV54" s="3078"/>
      <c r="NJW54" s="3078"/>
      <c r="NJX54" s="3078"/>
      <c r="NJY54" s="3078"/>
      <c r="NJZ54" s="3078"/>
      <c r="NKA54" s="3078"/>
      <c r="NKB54" s="3078"/>
      <c r="NKC54" s="3075" t="s">
        <v>55</v>
      </c>
      <c r="NKD54" s="3078"/>
      <c r="NKE54" s="3078"/>
      <c r="NKF54" s="3078"/>
      <c r="NKG54" s="3078"/>
      <c r="NKH54" s="3078"/>
      <c r="NKI54" s="3078"/>
      <c r="NKJ54" s="3078"/>
      <c r="NKK54" s="3075" t="s">
        <v>55</v>
      </c>
      <c r="NKL54" s="3078"/>
      <c r="NKM54" s="3078"/>
      <c r="NKN54" s="3078"/>
      <c r="NKO54" s="3078"/>
      <c r="NKP54" s="3078"/>
      <c r="NKQ54" s="3078"/>
      <c r="NKR54" s="3078"/>
      <c r="NKS54" s="3075" t="s">
        <v>55</v>
      </c>
      <c r="NKT54" s="3078"/>
      <c r="NKU54" s="3078"/>
      <c r="NKV54" s="3078"/>
      <c r="NKW54" s="3078"/>
      <c r="NKX54" s="3078"/>
      <c r="NKY54" s="3078"/>
      <c r="NKZ54" s="3078"/>
      <c r="NLA54" s="3075" t="s">
        <v>55</v>
      </c>
      <c r="NLB54" s="3078"/>
      <c r="NLC54" s="3078"/>
      <c r="NLD54" s="3078"/>
      <c r="NLE54" s="3078"/>
      <c r="NLF54" s="3078"/>
      <c r="NLG54" s="3078"/>
      <c r="NLH54" s="3078"/>
      <c r="NLI54" s="3075" t="s">
        <v>55</v>
      </c>
      <c r="NLJ54" s="3078"/>
      <c r="NLK54" s="3078"/>
      <c r="NLL54" s="3078"/>
      <c r="NLM54" s="3078"/>
      <c r="NLN54" s="3078"/>
      <c r="NLO54" s="3078"/>
      <c r="NLP54" s="3078"/>
      <c r="NLQ54" s="3075" t="s">
        <v>55</v>
      </c>
      <c r="NLR54" s="3078"/>
      <c r="NLS54" s="3078"/>
      <c r="NLT54" s="3078"/>
      <c r="NLU54" s="3078"/>
      <c r="NLV54" s="3078"/>
      <c r="NLW54" s="3078"/>
      <c r="NLX54" s="3078"/>
      <c r="NLY54" s="3075" t="s">
        <v>55</v>
      </c>
      <c r="NLZ54" s="3078"/>
      <c r="NMA54" s="3078"/>
      <c r="NMB54" s="3078"/>
      <c r="NMC54" s="3078"/>
      <c r="NMD54" s="3078"/>
      <c r="NME54" s="3078"/>
      <c r="NMF54" s="3078"/>
      <c r="NMG54" s="3075" t="s">
        <v>55</v>
      </c>
      <c r="NMH54" s="3078"/>
      <c r="NMI54" s="3078"/>
      <c r="NMJ54" s="3078"/>
      <c r="NMK54" s="3078"/>
      <c r="NML54" s="3078"/>
      <c r="NMM54" s="3078"/>
      <c r="NMN54" s="3078"/>
      <c r="NMO54" s="3075" t="s">
        <v>55</v>
      </c>
      <c r="NMP54" s="3078"/>
      <c r="NMQ54" s="3078"/>
      <c r="NMR54" s="3078"/>
      <c r="NMS54" s="3078"/>
      <c r="NMT54" s="3078"/>
      <c r="NMU54" s="3078"/>
      <c r="NMV54" s="3078"/>
      <c r="NMW54" s="3075" t="s">
        <v>55</v>
      </c>
      <c r="NMX54" s="3078"/>
      <c r="NMY54" s="3078"/>
      <c r="NMZ54" s="3078"/>
      <c r="NNA54" s="3078"/>
      <c r="NNB54" s="3078"/>
      <c r="NNC54" s="3078"/>
      <c r="NND54" s="3078"/>
      <c r="NNE54" s="3075" t="s">
        <v>55</v>
      </c>
      <c r="NNF54" s="3078"/>
      <c r="NNG54" s="3078"/>
      <c r="NNH54" s="3078"/>
      <c r="NNI54" s="3078"/>
      <c r="NNJ54" s="3078"/>
      <c r="NNK54" s="3078"/>
      <c r="NNL54" s="3078"/>
      <c r="NNM54" s="3075" t="s">
        <v>55</v>
      </c>
      <c r="NNN54" s="3078"/>
      <c r="NNO54" s="3078"/>
      <c r="NNP54" s="3078"/>
      <c r="NNQ54" s="3078"/>
      <c r="NNR54" s="3078"/>
      <c r="NNS54" s="3078"/>
      <c r="NNT54" s="3078"/>
      <c r="NNU54" s="3075" t="s">
        <v>55</v>
      </c>
      <c r="NNV54" s="3078"/>
      <c r="NNW54" s="3078"/>
      <c r="NNX54" s="3078"/>
      <c r="NNY54" s="3078"/>
      <c r="NNZ54" s="3078"/>
      <c r="NOA54" s="3078"/>
      <c r="NOB54" s="3078"/>
      <c r="NOC54" s="3075" t="s">
        <v>55</v>
      </c>
      <c r="NOD54" s="3078"/>
      <c r="NOE54" s="3078"/>
      <c r="NOF54" s="3078"/>
      <c r="NOG54" s="3078"/>
      <c r="NOH54" s="3078"/>
      <c r="NOI54" s="3078"/>
      <c r="NOJ54" s="3078"/>
      <c r="NOK54" s="3075" t="s">
        <v>55</v>
      </c>
      <c r="NOL54" s="3078"/>
      <c r="NOM54" s="3078"/>
      <c r="NON54" s="3078"/>
      <c r="NOO54" s="3078"/>
      <c r="NOP54" s="3078"/>
      <c r="NOQ54" s="3078"/>
      <c r="NOR54" s="3078"/>
      <c r="NOS54" s="3075" t="s">
        <v>55</v>
      </c>
      <c r="NOT54" s="3078"/>
      <c r="NOU54" s="3078"/>
      <c r="NOV54" s="3078"/>
      <c r="NOW54" s="3078"/>
      <c r="NOX54" s="3078"/>
      <c r="NOY54" s="3078"/>
      <c r="NOZ54" s="3078"/>
      <c r="NPA54" s="3075" t="s">
        <v>55</v>
      </c>
      <c r="NPB54" s="3078"/>
      <c r="NPC54" s="3078"/>
      <c r="NPD54" s="3078"/>
      <c r="NPE54" s="3078"/>
      <c r="NPF54" s="3078"/>
      <c r="NPG54" s="3078"/>
      <c r="NPH54" s="3078"/>
      <c r="NPI54" s="3075" t="s">
        <v>55</v>
      </c>
      <c r="NPJ54" s="3078"/>
      <c r="NPK54" s="3078"/>
      <c r="NPL54" s="3078"/>
      <c r="NPM54" s="3078"/>
      <c r="NPN54" s="3078"/>
      <c r="NPO54" s="3078"/>
      <c r="NPP54" s="3078"/>
      <c r="NPQ54" s="3075" t="s">
        <v>55</v>
      </c>
      <c r="NPR54" s="3078"/>
      <c r="NPS54" s="3078"/>
      <c r="NPT54" s="3078"/>
      <c r="NPU54" s="3078"/>
      <c r="NPV54" s="3078"/>
      <c r="NPW54" s="3078"/>
      <c r="NPX54" s="3078"/>
      <c r="NPY54" s="3075" t="s">
        <v>55</v>
      </c>
      <c r="NPZ54" s="3078"/>
      <c r="NQA54" s="3078"/>
      <c r="NQB54" s="3078"/>
      <c r="NQC54" s="3078"/>
      <c r="NQD54" s="3078"/>
      <c r="NQE54" s="3078"/>
      <c r="NQF54" s="3078"/>
      <c r="NQG54" s="3075" t="s">
        <v>55</v>
      </c>
      <c r="NQH54" s="3078"/>
      <c r="NQI54" s="3078"/>
      <c r="NQJ54" s="3078"/>
      <c r="NQK54" s="3078"/>
      <c r="NQL54" s="3078"/>
      <c r="NQM54" s="3078"/>
      <c r="NQN54" s="3078"/>
      <c r="NQO54" s="3075" t="s">
        <v>55</v>
      </c>
      <c r="NQP54" s="3078"/>
      <c r="NQQ54" s="3078"/>
      <c r="NQR54" s="3078"/>
      <c r="NQS54" s="3078"/>
      <c r="NQT54" s="3078"/>
      <c r="NQU54" s="3078"/>
      <c r="NQV54" s="3078"/>
      <c r="NQW54" s="3075" t="s">
        <v>55</v>
      </c>
      <c r="NQX54" s="3078"/>
      <c r="NQY54" s="3078"/>
      <c r="NQZ54" s="3078"/>
      <c r="NRA54" s="3078"/>
      <c r="NRB54" s="3078"/>
      <c r="NRC54" s="3078"/>
      <c r="NRD54" s="3078"/>
      <c r="NRE54" s="3075" t="s">
        <v>55</v>
      </c>
      <c r="NRF54" s="3078"/>
      <c r="NRG54" s="3078"/>
      <c r="NRH54" s="3078"/>
      <c r="NRI54" s="3078"/>
      <c r="NRJ54" s="3078"/>
      <c r="NRK54" s="3078"/>
      <c r="NRL54" s="3078"/>
      <c r="NRM54" s="3075" t="s">
        <v>55</v>
      </c>
      <c r="NRN54" s="3078"/>
      <c r="NRO54" s="3078"/>
      <c r="NRP54" s="3078"/>
      <c r="NRQ54" s="3078"/>
      <c r="NRR54" s="3078"/>
      <c r="NRS54" s="3078"/>
      <c r="NRT54" s="3078"/>
      <c r="NRU54" s="3075" t="s">
        <v>55</v>
      </c>
      <c r="NRV54" s="3078"/>
      <c r="NRW54" s="3078"/>
      <c r="NRX54" s="3078"/>
      <c r="NRY54" s="3078"/>
      <c r="NRZ54" s="3078"/>
      <c r="NSA54" s="3078"/>
      <c r="NSB54" s="3078"/>
      <c r="NSC54" s="3075" t="s">
        <v>55</v>
      </c>
      <c r="NSD54" s="3078"/>
      <c r="NSE54" s="3078"/>
      <c r="NSF54" s="3078"/>
      <c r="NSG54" s="3078"/>
      <c r="NSH54" s="3078"/>
      <c r="NSI54" s="3078"/>
      <c r="NSJ54" s="3078"/>
      <c r="NSK54" s="3075" t="s">
        <v>55</v>
      </c>
      <c r="NSL54" s="3078"/>
      <c r="NSM54" s="3078"/>
      <c r="NSN54" s="3078"/>
      <c r="NSO54" s="3078"/>
      <c r="NSP54" s="3078"/>
      <c r="NSQ54" s="3078"/>
      <c r="NSR54" s="3078"/>
      <c r="NSS54" s="3075" t="s">
        <v>55</v>
      </c>
      <c r="NST54" s="3078"/>
      <c r="NSU54" s="3078"/>
      <c r="NSV54" s="3078"/>
      <c r="NSW54" s="3078"/>
      <c r="NSX54" s="3078"/>
      <c r="NSY54" s="3078"/>
      <c r="NSZ54" s="3078"/>
      <c r="NTA54" s="3075" t="s">
        <v>55</v>
      </c>
      <c r="NTB54" s="3078"/>
      <c r="NTC54" s="3078"/>
      <c r="NTD54" s="3078"/>
      <c r="NTE54" s="3078"/>
      <c r="NTF54" s="3078"/>
      <c r="NTG54" s="3078"/>
      <c r="NTH54" s="3078"/>
      <c r="NTI54" s="3075" t="s">
        <v>55</v>
      </c>
      <c r="NTJ54" s="3078"/>
      <c r="NTK54" s="3078"/>
      <c r="NTL54" s="3078"/>
      <c r="NTM54" s="3078"/>
      <c r="NTN54" s="3078"/>
      <c r="NTO54" s="3078"/>
      <c r="NTP54" s="3078"/>
      <c r="NTQ54" s="3075" t="s">
        <v>55</v>
      </c>
      <c r="NTR54" s="3078"/>
      <c r="NTS54" s="3078"/>
      <c r="NTT54" s="3078"/>
      <c r="NTU54" s="3078"/>
      <c r="NTV54" s="3078"/>
      <c r="NTW54" s="3078"/>
      <c r="NTX54" s="3078"/>
      <c r="NTY54" s="3075" t="s">
        <v>55</v>
      </c>
      <c r="NTZ54" s="3078"/>
      <c r="NUA54" s="3078"/>
      <c r="NUB54" s="3078"/>
      <c r="NUC54" s="3078"/>
      <c r="NUD54" s="3078"/>
      <c r="NUE54" s="3078"/>
      <c r="NUF54" s="3078"/>
      <c r="NUG54" s="3075" t="s">
        <v>55</v>
      </c>
      <c r="NUH54" s="3078"/>
      <c r="NUI54" s="3078"/>
      <c r="NUJ54" s="3078"/>
      <c r="NUK54" s="3078"/>
      <c r="NUL54" s="3078"/>
      <c r="NUM54" s="3078"/>
      <c r="NUN54" s="3078"/>
      <c r="NUO54" s="3075" t="s">
        <v>55</v>
      </c>
      <c r="NUP54" s="3078"/>
      <c r="NUQ54" s="3078"/>
      <c r="NUR54" s="3078"/>
      <c r="NUS54" s="3078"/>
      <c r="NUT54" s="3078"/>
      <c r="NUU54" s="3078"/>
      <c r="NUV54" s="3078"/>
      <c r="NUW54" s="3075" t="s">
        <v>55</v>
      </c>
      <c r="NUX54" s="3078"/>
      <c r="NUY54" s="3078"/>
      <c r="NUZ54" s="3078"/>
      <c r="NVA54" s="3078"/>
      <c r="NVB54" s="3078"/>
      <c r="NVC54" s="3078"/>
      <c r="NVD54" s="3078"/>
      <c r="NVE54" s="3075" t="s">
        <v>55</v>
      </c>
      <c r="NVF54" s="3078"/>
      <c r="NVG54" s="3078"/>
      <c r="NVH54" s="3078"/>
      <c r="NVI54" s="3078"/>
      <c r="NVJ54" s="3078"/>
      <c r="NVK54" s="3078"/>
      <c r="NVL54" s="3078"/>
      <c r="NVM54" s="3075" t="s">
        <v>55</v>
      </c>
      <c r="NVN54" s="3078"/>
      <c r="NVO54" s="3078"/>
      <c r="NVP54" s="3078"/>
      <c r="NVQ54" s="3078"/>
      <c r="NVR54" s="3078"/>
      <c r="NVS54" s="3078"/>
      <c r="NVT54" s="3078"/>
      <c r="NVU54" s="3075" t="s">
        <v>55</v>
      </c>
      <c r="NVV54" s="3078"/>
      <c r="NVW54" s="3078"/>
      <c r="NVX54" s="3078"/>
      <c r="NVY54" s="3078"/>
      <c r="NVZ54" s="3078"/>
      <c r="NWA54" s="3078"/>
      <c r="NWB54" s="3078"/>
      <c r="NWC54" s="3075" t="s">
        <v>55</v>
      </c>
      <c r="NWD54" s="3078"/>
      <c r="NWE54" s="3078"/>
      <c r="NWF54" s="3078"/>
      <c r="NWG54" s="3078"/>
      <c r="NWH54" s="3078"/>
      <c r="NWI54" s="3078"/>
      <c r="NWJ54" s="3078"/>
      <c r="NWK54" s="3075" t="s">
        <v>55</v>
      </c>
      <c r="NWL54" s="3078"/>
      <c r="NWM54" s="3078"/>
      <c r="NWN54" s="3078"/>
      <c r="NWO54" s="3078"/>
      <c r="NWP54" s="3078"/>
      <c r="NWQ54" s="3078"/>
      <c r="NWR54" s="3078"/>
      <c r="NWS54" s="3075" t="s">
        <v>55</v>
      </c>
      <c r="NWT54" s="3078"/>
      <c r="NWU54" s="3078"/>
      <c r="NWV54" s="3078"/>
      <c r="NWW54" s="3078"/>
      <c r="NWX54" s="3078"/>
      <c r="NWY54" s="3078"/>
      <c r="NWZ54" s="3078"/>
      <c r="NXA54" s="3075" t="s">
        <v>55</v>
      </c>
      <c r="NXB54" s="3078"/>
      <c r="NXC54" s="3078"/>
      <c r="NXD54" s="3078"/>
      <c r="NXE54" s="3078"/>
      <c r="NXF54" s="3078"/>
      <c r="NXG54" s="3078"/>
      <c r="NXH54" s="3078"/>
      <c r="NXI54" s="3075" t="s">
        <v>55</v>
      </c>
      <c r="NXJ54" s="3078"/>
      <c r="NXK54" s="3078"/>
      <c r="NXL54" s="3078"/>
      <c r="NXM54" s="3078"/>
      <c r="NXN54" s="3078"/>
      <c r="NXO54" s="3078"/>
      <c r="NXP54" s="3078"/>
      <c r="NXQ54" s="3075" t="s">
        <v>55</v>
      </c>
      <c r="NXR54" s="3078"/>
      <c r="NXS54" s="3078"/>
      <c r="NXT54" s="3078"/>
      <c r="NXU54" s="3078"/>
      <c r="NXV54" s="3078"/>
      <c r="NXW54" s="3078"/>
      <c r="NXX54" s="3078"/>
      <c r="NXY54" s="3075" t="s">
        <v>55</v>
      </c>
      <c r="NXZ54" s="3078"/>
      <c r="NYA54" s="3078"/>
      <c r="NYB54" s="3078"/>
      <c r="NYC54" s="3078"/>
      <c r="NYD54" s="3078"/>
      <c r="NYE54" s="3078"/>
      <c r="NYF54" s="3078"/>
      <c r="NYG54" s="3075" t="s">
        <v>55</v>
      </c>
      <c r="NYH54" s="3078"/>
      <c r="NYI54" s="3078"/>
      <c r="NYJ54" s="3078"/>
      <c r="NYK54" s="3078"/>
      <c r="NYL54" s="3078"/>
      <c r="NYM54" s="3078"/>
      <c r="NYN54" s="3078"/>
      <c r="NYO54" s="3075" t="s">
        <v>55</v>
      </c>
      <c r="NYP54" s="3078"/>
      <c r="NYQ54" s="3078"/>
      <c r="NYR54" s="3078"/>
      <c r="NYS54" s="3078"/>
      <c r="NYT54" s="3078"/>
      <c r="NYU54" s="3078"/>
      <c r="NYV54" s="3078"/>
      <c r="NYW54" s="3075" t="s">
        <v>55</v>
      </c>
      <c r="NYX54" s="3078"/>
      <c r="NYY54" s="3078"/>
      <c r="NYZ54" s="3078"/>
      <c r="NZA54" s="3078"/>
      <c r="NZB54" s="3078"/>
      <c r="NZC54" s="3078"/>
      <c r="NZD54" s="3078"/>
      <c r="NZE54" s="3075" t="s">
        <v>55</v>
      </c>
      <c r="NZF54" s="3078"/>
      <c r="NZG54" s="3078"/>
      <c r="NZH54" s="3078"/>
      <c r="NZI54" s="3078"/>
      <c r="NZJ54" s="3078"/>
      <c r="NZK54" s="3078"/>
      <c r="NZL54" s="3078"/>
      <c r="NZM54" s="3075" t="s">
        <v>55</v>
      </c>
      <c r="NZN54" s="3078"/>
      <c r="NZO54" s="3078"/>
      <c r="NZP54" s="3078"/>
      <c r="NZQ54" s="3078"/>
      <c r="NZR54" s="3078"/>
      <c r="NZS54" s="3078"/>
      <c r="NZT54" s="3078"/>
      <c r="NZU54" s="3075" t="s">
        <v>55</v>
      </c>
      <c r="NZV54" s="3078"/>
      <c r="NZW54" s="3078"/>
      <c r="NZX54" s="3078"/>
      <c r="NZY54" s="3078"/>
      <c r="NZZ54" s="3078"/>
      <c r="OAA54" s="3078"/>
      <c r="OAB54" s="3078"/>
      <c r="OAC54" s="3075" t="s">
        <v>55</v>
      </c>
      <c r="OAD54" s="3078"/>
      <c r="OAE54" s="3078"/>
      <c r="OAF54" s="3078"/>
      <c r="OAG54" s="3078"/>
      <c r="OAH54" s="3078"/>
      <c r="OAI54" s="3078"/>
      <c r="OAJ54" s="3078"/>
      <c r="OAK54" s="3075" t="s">
        <v>55</v>
      </c>
      <c r="OAL54" s="3078"/>
      <c r="OAM54" s="3078"/>
      <c r="OAN54" s="3078"/>
      <c r="OAO54" s="3078"/>
      <c r="OAP54" s="3078"/>
      <c r="OAQ54" s="3078"/>
      <c r="OAR54" s="3078"/>
      <c r="OAS54" s="3075" t="s">
        <v>55</v>
      </c>
      <c r="OAT54" s="3078"/>
      <c r="OAU54" s="3078"/>
      <c r="OAV54" s="3078"/>
      <c r="OAW54" s="3078"/>
      <c r="OAX54" s="3078"/>
      <c r="OAY54" s="3078"/>
      <c r="OAZ54" s="3078"/>
      <c r="OBA54" s="3075" t="s">
        <v>55</v>
      </c>
      <c r="OBB54" s="3078"/>
      <c r="OBC54" s="3078"/>
      <c r="OBD54" s="3078"/>
      <c r="OBE54" s="3078"/>
      <c r="OBF54" s="3078"/>
      <c r="OBG54" s="3078"/>
      <c r="OBH54" s="3078"/>
      <c r="OBI54" s="3075" t="s">
        <v>55</v>
      </c>
      <c r="OBJ54" s="3078"/>
      <c r="OBK54" s="3078"/>
      <c r="OBL54" s="3078"/>
      <c r="OBM54" s="3078"/>
      <c r="OBN54" s="3078"/>
      <c r="OBO54" s="3078"/>
      <c r="OBP54" s="3078"/>
      <c r="OBQ54" s="3075" t="s">
        <v>55</v>
      </c>
      <c r="OBR54" s="3078"/>
      <c r="OBS54" s="3078"/>
      <c r="OBT54" s="3078"/>
      <c r="OBU54" s="3078"/>
      <c r="OBV54" s="3078"/>
      <c r="OBW54" s="3078"/>
      <c r="OBX54" s="3078"/>
      <c r="OBY54" s="3075" t="s">
        <v>55</v>
      </c>
      <c r="OBZ54" s="3078"/>
      <c r="OCA54" s="3078"/>
      <c r="OCB54" s="3078"/>
      <c r="OCC54" s="3078"/>
      <c r="OCD54" s="3078"/>
      <c r="OCE54" s="3078"/>
      <c r="OCF54" s="3078"/>
      <c r="OCG54" s="3075" t="s">
        <v>55</v>
      </c>
      <c r="OCH54" s="3078"/>
      <c r="OCI54" s="3078"/>
      <c r="OCJ54" s="3078"/>
      <c r="OCK54" s="3078"/>
      <c r="OCL54" s="3078"/>
      <c r="OCM54" s="3078"/>
      <c r="OCN54" s="3078"/>
      <c r="OCO54" s="3075" t="s">
        <v>55</v>
      </c>
      <c r="OCP54" s="3078"/>
      <c r="OCQ54" s="3078"/>
      <c r="OCR54" s="3078"/>
      <c r="OCS54" s="3078"/>
      <c r="OCT54" s="3078"/>
      <c r="OCU54" s="3078"/>
      <c r="OCV54" s="3078"/>
      <c r="OCW54" s="3075" t="s">
        <v>55</v>
      </c>
      <c r="OCX54" s="3078"/>
      <c r="OCY54" s="3078"/>
      <c r="OCZ54" s="3078"/>
      <c r="ODA54" s="3078"/>
      <c r="ODB54" s="3078"/>
      <c r="ODC54" s="3078"/>
      <c r="ODD54" s="3078"/>
      <c r="ODE54" s="3075" t="s">
        <v>55</v>
      </c>
      <c r="ODF54" s="3078"/>
      <c r="ODG54" s="3078"/>
      <c r="ODH54" s="3078"/>
      <c r="ODI54" s="3078"/>
      <c r="ODJ54" s="3078"/>
      <c r="ODK54" s="3078"/>
      <c r="ODL54" s="3078"/>
      <c r="ODM54" s="3075" t="s">
        <v>55</v>
      </c>
      <c r="ODN54" s="3078"/>
      <c r="ODO54" s="3078"/>
      <c r="ODP54" s="3078"/>
      <c r="ODQ54" s="3078"/>
      <c r="ODR54" s="3078"/>
      <c r="ODS54" s="3078"/>
      <c r="ODT54" s="3078"/>
      <c r="ODU54" s="3075" t="s">
        <v>55</v>
      </c>
      <c r="ODV54" s="3078"/>
      <c r="ODW54" s="3078"/>
      <c r="ODX54" s="3078"/>
      <c r="ODY54" s="3078"/>
      <c r="ODZ54" s="3078"/>
      <c r="OEA54" s="3078"/>
      <c r="OEB54" s="3078"/>
      <c r="OEC54" s="3075" t="s">
        <v>55</v>
      </c>
      <c r="OED54" s="3078"/>
      <c r="OEE54" s="3078"/>
      <c r="OEF54" s="3078"/>
      <c r="OEG54" s="3078"/>
      <c r="OEH54" s="3078"/>
      <c r="OEI54" s="3078"/>
      <c r="OEJ54" s="3078"/>
      <c r="OEK54" s="3075" t="s">
        <v>55</v>
      </c>
      <c r="OEL54" s="3078"/>
      <c r="OEM54" s="3078"/>
      <c r="OEN54" s="3078"/>
      <c r="OEO54" s="3078"/>
      <c r="OEP54" s="3078"/>
      <c r="OEQ54" s="3078"/>
      <c r="OER54" s="3078"/>
      <c r="OES54" s="3075" t="s">
        <v>55</v>
      </c>
      <c r="OET54" s="3078"/>
      <c r="OEU54" s="3078"/>
      <c r="OEV54" s="3078"/>
      <c r="OEW54" s="3078"/>
      <c r="OEX54" s="3078"/>
      <c r="OEY54" s="3078"/>
      <c r="OEZ54" s="3078"/>
      <c r="OFA54" s="3075" t="s">
        <v>55</v>
      </c>
      <c r="OFB54" s="3078"/>
      <c r="OFC54" s="3078"/>
      <c r="OFD54" s="3078"/>
      <c r="OFE54" s="3078"/>
      <c r="OFF54" s="3078"/>
      <c r="OFG54" s="3078"/>
      <c r="OFH54" s="3078"/>
      <c r="OFI54" s="3075" t="s">
        <v>55</v>
      </c>
      <c r="OFJ54" s="3078"/>
      <c r="OFK54" s="3078"/>
      <c r="OFL54" s="3078"/>
      <c r="OFM54" s="3078"/>
      <c r="OFN54" s="3078"/>
      <c r="OFO54" s="3078"/>
      <c r="OFP54" s="3078"/>
      <c r="OFQ54" s="3075" t="s">
        <v>55</v>
      </c>
      <c r="OFR54" s="3078"/>
      <c r="OFS54" s="3078"/>
      <c r="OFT54" s="3078"/>
      <c r="OFU54" s="3078"/>
      <c r="OFV54" s="3078"/>
      <c r="OFW54" s="3078"/>
      <c r="OFX54" s="3078"/>
      <c r="OFY54" s="3075" t="s">
        <v>55</v>
      </c>
      <c r="OFZ54" s="3078"/>
      <c r="OGA54" s="3078"/>
      <c r="OGB54" s="3078"/>
      <c r="OGC54" s="3078"/>
      <c r="OGD54" s="3078"/>
      <c r="OGE54" s="3078"/>
      <c r="OGF54" s="3078"/>
      <c r="OGG54" s="3075" t="s">
        <v>55</v>
      </c>
      <c r="OGH54" s="3078"/>
      <c r="OGI54" s="3078"/>
      <c r="OGJ54" s="3078"/>
      <c r="OGK54" s="3078"/>
      <c r="OGL54" s="3078"/>
      <c r="OGM54" s="3078"/>
      <c r="OGN54" s="3078"/>
      <c r="OGO54" s="3075" t="s">
        <v>55</v>
      </c>
      <c r="OGP54" s="3078"/>
      <c r="OGQ54" s="3078"/>
      <c r="OGR54" s="3078"/>
      <c r="OGS54" s="3078"/>
      <c r="OGT54" s="3078"/>
      <c r="OGU54" s="3078"/>
      <c r="OGV54" s="3078"/>
      <c r="OGW54" s="3075" t="s">
        <v>55</v>
      </c>
      <c r="OGX54" s="3078"/>
      <c r="OGY54" s="3078"/>
      <c r="OGZ54" s="3078"/>
      <c r="OHA54" s="3078"/>
      <c r="OHB54" s="3078"/>
      <c r="OHC54" s="3078"/>
      <c r="OHD54" s="3078"/>
      <c r="OHE54" s="3075" t="s">
        <v>55</v>
      </c>
      <c r="OHF54" s="3078"/>
      <c r="OHG54" s="3078"/>
      <c r="OHH54" s="3078"/>
      <c r="OHI54" s="3078"/>
      <c r="OHJ54" s="3078"/>
      <c r="OHK54" s="3078"/>
      <c r="OHL54" s="3078"/>
      <c r="OHM54" s="3075" t="s">
        <v>55</v>
      </c>
      <c r="OHN54" s="3078"/>
      <c r="OHO54" s="3078"/>
      <c r="OHP54" s="3078"/>
      <c r="OHQ54" s="3078"/>
      <c r="OHR54" s="3078"/>
      <c r="OHS54" s="3078"/>
      <c r="OHT54" s="3078"/>
      <c r="OHU54" s="3075" t="s">
        <v>55</v>
      </c>
      <c r="OHV54" s="3078"/>
      <c r="OHW54" s="3078"/>
      <c r="OHX54" s="3078"/>
      <c r="OHY54" s="3078"/>
      <c r="OHZ54" s="3078"/>
      <c r="OIA54" s="3078"/>
      <c r="OIB54" s="3078"/>
      <c r="OIC54" s="3075" t="s">
        <v>55</v>
      </c>
      <c r="OID54" s="3078"/>
      <c r="OIE54" s="3078"/>
      <c r="OIF54" s="3078"/>
      <c r="OIG54" s="3078"/>
      <c r="OIH54" s="3078"/>
      <c r="OII54" s="3078"/>
      <c r="OIJ54" s="3078"/>
      <c r="OIK54" s="3075" t="s">
        <v>55</v>
      </c>
      <c r="OIL54" s="3078"/>
      <c r="OIM54" s="3078"/>
      <c r="OIN54" s="3078"/>
      <c r="OIO54" s="3078"/>
      <c r="OIP54" s="3078"/>
      <c r="OIQ54" s="3078"/>
      <c r="OIR54" s="3078"/>
      <c r="OIS54" s="3075" t="s">
        <v>55</v>
      </c>
      <c r="OIT54" s="3078"/>
      <c r="OIU54" s="3078"/>
      <c r="OIV54" s="3078"/>
      <c r="OIW54" s="3078"/>
      <c r="OIX54" s="3078"/>
      <c r="OIY54" s="3078"/>
      <c r="OIZ54" s="3078"/>
      <c r="OJA54" s="3075" t="s">
        <v>55</v>
      </c>
      <c r="OJB54" s="3078"/>
      <c r="OJC54" s="3078"/>
      <c r="OJD54" s="3078"/>
      <c r="OJE54" s="3078"/>
      <c r="OJF54" s="3078"/>
      <c r="OJG54" s="3078"/>
      <c r="OJH54" s="3078"/>
      <c r="OJI54" s="3075" t="s">
        <v>55</v>
      </c>
      <c r="OJJ54" s="3078"/>
      <c r="OJK54" s="3078"/>
      <c r="OJL54" s="3078"/>
      <c r="OJM54" s="3078"/>
      <c r="OJN54" s="3078"/>
      <c r="OJO54" s="3078"/>
      <c r="OJP54" s="3078"/>
      <c r="OJQ54" s="3075" t="s">
        <v>55</v>
      </c>
      <c r="OJR54" s="3078"/>
      <c r="OJS54" s="3078"/>
      <c r="OJT54" s="3078"/>
      <c r="OJU54" s="3078"/>
      <c r="OJV54" s="3078"/>
      <c r="OJW54" s="3078"/>
      <c r="OJX54" s="3078"/>
      <c r="OJY54" s="3075" t="s">
        <v>55</v>
      </c>
      <c r="OJZ54" s="3078"/>
      <c r="OKA54" s="3078"/>
      <c r="OKB54" s="3078"/>
      <c r="OKC54" s="3078"/>
      <c r="OKD54" s="3078"/>
      <c r="OKE54" s="3078"/>
      <c r="OKF54" s="3078"/>
      <c r="OKG54" s="3075" t="s">
        <v>55</v>
      </c>
      <c r="OKH54" s="3078"/>
      <c r="OKI54" s="3078"/>
      <c r="OKJ54" s="3078"/>
      <c r="OKK54" s="3078"/>
      <c r="OKL54" s="3078"/>
      <c r="OKM54" s="3078"/>
      <c r="OKN54" s="3078"/>
      <c r="OKO54" s="3075" t="s">
        <v>55</v>
      </c>
      <c r="OKP54" s="3078"/>
      <c r="OKQ54" s="3078"/>
      <c r="OKR54" s="3078"/>
      <c r="OKS54" s="3078"/>
      <c r="OKT54" s="3078"/>
      <c r="OKU54" s="3078"/>
      <c r="OKV54" s="3078"/>
      <c r="OKW54" s="3075" t="s">
        <v>55</v>
      </c>
      <c r="OKX54" s="3078"/>
      <c r="OKY54" s="3078"/>
      <c r="OKZ54" s="3078"/>
      <c r="OLA54" s="3078"/>
      <c r="OLB54" s="3078"/>
      <c r="OLC54" s="3078"/>
      <c r="OLD54" s="3078"/>
      <c r="OLE54" s="3075" t="s">
        <v>55</v>
      </c>
      <c r="OLF54" s="3078"/>
      <c r="OLG54" s="3078"/>
      <c r="OLH54" s="3078"/>
      <c r="OLI54" s="3078"/>
      <c r="OLJ54" s="3078"/>
      <c r="OLK54" s="3078"/>
      <c r="OLL54" s="3078"/>
      <c r="OLM54" s="3075" t="s">
        <v>55</v>
      </c>
      <c r="OLN54" s="3078"/>
      <c r="OLO54" s="3078"/>
      <c r="OLP54" s="3078"/>
      <c r="OLQ54" s="3078"/>
      <c r="OLR54" s="3078"/>
      <c r="OLS54" s="3078"/>
      <c r="OLT54" s="3078"/>
      <c r="OLU54" s="3075" t="s">
        <v>55</v>
      </c>
      <c r="OLV54" s="3078"/>
      <c r="OLW54" s="3078"/>
      <c r="OLX54" s="3078"/>
      <c r="OLY54" s="3078"/>
      <c r="OLZ54" s="3078"/>
      <c r="OMA54" s="3078"/>
      <c r="OMB54" s="3078"/>
      <c r="OMC54" s="3075" t="s">
        <v>55</v>
      </c>
      <c r="OMD54" s="3078"/>
      <c r="OME54" s="3078"/>
      <c r="OMF54" s="3078"/>
      <c r="OMG54" s="3078"/>
      <c r="OMH54" s="3078"/>
      <c r="OMI54" s="3078"/>
      <c r="OMJ54" s="3078"/>
      <c r="OMK54" s="3075" t="s">
        <v>55</v>
      </c>
      <c r="OML54" s="3078"/>
      <c r="OMM54" s="3078"/>
      <c r="OMN54" s="3078"/>
      <c r="OMO54" s="3078"/>
      <c r="OMP54" s="3078"/>
      <c r="OMQ54" s="3078"/>
      <c r="OMR54" s="3078"/>
      <c r="OMS54" s="3075" t="s">
        <v>55</v>
      </c>
      <c r="OMT54" s="3078"/>
      <c r="OMU54" s="3078"/>
      <c r="OMV54" s="3078"/>
      <c r="OMW54" s="3078"/>
      <c r="OMX54" s="3078"/>
      <c r="OMY54" s="3078"/>
      <c r="OMZ54" s="3078"/>
      <c r="ONA54" s="3075" t="s">
        <v>55</v>
      </c>
      <c r="ONB54" s="3078"/>
      <c r="ONC54" s="3078"/>
      <c r="OND54" s="3078"/>
      <c r="ONE54" s="3078"/>
      <c r="ONF54" s="3078"/>
      <c r="ONG54" s="3078"/>
      <c r="ONH54" s="3078"/>
      <c r="ONI54" s="3075" t="s">
        <v>55</v>
      </c>
      <c r="ONJ54" s="3078"/>
      <c r="ONK54" s="3078"/>
      <c r="ONL54" s="3078"/>
      <c r="ONM54" s="3078"/>
      <c r="ONN54" s="3078"/>
      <c r="ONO54" s="3078"/>
      <c r="ONP54" s="3078"/>
      <c r="ONQ54" s="3075" t="s">
        <v>55</v>
      </c>
      <c r="ONR54" s="3078"/>
      <c r="ONS54" s="3078"/>
      <c r="ONT54" s="3078"/>
      <c r="ONU54" s="3078"/>
      <c r="ONV54" s="3078"/>
      <c r="ONW54" s="3078"/>
      <c r="ONX54" s="3078"/>
      <c r="ONY54" s="3075" t="s">
        <v>55</v>
      </c>
      <c r="ONZ54" s="3078"/>
      <c r="OOA54" s="3078"/>
      <c r="OOB54" s="3078"/>
      <c r="OOC54" s="3078"/>
      <c r="OOD54" s="3078"/>
      <c r="OOE54" s="3078"/>
      <c r="OOF54" s="3078"/>
      <c r="OOG54" s="3075" t="s">
        <v>55</v>
      </c>
      <c r="OOH54" s="3078"/>
      <c r="OOI54" s="3078"/>
      <c r="OOJ54" s="3078"/>
      <c r="OOK54" s="3078"/>
      <c r="OOL54" s="3078"/>
      <c r="OOM54" s="3078"/>
      <c r="OON54" s="3078"/>
      <c r="OOO54" s="3075" t="s">
        <v>55</v>
      </c>
      <c r="OOP54" s="3078"/>
      <c r="OOQ54" s="3078"/>
      <c r="OOR54" s="3078"/>
      <c r="OOS54" s="3078"/>
      <c r="OOT54" s="3078"/>
      <c r="OOU54" s="3078"/>
      <c r="OOV54" s="3078"/>
      <c r="OOW54" s="3075" t="s">
        <v>55</v>
      </c>
      <c r="OOX54" s="3078"/>
      <c r="OOY54" s="3078"/>
      <c r="OOZ54" s="3078"/>
      <c r="OPA54" s="3078"/>
      <c r="OPB54" s="3078"/>
      <c r="OPC54" s="3078"/>
      <c r="OPD54" s="3078"/>
      <c r="OPE54" s="3075" t="s">
        <v>55</v>
      </c>
      <c r="OPF54" s="3078"/>
      <c r="OPG54" s="3078"/>
      <c r="OPH54" s="3078"/>
      <c r="OPI54" s="3078"/>
      <c r="OPJ54" s="3078"/>
      <c r="OPK54" s="3078"/>
      <c r="OPL54" s="3078"/>
      <c r="OPM54" s="3075" t="s">
        <v>55</v>
      </c>
      <c r="OPN54" s="3078"/>
      <c r="OPO54" s="3078"/>
      <c r="OPP54" s="3078"/>
      <c r="OPQ54" s="3078"/>
      <c r="OPR54" s="3078"/>
      <c r="OPS54" s="3078"/>
      <c r="OPT54" s="3078"/>
      <c r="OPU54" s="3075" t="s">
        <v>55</v>
      </c>
      <c r="OPV54" s="3078"/>
      <c r="OPW54" s="3078"/>
      <c r="OPX54" s="3078"/>
      <c r="OPY54" s="3078"/>
      <c r="OPZ54" s="3078"/>
      <c r="OQA54" s="3078"/>
      <c r="OQB54" s="3078"/>
      <c r="OQC54" s="3075" t="s">
        <v>55</v>
      </c>
      <c r="OQD54" s="3078"/>
      <c r="OQE54" s="3078"/>
      <c r="OQF54" s="3078"/>
      <c r="OQG54" s="3078"/>
      <c r="OQH54" s="3078"/>
      <c r="OQI54" s="3078"/>
      <c r="OQJ54" s="3078"/>
      <c r="OQK54" s="3075" t="s">
        <v>55</v>
      </c>
      <c r="OQL54" s="3078"/>
      <c r="OQM54" s="3078"/>
      <c r="OQN54" s="3078"/>
      <c r="OQO54" s="3078"/>
      <c r="OQP54" s="3078"/>
      <c r="OQQ54" s="3078"/>
      <c r="OQR54" s="3078"/>
      <c r="OQS54" s="3075" t="s">
        <v>55</v>
      </c>
      <c r="OQT54" s="3078"/>
      <c r="OQU54" s="3078"/>
      <c r="OQV54" s="3078"/>
      <c r="OQW54" s="3078"/>
      <c r="OQX54" s="3078"/>
      <c r="OQY54" s="3078"/>
      <c r="OQZ54" s="3078"/>
      <c r="ORA54" s="3075" t="s">
        <v>55</v>
      </c>
      <c r="ORB54" s="3078"/>
      <c r="ORC54" s="3078"/>
      <c r="ORD54" s="3078"/>
      <c r="ORE54" s="3078"/>
      <c r="ORF54" s="3078"/>
      <c r="ORG54" s="3078"/>
      <c r="ORH54" s="3078"/>
      <c r="ORI54" s="3075" t="s">
        <v>55</v>
      </c>
      <c r="ORJ54" s="3078"/>
      <c r="ORK54" s="3078"/>
      <c r="ORL54" s="3078"/>
      <c r="ORM54" s="3078"/>
      <c r="ORN54" s="3078"/>
      <c r="ORO54" s="3078"/>
      <c r="ORP54" s="3078"/>
      <c r="ORQ54" s="3075" t="s">
        <v>55</v>
      </c>
      <c r="ORR54" s="3078"/>
      <c r="ORS54" s="3078"/>
      <c r="ORT54" s="3078"/>
      <c r="ORU54" s="3078"/>
      <c r="ORV54" s="3078"/>
      <c r="ORW54" s="3078"/>
      <c r="ORX54" s="3078"/>
      <c r="ORY54" s="3075" t="s">
        <v>55</v>
      </c>
      <c r="ORZ54" s="3078"/>
      <c r="OSA54" s="3078"/>
      <c r="OSB54" s="3078"/>
      <c r="OSC54" s="3078"/>
      <c r="OSD54" s="3078"/>
      <c r="OSE54" s="3078"/>
      <c r="OSF54" s="3078"/>
      <c r="OSG54" s="3075" t="s">
        <v>55</v>
      </c>
      <c r="OSH54" s="3078"/>
      <c r="OSI54" s="3078"/>
      <c r="OSJ54" s="3078"/>
      <c r="OSK54" s="3078"/>
      <c r="OSL54" s="3078"/>
      <c r="OSM54" s="3078"/>
      <c r="OSN54" s="3078"/>
      <c r="OSO54" s="3075" t="s">
        <v>55</v>
      </c>
      <c r="OSP54" s="3078"/>
      <c r="OSQ54" s="3078"/>
      <c r="OSR54" s="3078"/>
      <c r="OSS54" s="3078"/>
      <c r="OST54" s="3078"/>
      <c r="OSU54" s="3078"/>
      <c r="OSV54" s="3078"/>
      <c r="OSW54" s="3075" t="s">
        <v>55</v>
      </c>
      <c r="OSX54" s="3078"/>
      <c r="OSY54" s="3078"/>
      <c r="OSZ54" s="3078"/>
      <c r="OTA54" s="3078"/>
      <c r="OTB54" s="3078"/>
      <c r="OTC54" s="3078"/>
      <c r="OTD54" s="3078"/>
      <c r="OTE54" s="3075" t="s">
        <v>55</v>
      </c>
      <c r="OTF54" s="3078"/>
      <c r="OTG54" s="3078"/>
      <c r="OTH54" s="3078"/>
      <c r="OTI54" s="3078"/>
      <c r="OTJ54" s="3078"/>
      <c r="OTK54" s="3078"/>
      <c r="OTL54" s="3078"/>
      <c r="OTM54" s="3075" t="s">
        <v>55</v>
      </c>
      <c r="OTN54" s="3078"/>
      <c r="OTO54" s="3078"/>
      <c r="OTP54" s="3078"/>
      <c r="OTQ54" s="3078"/>
      <c r="OTR54" s="3078"/>
      <c r="OTS54" s="3078"/>
      <c r="OTT54" s="3078"/>
      <c r="OTU54" s="3075" t="s">
        <v>55</v>
      </c>
      <c r="OTV54" s="3078"/>
      <c r="OTW54" s="3078"/>
      <c r="OTX54" s="3078"/>
      <c r="OTY54" s="3078"/>
      <c r="OTZ54" s="3078"/>
      <c r="OUA54" s="3078"/>
      <c r="OUB54" s="3078"/>
      <c r="OUC54" s="3075" t="s">
        <v>55</v>
      </c>
      <c r="OUD54" s="3078"/>
      <c r="OUE54" s="3078"/>
      <c r="OUF54" s="3078"/>
      <c r="OUG54" s="3078"/>
      <c r="OUH54" s="3078"/>
      <c r="OUI54" s="3078"/>
      <c r="OUJ54" s="3078"/>
      <c r="OUK54" s="3075" t="s">
        <v>55</v>
      </c>
      <c r="OUL54" s="3078"/>
      <c r="OUM54" s="3078"/>
      <c r="OUN54" s="3078"/>
      <c r="OUO54" s="3078"/>
      <c r="OUP54" s="3078"/>
      <c r="OUQ54" s="3078"/>
      <c r="OUR54" s="3078"/>
      <c r="OUS54" s="3075" t="s">
        <v>55</v>
      </c>
      <c r="OUT54" s="3078"/>
      <c r="OUU54" s="3078"/>
      <c r="OUV54" s="3078"/>
      <c r="OUW54" s="3078"/>
      <c r="OUX54" s="3078"/>
      <c r="OUY54" s="3078"/>
      <c r="OUZ54" s="3078"/>
      <c r="OVA54" s="3075" t="s">
        <v>55</v>
      </c>
      <c r="OVB54" s="3078"/>
      <c r="OVC54" s="3078"/>
      <c r="OVD54" s="3078"/>
      <c r="OVE54" s="3078"/>
      <c r="OVF54" s="3078"/>
      <c r="OVG54" s="3078"/>
      <c r="OVH54" s="3078"/>
      <c r="OVI54" s="3075" t="s">
        <v>55</v>
      </c>
      <c r="OVJ54" s="3078"/>
      <c r="OVK54" s="3078"/>
      <c r="OVL54" s="3078"/>
      <c r="OVM54" s="3078"/>
      <c r="OVN54" s="3078"/>
      <c r="OVO54" s="3078"/>
      <c r="OVP54" s="3078"/>
      <c r="OVQ54" s="3075" t="s">
        <v>55</v>
      </c>
      <c r="OVR54" s="3078"/>
      <c r="OVS54" s="3078"/>
      <c r="OVT54" s="3078"/>
      <c r="OVU54" s="3078"/>
      <c r="OVV54" s="3078"/>
      <c r="OVW54" s="3078"/>
      <c r="OVX54" s="3078"/>
      <c r="OVY54" s="3075" t="s">
        <v>55</v>
      </c>
      <c r="OVZ54" s="3078"/>
      <c r="OWA54" s="3078"/>
      <c r="OWB54" s="3078"/>
      <c r="OWC54" s="3078"/>
      <c r="OWD54" s="3078"/>
      <c r="OWE54" s="3078"/>
      <c r="OWF54" s="3078"/>
      <c r="OWG54" s="3075" t="s">
        <v>55</v>
      </c>
      <c r="OWH54" s="3078"/>
      <c r="OWI54" s="3078"/>
      <c r="OWJ54" s="3078"/>
      <c r="OWK54" s="3078"/>
      <c r="OWL54" s="3078"/>
      <c r="OWM54" s="3078"/>
      <c r="OWN54" s="3078"/>
      <c r="OWO54" s="3075" t="s">
        <v>55</v>
      </c>
      <c r="OWP54" s="3078"/>
      <c r="OWQ54" s="3078"/>
      <c r="OWR54" s="3078"/>
      <c r="OWS54" s="3078"/>
      <c r="OWT54" s="3078"/>
      <c r="OWU54" s="3078"/>
      <c r="OWV54" s="3078"/>
      <c r="OWW54" s="3075" t="s">
        <v>55</v>
      </c>
      <c r="OWX54" s="3078"/>
      <c r="OWY54" s="3078"/>
      <c r="OWZ54" s="3078"/>
      <c r="OXA54" s="3078"/>
      <c r="OXB54" s="3078"/>
      <c r="OXC54" s="3078"/>
      <c r="OXD54" s="3078"/>
      <c r="OXE54" s="3075" t="s">
        <v>55</v>
      </c>
      <c r="OXF54" s="3078"/>
      <c r="OXG54" s="3078"/>
      <c r="OXH54" s="3078"/>
      <c r="OXI54" s="3078"/>
      <c r="OXJ54" s="3078"/>
      <c r="OXK54" s="3078"/>
      <c r="OXL54" s="3078"/>
      <c r="OXM54" s="3075" t="s">
        <v>55</v>
      </c>
      <c r="OXN54" s="3078"/>
      <c r="OXO54" s="3078"/>
      <c r="OXP54" s="3078"/>
      <c r="OXQ54" s="3078"/>
      <c r="OXR54" s="3078"/>
      <c r="OXS54" s="3078"/>
      <c r="OXT54" s="3078"/>
      <c r="OXU54" s="3075" t="s">
        <v>55</v>
      </c>
      <c r="OXV54" s="3078"/>
      <c r="OXW54" s="3078"/>
      <c r="OXX54" s="3078"/>
      <c r="OXY54" s="3078"/>
      <c r="OXZ54" s="3078"/>
      <c r="OYA54" s="3078"/>
      <c r="OYB54" s="3078"/>
      <c r="OYC54" s="3075" t="s">
        <v>55</v>
      </c>
      <c r="OYD54" s="3078"/>
      <c r="OYE54" s="3078"/>
      <c r="OYF54" s="3078"/>
      <c r="OYG54" s="3078"/>
      <c r="OYH54" s="3078"/>
      <c r="OYI54" s="3078"/>
      <c r="OYJ54" s="3078"/>
      <c r="OYK54" s="3075" t="s">
        <v>55</v>
      </c>
      <c r="OYL54" s="3078"/>
      <c r="OYM54" s="3078"/>
      <c r="OYN54" s="3078"/>
      <c r="OYO54" s="3078"/>
      <c r="OYP54" s="3078"/>
      <c r="OYQ54" s="3078"/>
      <c r="OYR54" s="3078"/>
      <c r="OYS54" s="3075" t="s">
        <v>55</v>
      </c>
      <c r="OYT54" s="3078"/>
      <c r="OYU54" s="3078"/>
      <c r="OYV54" s="3078"/>
      <c r="OYW54" s="3078"/>
      <c r="OYX54" s="3078"/>
      <c r="OYY54" s="3078"/>
      <c r="OYZ54" s="3078"/>
      <c r="OZA54" s="3075" t="s">
        <v>55</v>
      </c>
      <c r="OZB54" s="3078"/>
      <c r="OZC54" s="3078"/>
      <c r="OZD54" s="3078"/>
      <c r="OZE54" s="3078"/>
      <c r="OZF54" s="3078"/>
      <c r="OZG54" s="3078"/>
      <c r="OZH54" s="3078"/>
      <c r="OZI54" s="3075" t="s">
        <v>55</v>
      </c>
      <c r="OZJ54" s="3078"/>
      <c r="OZK54" s="3078"/>
      <c r="OZL54" s="3078"/>
      <c r="OZM54" s="3078"/>
      <c r="OZN54" s="3078"/>
      <c r="OZO54" s="3078"/>
      <c r="OZP54" s="3078"/>
      <c r="OZQ54" s="3075" t="s">
        <v>55</v>
      </c>
      <c r="OZR54" s="3078"/>
      <c r="OZS54" s="3078"/>
      <c r="OZT54" s="3078"/>
      <c r="OZU54" s="3078"/>
      <c r="OZV54" s="3078"/>
      <c r="OZW54" s="3078"/>
      <c r="OZX54" s="3078"/>
      <c r="OZY54" s="3075" t="s">
        <v>55</v>
      </c>
      <c r="OZZ54" s="3078"/>
      <c r="PAA54" s="3078"/>
      <c r="PAB54" s="3078"/>
      <c r="PAC54" s="3078"/>
      <c r="PAD54" s="3078"/>
      <c r="PAE54" s="3078"/>
      <c r="PAF54" s="3078"/>
      <c r="PAG54" s="3075" t="s">
        <v>55</v>
      </c>
      <c r="PAH54" s="3078"/>
      <c r="PAI54" s="3078"/>
      <c r="PAJ54" s="3078"/>
      <c r="PAK54" s="3078"/>
      <c r="PAL54" s="3078"/>
      <c r="PAM54" s="3078"/>
      <c r="PAN54" s="3078"/>
      <c r="PAO54" s="3075" t="s">
        <v>55</v>
      </c>
      <c r="PAP54" s="3078"/>
      <c r="PAQ54" s="3078"/>
      <c r="PAR54" s="3078"/>
      <c r="PAS54" s="3078"/>
      <c r="PAT54" s="3078"/>
      <c r="PAU54" s="3078"/>
      <c r="PAV54" s="3078"/>
      <c r="PAW54" s="3075" t="s">
        <v>55</v>
      </c>
      <c r="PAX54" s="3078"/>
      <c r="PAY54" s="3078"/>
      <c r="PAZ54" s="3078"/>
      <c r="PBA54" s="3078"/>
      <c r="PBB54" s="3078"/>
      <c r="PBC54" s="3078"/>
      <c r="PBD54" s="3078"/>
      <c r="PBE54" s="3075" t="s">
        <v>55</v>
      </c>
      <c r="PBF54" s="3078"/>
      <c r="PBG54" s="3078"/>
      <c r="PBH54" s="3078"/>
      <c r="PBI54" s="3078"/>
      <c r="PBJ54" s="3078"/>
      <c r="PBK54" s="3078"/>
      <c r="PBL54" s="3078"/>
      <c r="PBM54" s="3075" t="s">
        <v>55</v>
      </c>
      <c r="PBN54" s="3078"/>
      <c r="PBO54" s="3078"/>
      <c r="PBP54" s="3078"/>
      <c r="PBQ54" s="3078"/>
      <c r="PBR54" s="3078"/>
      <c r="PBS54" s="3078"/>
      <c r="PBT54" s="3078"/>
      <c r="PBU54" s="3075" t="s">
        <v>55</v>
      </c>
      <c r="PBV54" s="3078"/>
      <c r="PBW54" s="3078"/>
      <c r="PBX54" s="3078"/>
      <c r="PBY54" s="3078"/>
      <c r="PBZ54" s="3078"/>
      <c r="PCA54" s="3078"/>
      <c r="PCB54" s="3078"/>
      <c r="PCC54" s="3075" t="s">
        <v>55</v>
      </c>
      <c r="PCD54" s="3078"/>
      <c r="PCE54" s="3078"/>
      <c r="PCF54" s="3078"/>
      <c r="PCG54" s="3078"/>
      <c r="PCH54" s="3078"/>
      <c r="PCI54" s="3078"/>
      <c r="PCJ54" s="3078"/>
      <c r="PCK54" s="3075" t="s">
        <v>55</v>
      </c>
      <c r="PCL54" s="3078"/>
      <c r="PCM54" s="3078"/>
      <c r="PCN54" s="3078"/>
      <c r="PCO54" s="3078"/>
      <c r="PCP54" s="3078"/>
      <c r="PCQ54" s="3078"/>
      <c r="PCR54" s="3078"/>
      <c r="PCS54" s="3075" t="s">
        <v>55</v>
      </c>
      <c r="PCT54" s="3078"/>
      <c r="PCU54" s="3078"/>
      <c r="PCV54" s="3078"/>
      <c r="PCW54" s="3078"/>
      <c r="PCX54" s="3078"/>
      <c r="PCY54" s="3078"/>
      <c r="PCZ54" s="3078"/>
      <c r="PDA54" s="3075" t="s">
        <v>55</v>
      </c>
      <c r="PDB54" s="3078"/>
      <c r="PDC54" s="3078"/>
      <c r="PDD54" s="3078"/>
      <c r="PDE54" s="3078"/>
      <c r="PDF54" s="3078"/>
      <c r="PDG54" s="3078"/>
      <c r="PDH54" s="3078"/>
      <c r="PDI54" s="3075" t="s">
        <v>55</v>
      </c>
      <c r="PDJ54" s="3078"/>
      <c r="PDK54" s="3078"/>
      <c r="PDL54" s="3078"/>
      <c r="PDM54" s="3078"/>
      <c r="PDN54" s="3078"/>
      <c r="PDO54" s="3078"/>
      <c r="PDP54" s="3078"/>
      <c r="PDQ54" s="3075" t="s">
        <v>55</v>
      </c>
      <c r="PDR54" s="3078"/>
      <c r="PDS54" s="3078"/>
      <c r="PDT54" s="3078"/>
      <c r="PDU54" s="3078"/>
      <c r="PDV54" s="3078"/>
      <c r="PDW54" s="3078"/>
      <c r="PDX54" s="3078"/>
      <c r="PDY54" s="3075" t="s">
        <v>55</v>
      </c>
      <c r="PDZ54" s="3078"/>
      <c r="PEA54" s="3078"/>
      <c r="PEB54" s="3078"/>
      <c r="PEC54" s="3078"/>
      <c r="PED54" s="3078"/>
      <c r="PEE54" s="3078"/>
      <c r="PEF54" s="3078"/>
      <c r="PEG54" s="3075" t="s">
        <v>55</v>
      </c>
      <c r="PEH54" s="3078"/>
      <c r="PEI54" s="3078"/>
      <c r="PEJ54" s="3078"/>
      <c r="PEK54" s="3078"/>
      <c r="PEL54" s="3078"/>
      <c r="PEM54" s="3078"/>
      <c r="PEN54" s="3078"/>
      <c r="PEO54" s="3075" t="s">
        <v>55</v>
      </c>
      <c r="PEP54" s="3078"/>
      <c r="PEQ54" s="3078"/>
      <c r="PER54" s="3078"/>
      <c r="PES54" s="3078"/>
      <c r="PET54" s="3078"/>
      <c r="PEU54" s="3078"/>
      <c r="PEV54" s="3078"/>
      <c r="PEW54" s="3075" t="s">
        <v>55</v>
      </c>
      <c r="PEX54" s="3078"/>
      <c r="PEY54" s="3078"/>
      <c r="PEZ54" s="3078"/>
      <c r="PFA54" s="3078"/>
      <c r="PFB54" s="3078"/>
      <c r="PFC54" s="3078"/>
      <c r="PFD54" s="3078"/>
      <c r="PFE54" s="3075" t="s">
        <v>55</v>
      </c>
      <c r="PFF54" s="3078"/>
      <c r="PFG54" s="3078"/>
      <c r="PFH54" s="3078"/>
      <c r="PFI54" s="3078"/>
      <c r="PFJ54" s="3078"/>
      <c r="PFK54" s="3078"/>
      <c r="PFL54" s="3078"/>
      <c r="PFM54" s="3075" t="s">
        <v>55</v>
      </c>
      <c r="PFN54" s="3078"/>
      <c r="PFO54" s="3078"/>
      <c r="PFP54" s="3078"/>
      <c r="PFQ54" s="3078"/>
      <c r="PFR54" s="3078"/>
      <c r="PFS54" s="3078"/>
      <c r="PFT54" s="3078"/>
      <c r="PFU54" s="3075" t="s">
        <v>55</v>
      </c>
      <c r="PFV54" s="3078"/>
      <c r="PFW54" s="3078"/>
      <c r="PFX54" s="3078"/>
      <c r="PFY54" s="3078"/>
      <c r="PFZ54" s="3078"/>
      <c r="PGA54" s="3078"/>
      <c r="PGB54" s="3078"/>
      <c r="PGC54" s="3075" t="s">
        <v>55</v>
      </c>
      <c r="PGD54" s="3078"/>
      <c r="PGE54" s="3078"/>
      <c r="PGF54" s="3078"/>
      <c r="PGG54" s="3078"/>
      <c r="PGH54" s="3078"/>
      <c r="PGI54" s="3078"/>
      <c r="PGJ54" s="3078"/>
      <c r="PGK54" s="3075" t="s">
        <v>55</v>
      </c>
      <c r="PGL54" s="3078"/>
      <c r="PGM54" s="3078"/>
      <c r="PGN54" s="3078"/>
      <c r="PGO54" s="3078"/>
      <c r="PGP54" s="3078"/>
      <c r="PGQ54" s="3078"/>
      <c r="PGR54" s="3078"/>
      <c r="PGS54" s="3075" t="s">
        <v>55</v>
      </c>
      <c r="PGT54" s="3078"/>
      <c r="PGU54" s="3078"/>
      <c r="PGV54" s="3078"/>
      <c r="PGW54" s="3078"/>
      <c r="PGX54" s="3078"/>
      <c r="PGY54" s="3078"/>
      <c r="PGZ54" s="3078"/>
      <c r="PHA54" s="3075" t="s">
        <v>55</v>
      </c>
      <c r="PHB54" s="3078"/>
      <c r="PHC54" s="3078"/>
      <c r="PHD54" s="3078"/>
      <c r="PHE54" s="3078"/>
      <c r="PHF54" s="3078"/>
      <c r="PHG54" s="3078"/>
      <c r="PHH54" s="3078"/>
      <c r="PHI54" s="3075" t="s">
        <v>55</v>
      </c>
      <c r="PHJ54" s="3078"/>
      <c r="PHK54" s="3078"/>
      <c r="PHL54" s="3078"/>
      <c r="PHM54" s="3078"/>
      <c r="PHN54" s="3078"/>
      <c r="PHO54" s="3078"/>
      <c r="PHP54" s="3078"/>
      <c r="PHQ54" s="3075" t="s">
        <v>55</v>
      </c>
      <c r="PHR54" s="3078"/>
      <c r="PHS54" s="3078"/>
      <c r="PHT54" s="3078"/>
      <c r="PHU54" s="3078"/>
      <c r="PHV54" s="3078"/>
      <c r="PHW54" s="3078"/>
      <c r="PHX54" s="3078"/>
      <c r="PHY54" s="3075" t="s">
        <v>55</v>
      </c>
      <c r="PHZ54" s="3078"/>
      <c r="PIA54" s="3078"/>
      <c r="PIB54" s="3078"/>
      <c r="PIC54" s="3078"/>
      <c r="PID54" s="3078"/>
      <c r="PIE54" s="3078"/>
      <c r="PIF54" s="3078"/>
      <c r="PIG54" s="3075" t="s">
        <v>55</v>
      </c>
      <c r="PIH54" s="3078"/>
      <c r="PII54" s="3078"/>
      <c r="PIJ54" s="3078"/>
      <c r="PIK54" s="3078"/>
      <c r="PIL54" s="3078"/>
      <c r="PIM54" s="3078"/>
      <c r="PIN54" s="3078"/>
      <c r="PIO54" s="3075" t="s">
        <v>55</v>
      </c>
      <c r="PIP54" s="3078"/>
      <c r="PIQ54" s="3078"/>
      <c r="PIR54" s="3078"/>
      <c r="PIS54" s="3078"/>
      <c r="PIT54" s="3078"/>
      <c r="PIU54" s="3078"/>
      <c r="PIV54" s="3078"/>
      <c r="PIW54" s="3075" t="s">
        <v>55</v>
      </c>
      <c r="PIX54" s="3078"/>
      <c r="PIY54" s="3078"/>
      <c r="PIZ54" s="3078"/>
      <c r="PJA54" s="3078"/>
      <c r="PJB54" s="3078"/>
      <c r="PJC54" s="3078"/>
      <c r="PJD54" s="3078"/>
      <c r="PJE54" s="3075" t="s">
        <v>55</v>
      </c>
      <c r="PJF54" s="3078"/>
      <c r="PJG54" s="3078"/>
      <c r="PJH54" s="3078"/>
      <c r="PJI54" s="3078"/>
      <c r="PJJ54" s="3078"/>
      <c r="PJK54" s="3078"/>
      <c r="PJL54" s="3078"/>
      <c r="PJM54" s="3075" t="s">
        <v>55</v>
      </c>
      <c r="PJN54" s="3078"/>
      <c r="PJO54" s="3078"/>
      <c r="PJP54" s="3078"/>
      <c r="PJQ54" s="3078"/>
      <c r="PJR54" s="3078"/>
      <c r="PJS54" s="3078"/>
      <c r="PJT54" s="3078"/>
      <c r="PJU54" s="3075" t="s">
        <v>55</v>
      </c>
      <c r="PJV54" s="3078"/>
      <c r="PJW54" s="3078"/>
      <c r="PJX54" s="3078"/>
      <c r="PJY54" s="3078"/>
      <c r="PJZ54" s="3078"/>
      <c r="PKA54" s="3078"/>
      <c r="PKB54" s="3078"/>
      <c r="PKC54" s="3075" t="s">
        <v>55</v>
      </c>
      <c r="PKD54" s="3078"/>
      <c r="PKE54" s="3078"/>
      <c r="PKF54" s="3078"/>
      <c r="PKG54" s="3078"/>
      <c r="PKH54" s="3078"/>
      <c r="PKI54" s="3078"/>
      <c r="PKJ54" s="3078"/>
      <c r="PKK54" s="3075" t="s">
        <v>55</v>
      </c>
      <c r="PKL54" s="3078"/>
      <c r="PKM54" s="3078"/>
      <c r="PKN54" s="3078"/>
      <c r="PKO54" s="3078"/>
      <c r="PKP54" s="3078"/>
      <c r="PKQ54" s="3078"/>
      <c r="PKR54" s="3078"/>
      <c r="PKS54" s="3075" t="s">
        <v>55</v>
      </c>
      <c r="PKT54" s="3078"/>
      <c r="PKU54" s="3078"/>
      <c r="PKV54" s="3078"/>
      <c r="PKW54" s="3078"/>
      <c r="PKX54" s="3078"/>
      <c r="PKY54" s="3078"/>
      <c r="PKZ54" s="3078"/>
      <c r="PLA54" s="3075" t="s">
        <v>55</v>
      </c>
      <c r="PLB54" s="3078"/>
      <c r="PLC54" s="3078"/>
      <c r="PLD54" s="3078"/>
      <c r="PLE54" s="3078"/>
      <c r="PLF54" s="3078"/>
      <c r="PLG54" s="3078"/>
      <c r="PLH54" s="3078"/>
      <c r="PLI54" s="3075" t="s">
        <v>55</v>
      </c>
      <c r="PLJ54" s="3078"/>
      <c r="PLK54" s="3078"/>
      <c r="PLL54" s="3078"/>
      <c r="PLM54" s="3078"/>
      <c r="PLN54" s="3078"/>
      <c r="PLO54" s="3078"/>
      <c r="PLP54" s="3078"/>
      <c r="PLQ54" s="3075" t="s">
        <v>55</v>
      </c>
      <c r="PLR54" s="3078"/>
      <c r="PLS54" s="3078"/>
      <c r="PLT54" s="3078"/>
      <c r="PLU54" s="3078"/>
      <c r="PLV54" s="3078"/>
      <c r="PLW54" s="3078"/>
      <c r="PLX54" s="3078"/>
      <c r="PLY54" s="3075" t="s">
        <v>55</v>
      </c>
      <c r="PLZ54" s="3078"/>
      <c r="PMA54" s="3078"/>
      <c r="PMB54" s="3078"/>
      <c r="PMC54" s="3078"/>
      <c r="PMD54" s="3078"/>
      <c r="PME54" s="3078"/>
      <c r="PMF54" s="3078"/>
      <c r="PMG54" s="3075" t="s">
        <v>55</v>
      </c>
      <c r="PMH54" s="3078"/>
      <c r="PMI54" s="3078"/>
      <c r="PMJ54" s="3078"/>
      <c r="PMK54" s="3078"/>
      <c r="PML54" s="3078"/>
      <c r="PMM54" s="3078"/>
      <c r="PMN54" s="3078"/>
      <c r="PMO54" s="3075" t="s">
        <v>55</v>
      </c>
      <c r="PMP54" s="3078"/>
      <c r="PMQ54" s="3078"/>
      <c r="PMR54" s="3078"/>
      <c r="PMS54" s="3078"/>
      <c r="PMT54" s="3078"/>
      <c r="PMU54" s="3078"/>
      <c r="PMV54" s="3078"/>
      <c r="PMW54" s="3075" t="s">
        <v>55</v>
      </c>
      <c r="PMX54" s="3078"/>
      <c r="PMY54" s="3078"/>
      <c r="PMZ54" s="3078"/>
      <c r="PNA54" s="3078"/>
      <c r="PNB54" s="3078"/>
      <c r="PNC54" s="3078"/>
      <c r="PND54" s="3078"/>
      <c r="PNE54" s="3075" t="s">
        <v>55</v>
      </c>
      <c r="PNF54" s="3078"/>
      <c r="PNG54" s="3078"/>
      <c r="PNH54" s="3078"/>
      <c r="PNI54" s="3078"/>
      <c r="PNJ54" s="3078"/>
      <c r="PNK54" s="3078"/>
      <c r="PNL54" s="3078"/>
      <c r="PNM54" s="3075" t="s">
        <v>55</v>
      </c>
      <c r="PNN54" s="3078"/>
      <c r="PNO54" s="3078"/>
      <c r="PNP54" s="3078"/>
      <c r="PNQ54" s="3078"/>
      <c r="PNR54" s="3078"/>
      <c r="PNS54" s="3078"/>
      <c r="PNT54" s="3078"/>
      <c r="PNU54" s="3075" t="s">
        <v>55</v>
      </c>
      <c r="PNV54" s="3078"/>
      <c r="PNW54" s="3078"/>
      <c r="PNX54" s="3078"/>
      <c r="PNY54" s="3078"/>
      <c r="PNZ54" s="3078"/>
      <c r="POA54" s="3078"/>
      <c r="POB54" s="3078"/>
      <c r="POC54" s="3075" t="s">
        <v>55</v>
      </c>
      <c r="POD54" s="3078"/>
      <c r="POE54" s="3078"/>
      <c r="POF54" s="3078"/>
      <c r="POG54" s="3078"/>
      <c r="POH54" s="3078"/>
      <c r="POI54" s="3078"/>
      <c r="POJ54" s="3078"/>
      <c r="POK54" s="3075" t="s">
        <v>55</v>
      </c>
      <c r="POL54" s="3078"/>
      <c r="POM54" s="3078"/>
      <c r="PON54" s="3078"/>
      <c r="POO54" s="3078"/>
      <c r="POP54" s="3078"/>
      <c r="POQ54" s="3078"/>
      <c r="POR54" s="3078"/>
      <c r="POS54" s="3075" t="s">
        <v>55</v>
      </c>
      <c r="POT54" s="3078"/>
      <c r="POU54" s="3078"/>
      <c r="POV54" s="3078"/>
      <c r="POW54" s="3078"/>
      <c r="POX54" s="3078"/>
      <c r="POY54" s="3078"/>
      <c r="POZ54" s="3078"/>
      <c r="PPA54" s="3075" t="s">
        <v>55</v>
      </c>
      <c r="PPB54" s="3078"/>
      <c r="PPC54" s="3078"/>
      <c r="PPD54" s="3078"/>
      <c r="PPE54" s="3078"/>
      <c r="PPF54" s="3078"/>
      <c r="PPG54" s="3078"/>
      <c r="PPH54" s="3078"/>
      <c r="PPI54" s="3075" t="s">
        <v>55</v>
      </c>
      <c r="PPJ54" s="3078"/>
      <c r="PPK54" s="3078"/>
      <c r="PPL54" s="3078"/>
      <c r="PPM54" s="3078"/>
      <c r="PPN54" s="3078"/>
      <c r="PPO54" s="3078"/>
      <c r="PPP54" s="3078"/>
      <c r="PPQ54" s="3075" t="s">
        <v>55</v>
      </c>
      <c r="PPR54" s="3078"/>
      <c r="PPS54" s="3078"/>
      <c r="PPT54" s="3078"/>
      <c r="PPU54" s="3078"/>
      <c r="PPV54" s="3078"/>
      <c r="PPW54" s="3078"/>
      <c r="PPX54" s="3078"/>
      <c r="PPY54" s="3075" t="s">
        <v>55</v>
      </c>
      <c r="PPZ54" s="3078"/>
      <c r="PQA54" s="3078"/>
      <c r="PQB54" s="3078"/>
      <c r="PQC54" s="3078"/>
      <c r="PQD54" s="3078"/>
      <c r="PQE54" s="3078"/>
      <c r="PQF54" s="3078"/>
      <c r="PQG54" s="3075" t="s">
        <v>55</v>
      </c>
      <c r="PQH54" s="3078"/>
      <c r="PQI54" s="3078"/>
      <c r="PQJ54" s="3078"/>
      <c r="PQK54" s="3078"/>
      <c r="PQL54" s="3078"/>
      <c r="PQM54" s="3078"/>
      <c r="PQN54" s="3078"/>
      <c r="PQO54" s="3075" t="s">
        <v>55</v>
      </c>
      <c r="PQP54" s="3078"/>
      <c r="PQQ54" s="3078"/>
      <c r="PQR54" s="3078"/>
      <c r="PQS54" s="3078"/>
      <c r="PQT54" s="3078"/>
      <c r="PQU54" s="3078"/>
      <c r="PQV54" s="3078"/>
      <c r="PQW54" s="3075" t="s">
        <v>55</v>
      </c>
      <c r="PQX54" s="3078"/>
      <c r="PQY54" s="3078"/>
      <c r="PQZ54" s="3078"/>
      <c r="PRA54" s="3078"/>
      <c r="PRB54" s="3078"/>
      <c r="PRC54" s="3078"/>
      <c r="PRD54" s="3078"/>
      <c r="PRE54" s="3075" t="s">
        <v>55</v>
      </c>
      <c r="PRF54" s="3078"/>
      <c r="PRG54" s="3078"/>
      <c r="PRH54" s="3078"/>
      <c r="PRI54" s="3078"/>
      <c r="PRJ54" s="3078"/>
      <c r="PRK54" s="3078"/>
      <c r="PRL54" s="3078"/>
      <c r="PRM54" s="3075" t="s">
        <v>55</v>
      </c>
      <c r="PRN54" s="3078"/>
      <c r="PRO54" s="3078"/>
      <c r="PRP54" s="3078"/>
      <c r="PRQ54" s="3078"/>
      <c r="PRR54" s="3078"/>
      <c r="PRS54" s="3078"/>
      <c r="PRT54" s="3078"/>
      <c r="PRU54" s="3075" t="s">
        <v>55</v>
      </c>
      <c r="PRV54" s="3078"/>
      <c r="PRW54" s="3078"/>
      <c r="PRX54" s="3078"/>
      <c r="PRY54" s="3078"/>
      <c r="PRZ54" s="3078"/>
      <c r="PSA54" s="3078"/>
      <c r="PSB54" s="3078"/>
      <c r="PSC54" s="3075" t="s">
        <v>55</v>
      </c>
      <c r="PSD54" s="3078"/>
      <c r="PSE54" s="3078"/>
      <c r="PSF54" s="3078"/>
      <c r="PSG54" s="3078"/>
      <c r="PSH54" s="3078"/>
      <c r="PSI54" s="3078"/>
      <c r="PSJ54" s="3078"/>
      <c r="PSK54" s="3075" t="s">
        <v>55</v>
      </c>
      <c r="PSL54" s="3078"/>
      <c r="PSM54" s="3078"/>
      <c r="PSN54" s="3078"/>
      <c r="PSO54" s="3078"/>
      <c r="PSP54" s="3078"/>
      <c r="PSQ54" s="3078"/>
      <c r="PSR54" s="3078"/>
      <c r="PSS54" s="3075" t="s">
        <v>55</v>
      </c>
      <c r="PST54" s="3078"/>
      <c r="PSU54" s="3078"/>
      <c r="PSV54" s="3078"/>
      <c r="PSW54" s="3078"/>
      <c r="PSX54" s="3078"/>
      <c r="PSY54" s="3078"/>
      <c r="PSZ54" s="3078"/>
      <c r="PTA54" s="3075" t="s">
        <v>55</v>
      </c>
      <c r="PTB54" s="3078"/>
      <c r="PTC54" s="3078"/>
      <c r="PTD54" s="3078"/>
      <c r="PTE54" s="3078"/>
      <c r="PTF54" s="3078"/>
      <c r="PTG54" s="3078"/>
      <c r="PTH54" s="3078"/>
      <c r="PTI54" s="3075" t="s">
        <v>55</v>
      </c>
      <c r="PTJ54" s="3078"/>
      <c r="PTK54" s="3078"/>
      <c r="PTL54" s="3078"/>
      <c r="PTM54" s="3078"/>
      <c r="PTN54" s="3078"/>
      <c r="PTO54" s="3078"/>
      <c r="PTP54" s="3078"/>
      <c r="PTQ54" s="3075" t="s">
        <v>55</v>
      </c>
      <c r="PTR54" s="3078"/>
      <c r="PTS54" s="3078"/>
      <c r="PTT54" s="3078"/>
      <c r="PTU54" s="3078"/>
      <c r="PTV54" s="3078"/>
      <c r="PTW54" s="3078"/>
      <c r="PTX54" s="3078"/>
      <c r="PTY54" s="3075" t="s">
        <v>55</v>
      </c>
      <c r="PTZ54" s="3078"/>
      <c r="PUA54" s="3078"/>
      <c r="PUB54" s="3078"/>
      <c r="PUC54" s="3078"/>
      <c r="PUD54" s="3078"/>
      <c r="PUE54" s="3078"/>
      <c r="PUF54" s="3078"/>
      <c r="PUG54" s="3075" t="s">
        <v>55</v>
      </c>
      <c r="PUH54" s="3078"/>
      <c r="PUI54" s="3078"/>
      <c r="PUJ54" s="3078"/>
      <c r="PUK54" s="3078"/>
      <c r="PUL54" s="3078"/>
      <c r="PUM54" s="3078"/>
      <c r="PUN54" s="3078"/>
      <c r="PUO54" s="3075" t="s">
        <v>55</v>
      </c>
      <c r="PUP54" s="3078"/>
      <c r="PUQ54" s="3078"/>
      <c r="PUR54" s="3078"/>
      <c r="PUS54" s="3078"/>
      <c r="PUT54" s="3078"/>
      <c r="PUU54" s="3078"/>
      <c r="PUV54" s="3078"/>
      <c r="PUW54" s="3075" t="s">
        <v>55</v>
      </c>
      <c r="PUX54" s="3078"/>
      <c r="PUY54" s="3078"/>
      <c r="PUZ54" s="3078"/>
      <c r="PVA54" s="3078"/>
      <c r="PVB54" s="3078"/>
      <c r="PVC54" s="3078"/>
      <c r="PVD54" s="3078"/>
      <c r="PVE54" s="3075" t="s">
        <v>55</v>
      </c>
      <c r="PVF54" s="3078"/>
      <c r="PVG54" s="3078"/>
      <c r="PVH54" s="3078"/>
      <c r="PVI54" s="3078"/>
      <c r="PVJ54" s="3078"/>
      <c r="PVK54" s="3078"/>
      <c r="PVL54" s="3078"/>
      <c r="PVM54" s="3075" t="s">
        <v>55</v>
      </c>
      <c r="PVN54" s="3078"/>
      <c r="PVO54" s="3078"/>
      <c r="PVP54" s="3078"/>
      <c r="PVQ54" s="3078"/>
      <c r="PVR54" s="3078"/>
      <c r="PVS54" s="3078"/>
      <c r="PVT54" s="3078"/>
      <c r="PVU54" s="3075" t="s">
        <v>55</v>
      </c>
      <c r="PVV54" s="3078"/>
      <c r="PVW54" s="3078"/>
      <c r="PVX54" s="3078"/>
      <c r="PVY54" s="3078"/>
      <c r="PVZ54" s="3078"/>
      <c r="PWA54" s="3078"/>
      <c r="PWB54" s="3078"/>
      <c r="PWC54" s="3075" t="s">
        <v>55</v>
      </c>
      <c r="PWD54" s="3078"/>
      <c r="PWE54" s="3078"/>
      <c r="PWF54" s="3078"/>
      <c r="PWG54" s="3078"/>
      <c r="PWH54" s="3078"/>
      <c r="PWI54" s="3078"/>
      <c r="PWJ54" s="3078"/>
      <c r="PWK54" s="3075" t="s">
        <v>55</v>
      </c>
      <c r="PWL54" s="3078"/>
      <c r="PWM54" s="3078"/>
      <c r="PWN54" s="3078"/>
      <c r="PWO54" s="3078"/>
      <c r="PWP54" s="3078"/>
      <c r="PWQ54" s="3078"/>
      <c r="PWR54" s="3078"/>
      <c r="PWS54" s="3075" t="s">
        <v>55</v>
      </c>
      <c r="PWT54" s="3078"/>
      <c r="PWU54" s="3078"/>
      <c r="PWV54" s="3078"/>
      <c r="PWW54" s="3078"/>
      <c r="PWX54" s="3078"/>
      <c r="PWY54" s="3078"/>
      <c r="PWZ54" s="3078"/>
      <c r="PXA54" s="3075" t="s">
        <v>55</v>
      </c>
      <c r="PXB54" s="3078"/>
      <c r="PXC54" s="3078"/>
      <c r="PXD54" s="3078"/>
      <c r="PXE54" s="3078"/>
      <c r="PXF54" s="3078"/>
      <c r="PXG54" s="3078"/>
      <c r="PXH54" s="3078"/>
      <c r="PXI54" s="3075" t="s">
        <v>55</v>
      </c>
      <c r="PXJ54" s="3078"/>
      <c r="PXK54" s="3078"/>
      <c r="PXL54" s="3078"/>
      <c r="PXM54" s="3078"/>
      <c r="PXN54" s="3078"/>
      <c r="PXO54" s="3078"/>
      <c r="PXP54" s="3078"/>
      <c r="PXQ54" s="3075" t="s">
        <v>55</v>
      </c>
      <c r="PXR54" s="3078"/>
      <c r="PXS54" s="3078"/>
      <c r="PXT54" s="3078"/>
      <c r="PXU54" s="3078"/>
      <c r="PXV54" s="3078"/>
      <c r="PXW54" s="3078"/>
      <c r="PXX54" s="3078"/>
      <c r="PXY54" s="3075" t="s">
        <v>55</v>
      </c>
      <c r="PXZ54" s="3078"/>
      <c r="PYA54" s="3078"/>
      <c r="PYB54" s="3078"/>
      <c r="PYC54" s="3078"/>
      <c r="PYD54" s="3078"/>
      <c r="PYE54" s="3078"/>
      <c r="PYF54" s="3078"/>
      <c r="PYG54" s="3075" t="s">
        <v>55</v>
      </c>
      <c r="PYH54" s="3078"/>
      <c r="PYI54" s="3078"/>
      <c r="PYJ54" s="3078"/>
      <c r="PYK54" s="3078"/>
      <c r="PYL54" s="3078"/>
      <c r="PYM54" s="3078"/>
      <c r="PYN54" s="3078"/>
      <c r="PYO54" s="3075" t="s">
        <v>55</v>
      </c>
      <c r="PYP54" s="3078"/>
      <c r="PYQ54" s="3078"/>
      <c r="PYR54" s="3078"/>
      <c r="PYS54" s="3078"/>
      <c r="PYT54" s="3078"/>
      <c r="PYU54" s="3078"/>
      <c r="PYV54" s="3078"/>
      <c r="PYW54" s="3075" t="s">
        <v>55</v>
      </c>
      <c r="PYX54" s="3078"/>
      <c r="PYY54" s="3078"/>
      <c r="PYZ54" s="3078"/>
      <c r="PZA54" s="3078"/>
      <c r="PZB54" s="3078"/>
      <c r="PZC54" s="3078"/>
      <c r="PZD54" s="3078"/>
      <c r="PZE54" s="3075" t="s">
        <v>55</v>
      </c>
      <c r="PZF54" s="3078"/>
      <c r="PZG54" s="3078"/>
      <c r="PZH54" s="3078"/>
      <c r="PZI54" s="3078"/>
      <c r="PZJ54" s="3078"/>
      <c r="PZK54" s="3078"/>
      <c r="PZL54" s="3078"/>
      <c r="PZM54" s="3075" t="s">
        <v>55</v>
      </c>
      <c r="PZN54" s="3078"/>
      <c r="PZO54" s="3078"/>
      <c r="PZP54" s="3078"/>
      <c r="PZQ54" s="3078"/>
      <c r="PZR54" s="3078"/>
      <c r="PZS54" s="3078"/>
      <c r="PZT54" s="3078"/>
      <c r="PZU54" s="3075" t="s">
        <v>55</v>
      </c>
      <c r="PZV54" s="3078"/>
      <c r="PZW54" s="3078"/>
      <c r="PZX54" s="3078"/>
      <c r="PZY54" s="3078"/>
      <c r="PZZ54" s="3078"/>
      <c r="QAA54" s="3078"/>
      <c r="QAB54" s="3078"/>
      <c r="QAC54" s="3075" t="s">
        <v>55</v>
      </c>
      <c r="QAD54" s="3078"/>
      <c r="QAE54" s="3078"/>
      <c r="QAF54" s="3078"/>
      <c r="QAG54" s="3078"/>
      <c r="QAH54" s="3078"/>
      <c r="QAI54" s="3078"/>
      <c r="QAJ54" s="3078"/>
      <c r="QAK54" s="3075" t="s">
        <v>55</v>
      </c>
      <c r="QAL54" s="3078"/>
      <c r="QAM54" s="3078"/>
      <c r="QAN54" s="3078"/>
      <c r="QAO54" s="3078"/>
      <c r="QAP54" s="3078"/>
      <c r="QAQ54" s="3078"/>
      <c r="QAR54" s="3078"/>
      <c r="QAS54" s="3075" t="s">
        <v>55</v>
      </c>
      <c r="QAT54" s="3078"/>
      <c r="QAU54" s="3078"/>
      <c r="QAV54" s="3078"/>
      <c r="QAW54" s="3078"/>
      <c r="QAX54" s="3078"/>
      <c r="QAY54" s="3078"/>
      <c r="QAZ54" s="3078"/>
      <c r="QBA54" s="3075" t="s">
        <v>55</v>
      </c>
      <c r="QBB54" s="3078"/>
      <c r="QBC54" s="3078"/>
      <c r="QBD54" s="3078"/>
      <c r="QBE54" s="3078"/>
      <c r="QBF54" s="3078"/>
      <c r="QBG54" s="3078"/>
      <c r="QBH54" s="3078"/>
      <c r="QBI54" s="3075" t="s">
        <v>55</v>
      </c>
      <c r="QBJ54" s="3078"/>
      <c r="QBK54" s="3078"/>
      <c r="QBL54" s="3078"/>
      <c r="QBM54" s="3078"/>
      <c r="QBN54" s="3078"/>
      <c r="QBO54" s="3078"/>
      <c r="QBP54" s="3078"/>
      <c r="QBQ54" s="3075" t="s">
        <v>55</v>
      </c>
      <c r="QBR54" s="3078"/>
      <c r="QBS54" s="3078"/>
      <c r="QBT54" s="3078"/>
      <c r="QBU54" s="3078"/>
      <c r="QBV54" s="3078"/>
      <c r="QBW54" s="3078"/>
      <c r="QBX54" s="3078"/>
      <c r="QBY54" s="3075" t="s">
        <v>55</v>
      </c>
      <c r="QBZ54" s="3078"/>
      <c r="QCA54" s="3078"/>
      <c r="QCB54" s="3078"/>
      <c r="QCC54" s="3078"/>
      <c r="QCD54" s="3078"/>
      <c r="QCE54" s="3078"/>
      <c r="QCF54" s="3078"/>
      <c r="QCG54" s="3075" t="s">
        <v>55</v>
      </c>
      <c r="QCH54" s="3078"/>
      <c r="QCI54" s="3078"/>
      <c r="QCJ54" s="3078"/>
      <c r="QCK54" s="3078"/>
      <c r="QCL54" s="3078"/>
      <c r="QCM54" s="3078"/>
      <c r="QCN54" s="3078"/>
      <c r="QCO54" s="3075" t="s">
        <v>55</v>
      </c>
      <c r="QCP54" s="3078"/>
      <c r="QCQ54" s="3078"/>
      <c r="QCR54" s="3078"/>
      <c r="QCS54" s="3078"/>
      <c r="QCT54" s="3078"/>
      <c r="QCU54" s="3078"/>
      <c r="QCV54" s="3078"/>
      <c r="QCW54" s="3075" t="s">
        <v>55</v>
      </c>
      <c r="QCX54" s="3078"/>
      <c r="QCY54" s="3078"/>
      <c r="QCZ54" s="3078"/>
      <c r="QDA54" s="3078"/>
      <c r="QDB54" s="3078"/>
      <c r="QDC54" s="3078"/>
      <c r="QDD54" s="3078"/>
      <c r="QDE54" s="3075" t="s">
        <v>55</v>
      </c>
      <c r="QDF54" s="3078"/>
      <c r="QDG54" s="3078"/>
      <c r="QDH54" s="3078"/>
      <c r="QDI54" s="3078"/>
      <c r="QDJ54" s="3078"/>
      <c r="QDK54" s="3078"/>
      <c r="QDL54" s="3078"/>
      <c r="QDM54" s="3075" t="s">
        <v>55</v>
      </c>
      <c r="QDN54" s="3078"/>
      <c r="QDO54" s="3078"/>
      <c r="QDP54" s="3078"/>
      <c r="QDQ54" s="3078"/>
      <c r="QDR54" s="3078"/>
      <c r="QDS54" s="3078"/>
      <c r="QDT54" s="3078"/>
      <c r="QDU54" s="3075" t="s">
        <v>55</v>
      </c>
      <c r="QDV54" s="3078"/>
      <c r="QDW54" s="3078"/>
      <c r="QDX54" s="3078"/>
      <c r="QDY54" s="3078"/>
      <c r="QDZ54" s="3078"/>
      <c r="QEA54" s="3078"/>
      <c r="QEB54" s="3078"/>
      <c r="QEC54" s="3075" t="s">
        <v>55</v>
      </c>
      <c r="QED54" s="3078"/>
      <c r="QEE54" s="3078"/>
      <c r="QEF54" s="3078"/>
      <c r="QEG54" s="3078"/>
      <c r="QEH54" s="3078"/>
      <c r="QEI54" s="3078"/>
      <c r="QEJ54" s="3078"/>
      <c r="QEK54" s="3075" t="s">
        <v>55</v>
      </c>
      <c r="QEL54" s="3078"/>
      <c r="QEM54" s="3078"/>
      <c r="QEN54" s="3078"/>
      <c r="QEO54" s="3078"/>
      <c r="QEP54" s="3078"/>
      <c r="QEQ54" s="3078"/>
      <c r="QER54" s="3078"/>
      <c r="QES54" s="3075" t="s">
        <v>55</v>
      </c>
      <c r="QET54" s="3078"/>
      <c r="QEU54" s="3078"/>
      <c r="QEV54" s="3078"/>
      <c r="QEW54" s="3078"/>
      <c r="QEX54" s="3078"/>
      <c r="QEY54" s="3078"/>
      <c r="QEZ54" s="3078"/>
      <c r="QFA54" s="3075" t="s">
        <v>55</v>
      </c>
      <c r="QFB54" s="3078"/>
      <c r="QFC54" s="3078"/>
      <c r="QFD54" s="3078"/>
      <c r="QFE54" s="3078"/>
      <c r="QFF54" s="3078"/>
      <c r="QFG54" s="3078"/>
      <c r="QFH54" s="3078"/>
      <c r="QFI54" s="3075" t="s">
        <v>55</v>
      </c>
      <c r="QFJ54" s="3078"/>
      <c r="QFK54" s="3078"/>
      <c r="QFL54" s="3078"/>
      <c r="QFM54" s="3078"/>
      <c r="QFN54" s="3078"/>
      <c r="QFO54" s="3078"/>
      <c r="QFP54" s="3078"/>
      <c r="QFQ54" s="3075" t="s">
        <v>55</v>
      </c>
      <c r="QFR54" s="3078"/>
      <c r="QFS54" s="3078"/>
      <c r="QFT54" s="3078"/>
      <c r="QFU54" s="3078"/>
      <c r="QFV54" s="3078"/>
      <c r="QFW54" s="3078"/>
      <c r="QFX54" s="3078"/>
      <c r="QFY54" s="3075" t="s">
        <v>55</v>
      </c>
      <c r="QFZ54" s="3078"/>
      <c r="QGA54" s="3078"/>
      <c r="QGB54" s="3078"/>
      <c r="QGC54" s="3078"/>
      <c r="QGD54" s="3078"/>
      <c r="QGE54" s="3078"/>
      <c r="QGF54" s="3078"/>
      <c r="QGG54" s="3075" t="s">
        <v>55</v>
      </c>
      <c r="QGH54" s="3078"/>
      <c r="QGI54" s="3078"/>
      <c r="QGJ54" s="3078"/>
      <c r="QGK54" s="3078"/>
      <c r="QGL54" s="3078"/>
      <c r="QGM54" s="3078"/>
      <c r="QGN54" s="3078"/>
      <c r="QGO54" s="3075" t="s">
        <v>55</v>
      </c>
      <c r="QGP54" s="3078"/>
      <c r="QGQ54" s="3078"/>
      <c r="QGR54" s="3078"/>
      <c r="QGS54" s="3078"/>
      <c r="QGT54" s="3078"/>
      <c r="QGU54" s="3078"/>
      <c r="QGV54" s="3078"/>
      <c r="QGW54" s="3075" t="s">
        <v>55</v>
      </c>
      <c r="QGX54" s="3078"/>
      <c r="QGY54" s="3078"/>
      <c r="QGZ54" s="3078"/>
      <c r="QHA54" s="3078"/>
      <c r="QHB54" s="3078"/>
      <c r="QHC54" s="3078"/>
      <c r="QHD54" s="3078"/>
      <c r="QHE54" s="3075" t="s">
        <v>55</v>
      </c>
      <c r="QHF54" s="3078"/>
      <c r="QHG54" s="3078"/>
      <c r="QHH54" s="3078"/>
      <c r="QHI54" s="3078"/>
      <c r="QHJ54" s="3078"/>
      <c r="QHK54" s="3078"/>
      <c r="QHL54" s="3078"/>
      <c r="QHM54" s="3075" t="s">
        <v>55</v>
      </c>
      <c r="QHN54" s="3078"/>
      <c r="QHO54" s="3078"/>
      <c r="QHP54" s="3078"/>
      <c r="QHQ54" s="3078"/>
      <c r="QHR54" s="3078"/>
      <c r="QHS54" s="3078"/>
      <c r="QHT54" s="3078"/>
      <c r="QHU54" s="3075" t="s">
        <v>55</v>
      </c>
      <c r="QHV54" s="3078"/>
      <c r="QHW54" s="3078"/>
      <c r="QHX54" s="3078"/>
      <c r="QHY54" s="3078"/>
      <c r="QHZ54" s="3078"/>
      <c r="QIA54" s="3078"/>
      <c r="QIB54" s="3078"/>
      <c r="QIC54" s="3075" t="s">
        <v>55</v>
      </c>
      <c r="QID54" s="3078"/>
      <c r="QIE54" s="3078"/>
      <c r="QIF54" s="3078"/>
      <c r="QIG54" s="3078"/>
      <c r="QIH54" s="3078"/>
      <c r="QII54" s="3078"/>
      <c r="QIJ54" s="3078"/>
      <c r="QIK54" s="3075" t="s">
        <v>55</v>
      </c>
      <c r="QIL54" s="3078"/>
      <c r="QIM54" s="3078"/>
      <c r="QIN54" s="3078"/>
      <c r="QIO54" s="3078"/>
      <c r="QIP54" s="3078"/>
      <c r="QIQ54" s="3078"/>
      <c r="QIR54" s="3078"/>
      <c r="QIS54" s="3075" t="s">
        <v>55</v>
      </c>
      <c r="QIT54" s="3078"/>
      <c r="QIU54" s="3078"/>
      <c r="QIV54" s="3078"/>
      <c r="QIW54" s="3078"/>
      <c r="QIX54" s="3078"/>
      <c r="QIY54" s="3078"/>
      <c r="QIZ54" s="3078"/>
      <c r="QJA54" s="3075" t="s">
        <v>55</v>
      </c>
      <c r="QJB54" s="3078"/>
      <c r="QJC54" s="3078"/>
      <c r="QJD54" s="3078"/>
      <c r="QJE54" s="3078"/>
      <c r="QJF54" s="3078"/>
      <c r="QJG54" s="3078"/>
      <c r="QJH54" s="3078"/>
      <c r="QJI54" s="3075" t="s">
        <v>55</v>
      </c>
      <c r="QJJ54" s="3078"/>
      <c r="QJK54" s="3078"/>
      <c r="QJL54" s="3078"/>
      <c r="QJM54" s="3078"/>
      <c r="QJN54" s="3078"/>
      <c r="QJO54" s="3078"/>
      <c r="QJP54" s="3078"/>
      <c r="QJQ54" s="3075" t="s">
        <v>55</v>
      </c>
      <c r="QJR54" s="3078"/>
      <c r="QJS54" s="3078"/>
      <c r="QJT54" s="3078"/>
      <c r="QJU54" s="3078"/>
      <c r="QJV54" s="3078"/>
      <c r="QJW54" s="3078"/>
      <c r="QJX54" s="3078"/>
      <c r="QJY54" s="3075" t="s">
        <v>55</v>
      </c>
      <c r="QJZ54" s="3078"/>
      <c r="QKA54" s="3078"/>
      <c r="QKB54" s="3078"/>
      <c r="QKC54" s="3078"/>
      <c r="QKD54" s="3078"/>
      <c r="QKE54" s="3078"/>
      <c r="QKF54" s="3078"/>
      <c r="QKG54" s="3075" t="s">
        <v>55</v>
      </c>
      <c r="QKH54" s="3078"/>
      <c r="QKI54" s="3078"/>
      <c r="QKJ54" s="3078"/>
      <c r="QKK54" s="3078"/>
      <c r="QKL54" s="3078"/>
      <c r="QKM54" s="3078"/>
      <c r="QKN54" s="3078"/>
      <c r="QKO54" s="3075" t="s">
        <v>55</v>
      </c>
      <c r="QKP54" s="3078"/>
      <c r="QKQ54" s="3078"/>
      <c r="QKR54" s="3078"/>
      <c r="QKS54" s="3078"/>
      <c r="QKT54" s="3078"/>
      <c r="QKU54" s="3078"/>
      <c r="QKV54" s="3078"/>
      <c r="QKW54" s="3075" t="s">
        <v>55</v>
      </c>
      <c r="QKX54" s="3078"/>
      <c r="QKY54" s="3078"/>
      <c r="QKZ54" s="3078"/>
      <c r="QLA54" s="3078"/>
      <c r="QLB54" s="3078"/>
      <c r="QLC54" s="3078"/>
      <c r="QLD54" s="3078"/>
      <c r="QLE54" s="3075" t="s">
        <v>55</v>
      </c>
      <c r="QLF54" s="3078"/>
      <c r="QLG54" s="3078"/>
      <c r="QLH54" s="3078"/>
      <c r="QLI54" s="3078"/>
      <c r="QLJ54" s="3078"/>
      <c r="QLK54" s="3078"/>
      <c r="QLL54" s="3078"/>
      <c r="QLM54" s="3075" t="s">
        <v>55</v>
      </c>
      <c r="QLN54" s="3078"/>
      <c r="QLO54" s="3078"/>
      <c r="QLP54" s="3078"/>
      <c r="QLQ54" s="3078"/>
      <c r="QLR54" s="3078"/>
      <c r="QLS54" s="3078"/>
      <c r="QLT54" s="3078"/>
      <c r="QLU54" s="3075" t="s">
        <v>55</v>
      </c>
      <c r="QLV54" s="3078"/>
      <c r="QLW54" s="3078"/>
      <c r="QLX54" s="3078"/>
      <c r="QLY54" s="3078"/>
      <c r="QLZ54" s="3078"/>
      <c r="QMA54" s="3078"/>
      <c r="QMB54" s="3078"/>
      <c r="QMC54" s="3075" t="s">
        <v>55</v>
      </c>
      <c r="QMD54" s="3078"/>
      <c r="QME54" s="3078"/>
      <c r="QMF54" s="3078"/>
      <c r="QMG54" s="3078"/>
      <c r="QMH54" s="3078"/>
      <c r="QMI54" s="3078"/>
      <c r="QMJ54" s="3078"/>
      <c r="QMK54" s="3075" t="s">
        <v>55</v>
      </c>
      <c r="QML54" s="3078"/>
      <c r="QMM54" s="3078"/>
      <c r="QMN54" s="3078"/>
      <c r="QMO54" s="3078"/>
      <c r="QMP54" s="3078"/>
      <c r="QMQ54" s="3078"/>
      <c r="QMR54" s="3078"/>
      <c r="QMS54" s="3075" t="s">
        <v>55</v>
      </c>
      <c r="QMT54" s="3078"/>
      <c r="QMU54" s="3078"/>
      <c r="QMV54" s="3078"/>
      <c r="QMW54" s="3078"/>
      <c r="QMX54" s="3078"/>
      <c r="QMY54" s="3078"/>
      <c r="QMZ54" s="3078"/>
      <c r="QNA54" s="3075" t="s">
        <v>55</v>
      </c>
      <c r="QNB54" s="3078"/>
      <c r="QNC54" s="3078"/>
      <c r="QND54" s="3078"/>
      <c r="QNE54" s="3078"/>
      <c r="QNF54" s="3078"/>
      <c r="QNG54" s="3078"/>
      <c r="QNH54" s="3078"/>
      <c r="QNI54" s="3075" t="s">
        <v>55</v>
      </c>
      <c r="QNJ54" s="3078"/>
      <c r="QNK54" s="3078"/>
      <c r="QNL54" s="3078"/>
      <c r="QNM54" s="3078"/>
      <c r="QNN54" s="3078"/>
      <c r="QNO54" s="3078"/>
      <c r="QNP54" s="3078"/>
      <c r="QNQ54" s="3075" t="s">
        <v>55</v>
      </c>
      <c r="QNR54" s="3078"/>
      <c r="QNS54" s="3078"/>
      <c r="QNT54" s="3078"/>
      <c r="QNU54" s="3078"/>
      <c r="QNV54" s="3078"/>
      <c r="QNW54" s="3078"/>
      <c r="QNX54" s="3078"/>
      <c r="QNY54" s="3075" t="s">
        <v>55</v>
      </c>
      <c r="QNZ54" s="3078"/>
      <c r="QOA54" s="3078"/>
      <c r="QOB54" s="3078"/>
      <c r="QOC54" s="3078"/>
      <c r="QOD54" s="3078"/>
      <c r="QOE54" s="3078"/>
      <c r="QOF54" s="3078"/>
      <c r="QOG54" s="3075" t="s">
        <v>55</v>
      </c>
      <c r="QOH54" s="3078"/>
      <c r="QOI54" s="3078"/>
      <c r="QOJ54" s="3078"/>
      <c r="QOK54" s="3078"/>
      <c r="QOL54" s="3078"/>
      <c r="QOM54" s="3078"/>
      <c r="QON54" s="3078"/>
      <c r="QOO54" s="3075" t="s">
        <v>55</v>
      </c>
      <c r="QOP54" s="3078"/>
      <c r="QOQ54" s="3078"/>
      <c r="QOR54" s="3078"/>
      <c r="QOS54" s="3078"/>
      <c r="QOT54" s="3078"/>
      <c r="QOU54" s="3078"/>
      <c r="QOV54" s="3078"/>
      <c r="QOW54" s="3075" t="s">
        <v>55</v>
      </c>
      <c r="QOX54" s="3078"/>
      <c r="QOY54" s="3078"/>
      <c r="QOZ54" s="3078"/>
      <c r="QPA54" s="3078"/>
      <c r="QPB54" s="3078"/>
      <c r="QPC54" s="3078"/>
      <c r="QPD54" s="3078"/>
      <c r="QPE54" s="3075" t="s">
        <v>55</v>
      </c>
      <c r="QPF54" s="3078"/>
      <c r="QPG54" s="3078"/>
      <c r="QPH54" s="3078"/>
      <c r="QPI54" s="3078"/>
      <c r="QPJ54" s="3078"/>
      <c r="QPK54" s="3078"/>
      <c r="QPL54" s="3078"/>
      <c r="QPM54" s="3075" t="s">
        <v>55</v>
      </c>
      <c r="QPN54" s="3078"/>
      <c r="QPO54" s="3078"/>
      <c r="QPP54" s="3078"/>
      <c r="QPQ54" s="3078"/>
      <c r="QPR54" s="3078"/>
      <c r="QPS54" s="3078"/>
      <c r="QPT54" s="3078"/>
      <c r="QPU54" s="3075" t="s">
        <v>55</v>
      </c>
      <c r="QPV54" s="3078"/>
      <c r="QPW54" s="3078"/>
      <c r="QPX54" s="3078"/>
      <c r="QPY54" s="3078"/>
      <c r="QPZ54" s="3078"/>
      <c r="QQA54" s="3078"/>
      <c r="QQB54" s="3078"/>
      <c r="QQC54" s="3075" t="s">
        <v>55</v>
      </c>
      <c r="QQD54" s="3078"/>
      <c r="QQE54" s="3078"/>
      <c r="QQF54" s="3078"/>
      <c r="QQG54" s="3078"/>
      <c r="QQH54" s="3078"/>
      <c r="QQI54" s="3078"/>
      <c r="QQJ54" s="3078"/>
      <c r="QQK54" s="3075" t="s">
        <v>55</v>
      </c>
      <c r="QQL54" s="3078"/>
      <c r="QQM54" s="3078"/>
      <c r="QQN54" s="3078"/>
      <c r="QQO54" s="3078"/>
      <c r="QQP54" s="3078"/>
      <c r="QQQ54" s="3078"/>
      <c r="QQR54" s="3078"/>
      <c r="QQS54" s="3075" t="s">
        <v>55</v>
      </c>
      <c r="QQT54" s="3078"/>
      <c r="QQU54" s="3078"/>
      <c r="QQV54" s="3078"/>
      <c r="QQW54" s="3078"/>
      <c r="QQX54" s="3078"/>
      <c r="QQY54" s="3078"/>
      <c r="QQZ54" s="3078"/>
      <c r="QRA54" s="3075" t="s">
        <v>55</v>
      </c>
      <c r="QRB54" s="3078"/>
      <c r="QRC54" s="3078"/>
      <c r="QRD54" s="3078"/>
      <c r="QRE54" s="3078"/>
      <c r="QRF54" s="3078"/>
      <c r="QRG54" s="3078"/>
      <c r="QRH54" s="3078"/>
      <c r="QRI54" s="3075" t="s">
        <v>55</v>
      </c>
      <c r="QRJ54" s="3078"/>
      <c r="QRK54" s="3078"/>
      <c r="QRL54" s="3078"/>
      <c r="QRM54" s="3078"/>
      <c r="QRN54" s="3078"/>
      <c r="QRO54" s="3078"/>
      <c r="QRP54" s="3078"/>
      <c r="QRQ54" s="3075" t="s">
        <v>55</v>
      </c>
      <c r="QRR54" s="3078"/>
      <c r="QRS54" s="3078"/>
      <c r="QRT54" s="3078"/>
      <c r="QRU54" s="3078"/>
      <c r="QRV54" s="3078"/>
      <c r="QRW54" s="3078"/>
      <c r="QRX54" s="3078"/>
      <c r="QRY54" s="3075" t="s">
        <v>55</v>
      </c>
      <c r="QRZ54" s="3078"/>
      <c r="QSA54" s="3078"/>
      <c r="QSB54" s="3078"/>
      <c r="QSC54" s="3078"/>
      <c r="QSD54" s="3078"/>
      <c r="QSE54" s="3078"/>
      <c r="QSF54" s="3078"/>
      <c r="QSG54" s="3075" t="s">
        <v>55</v>
      </c>
      <c r="QSH54" s="3078"/>
      <c r="QSI54" s="3078"/>
      <c r="QSJ54" s="3078"/>
      <c r="QSK54" s="3078"/>
      <c r="QSL54" s="3078"/>
      <c r="QSM54" s="3078"/>
      <c r="QSN54" s="3078"/>
      <c r="QSO54" s="3075" t="s">
        <v>55</v>
      </c>
      <c r="QSP54" s="3078"/>
      <c r="QSQ54" s="3078"/>
      <c r="QSR54" s="3078"/>
      <c r="QSS54" s="3078"/>
      <c r="QST54" s="3078"/>
      <c r="QSU54" s="3078"/>
      <c r="QSV54" s="3078"/>
      <c r="QSW54" s="3075" t="s">
        <v>55</v>
      </c>
      <c r="QSX54" s="3078"/>
      <c r="QSY54" s="3078"/>
      <c r="QSZ54" s="3078"/>
      <c r="QTA54" s="3078"/>
      <c r="QTB54" s="3078"/>
      <c r="QTC54" s="3078"/>
      <c r="QTD54" s="3078"/>
      <c r="QTE54" s="3075" t="s">
        <v>55</v>
      </c>
      <c r="QTF54" s="3078"/>
      <c r="QTG54" s="3078"/>
      <c r="QTH54" s="3078"/>
      <c r="QTI54" s="3078"/>
      <c r="QTJ54" s="3078"/>
      <c r="QTK54" s="3078"/>
      <c r="QTL54" s="3078"/>
      <c r="QTM54" s="3075" t="s">
        <v>55</v>
      </c>
      <c r="QTN54" s="3078"/>
      <c r="QTO54" s="3078"/>
      <c r="QTP54" s="3078"/>
      <c r="QTQ54" s="3078"/>
      <c r="QTR54" s="3078"/>
      <c r="QTS54" s="3078"/>
      <c r="QTT54" s="3078"/>
      <c r="QTU54" s="3075" t="s">
        <v>55</v>
      </c>
      <c r="QTV54" s="3078"/>
      <c r="QTW54" s="3078"/>
      <c r="QTX54" s="3078"/>
      <c r="QTY54" s="3078"/>
      <c r="QTZ54" s="3078"/>
      <c r="QUA54" s="3078"/>
      <c r="QUB54" s="3078"/>
      <c r="QUC54" s="3075" t="s">
        <v>55</v>
      </c>
      <c r="QUD54" s="3078"/>
      <c r="QUE54" s="3078"/>
      <c r="QUF54" s="3078"/>
      <c r="QUG54" s="3078"/>
      <c r="QUH54" s="3078"/>
      <c r="QUI54" s="3078"/>
      <c r="QUJ54" s="3078"/>
      <c r="QUK54" s="3075" t="s">
        <v>55</v>
      </c>
      <c r="QUL54" s="3078"/>
      <c r="QUM54" s="3078"/>
      <c r="QUN54" s="3078"/>
      <c r="QUO54" s="3078"/>
      <c r="QUP54" s="3078"/>
      <c r="QUQ54" s="3078"/>
      <c r="QUR54" s="3078"/>
      <c r="QUS54" s="3075" t="s">
        <v>55</v>
      </c>
      <c r="QUT54" s="3078"/>
      <c r="QUU54" s="3078"/>
      <c r="QUV54" s="3078"/>
      <c r="QUW54" s="3078"/>
      <c r="QUX54" s="3078"/>
      <c r="QUY54" s="3078"/>
      <c r="QUZ54" s="3078"/>
      <c r="QVA54" s="3075" t="s">
        <v>55</v>
      </c>
      <c r="QVB54" s="3078"/>
      <c r="QVC54" s="3078"/>
      <c r="QVD54" s="3078"/>
      <c r="QVE54" s="3078"/>
      <c r="QVF54" s="3078"/>
      <c r="QVG54" s="3078"/>
      <c r="QVH54" s="3078"/>
      <c r="QVI54" s="3075" t="s">
        <v>55</v>
      </c>
      <c r="QVJ54" s="3078"/>
      <c r="QVK54" s="3078"/>
      <c r="QVL54" s="3078"/>
      <c r="QVM54" s="3078"/>
      <c r="QVN54" s="3078"/>
      <c r="QVO54" s="3078"/>
      <c r="QVP54" s="3078"/>
      <c r="QVQ54" s="3075" t="s">
        <v>55</v>
      </c>
      <c r="QVR54" s="3078"/>
      <c r="QVS54" s="3078"/>
      <c r="QVT54" s="3078"/>
      <c r="QVU54" s="3078"/>
      <c r="QVV54" s="3078"/>
      <c r="QVW54" s="3078"/>
      <c r="QVX54" s="3078"/>
      <c r="QVY54" s="3075" t="s">
        <v>55</v>
      </c>
      <c r="QVZ54" s="3078"/>
      <c r="QWA54" s="3078"/>
      <c r="QWB54" s="3078"/>
      <c r="QWC54" s="3078"/>
      <c r="QWD54" s="3078"/>
      <c r="QWE54" s="3078"/>
      <c r="QWF54" s="3078"/>
      <c r="QWG54" s="3075" t="s">
        <v>55</v>
      </c>
      <c r="QWH54" s="3078"/>
      <c r="QWI54" s="3078"/>
      <c r="QWJ54" s="3078"/>
      <c r="QWK54" s="3078"/>
      <c r="QWL54" s="3078"/>
      <c r="QWM54" s="3078"/>
      <c r="QWN54" s="3078"/>
      <c r="QWO54" s="3075" t="s">
        <v>55</v>
      </c>
      <c r="QWP54" s="3078"/>
      <c r="QWQ54" s="3078"/>
      <c r="QWR54" s="3078"/>
      <c r="QWS54" s="3078"/>
      <c r="QWT54" s="3078"/>
      <c r="QWU54" s="3078"/>
      <c r="QWV54" s="3078"/>
      <c r="QWW54" s="3075" t="s">
        <v>55</v>
      </c>
      <c r="QWX54" s="3078"/>
      <c r="QWY54" s="3078"/>
      <c r="QWZ54" s="3078"/>
      <c r="QXA54" s="3078"/>
      <c r="QXB54" s="3078"/>
      <c r="QXC54" s="3078"/>
      <c r="QXD54" s="3078"/>
      <c r="QXE54" s="3075" t="s">
        <v>55</v>
      </c>
      <c r="QXF54" s="3078"/>
      <c r="QXG54" s="3078"/>
      <c r="QXH54" s="3078"/>
      <c r="QXI54" s="3078"/>
      <c r="QXJ54" s="3078"/>
      <c r="QXK54" s="3078"/>
      <c r="QXL54" s="3078"/>
      <c r="QXM54" s="3075" t="s">
        <v>55</v>
      </c>
      <c r="QXN54" s="3078"/>
      <c r="QXO54" s="3078"/>
      <c r="QXP54" s="3078"/>
      <c r="QXQ54" s="3078"/>
      <c r="QXR54" s="3078"/>
      <c r="QXS54" s="3078"/>
      <c r="QXT54" s="3078"/>
      <c r="QXU54" s="3075" t="s">
        <v>55</v>
      </c>
      <c r="QXV54" s="3078"/>
      <c r="QXW54" s="3078"/>
      <c r="QXX54" s="3078"/>
      <c r="QXY54" s="3078"/>
      <c r="QXZ54" s="3078"/>
      <c r="QYA54" s="3078"/>
      <c r="QYB54" s="3078"/>
      <c r="QYC54" s="3075" t="s">
        <v>55</v>
      </c>
      <c r="QYD54" s="3078"/>
      <c r="QYE54" s="3078"/>
      <c r="QYF54" s="3078"/>
      <c r="QYG54" s="3078"/>
      <c r="QYH54" s="3078"/>
      <c r="QYI54" s="3078"/>
      <c r="QYJ54" s="3078"/>
      <c r="QYK54" s="3075" t="s">
        <v>55</v>
      </c>
      <c r="QYL54" s="3078"/>
      <c r="QYM54" s="3078"/>
      <c r="QYN54" s="3078"/>
      <c r="QYO54" s="3078"/>
      <c r="QYP54" s="3078"/>
      <c r="QYQ54" s="3078"/>
      <c r="QYR54" s="3078"/>
      <c r="QYS54" s="3075" t="s">
        <v>55</v>
      </c>
      <c r="QYT54" s="3078"/>
      <c r="QYU54" s="3078"/>
      <c r="QYV54" s="3078"/>
      <c r="QYW54" s="3078"/>
      <c r="QYX54" s="3078"/>
      <c r="QYY54" s="3078"/>
      <c r="QYZ54" s="3078"/>
      <c r="QZA54" s="3075" t="s">
        <v>55</v>
      </c>
      <c r="QZB54" s="3078"/>
      <c r="QZC54" s="3078"/>
      <c r="QZD54" s="3078"/>
      <c r="QZE54" s="3078"/>
      <c r="QZF54" s="3078"/>
      <c r="QZG54" s="3078"/>
      <c r="QZH54" s="3078"/>
      <c r="QZI54" s="3075" t="s">
        <v>55</v>
      </c>
      <c r="QZJ54" s="3078"/>
      <c r="QZK54" s="3078"/>
      <c r="QZL54" s="3078"/>
      <c r="QZM54" s="3078"/>
      <c r="QZN54" s="3078"/>
      <c r="QZO54" s="3078"/>
      <c r="QZP54" s="3078"/>
      <c r="QZQ54" s="3075" t="s">
        <v>55</v>
      </c>
      <c r="QZR54" s="3078"/>
      <c r="QZS54" s="3078"/>
      <c r="QZT54" s="3078"/>
      <c r="QZU54" s="3078"/>
      <c r="QZV54" s="3078"/>
      <c r="QZW54" s="3078"/>
      <c r="QZX54" s="3078"/>
      <c r="QZY54" s="3075" t="s">
        <v>55</v>
      </c>
      <c r="QZZ54" s="3078"/>
      <c r="RAA54" s="3078"/>
      <c r="RAB54" s="3078"/>
      <c r="RAC54" s="3078"/>
      <c r="RAD54" s="3078"/>
      <c r="RAE54" s="3078"/>
      <c r="RAF54" s="3078"/>
      <c r="RAG54" s="3075" t="s">
        <v>55</v>
      </c>
      <c r="RAH54" s="3078"/>
      <c r="RAI54" s="3078"/>
      <c r="RAJ54" s="3078"/>
      <c r="RAK54" s="3078"/>
      <c r="RAL54" s="3078"/>
      <c r="RAM54" s="3078"/>
      <c r="RAN54" s="3078"/>
      <c r="RAO54" s="3075" t="s">
        <v>55</v>
      </c>
      <c r="RAP54" s="3078"/>
      <c r="RAQ54" s="3078"/>
      <c r="RAR54" s="3078"/>
      <c r="RAS54" s="3078"/>
      <c r="RAT54" s="3078"/>
      <c r="RAU54" s="3078"/>
      <c r="RAV54" s="3078"/>
      <c r="RAW54" s="3075" t="s">
        <v>55</v>
      </c>
      <c r="RAX54" s="3078"/>
      <c r="RAY54" s="3078"/>
      <c r="RAZ54" s="3078"/>
      <c r="RBA54" s="3078"/>
      <c r="RBB54" s="3078"/>
      <c r="RBC54" s="3078"/>
      <c r="RBD54" s="3078"/>
      <c r="RBE54" s="3075" t="s">
        <v>55</v>
      </c>
      <c r="RBF54" s="3078"/>
      <c r="RBG54" s="3078"/>
      <c r="RBH54" s="3078"/>
      <c r="RBI54" s="3078"/>
      <c r="RBJ54" s="3078"/>
      <c r="RBK54" s="3078"/>
      <c r="RBL54" s="3078"/>
      <c r="RBM54" s="3075" t="s">
        <v>55</v>
      </c>
      <c r="RBN54" s="3078"/>
      <c r="RBO54" s="3078"/>
      <c r="RBP54" s="3078"/>
      <c r="RBQ54" s="3078"/>
      <c r="RBR54" s="3078"/>
      <c r="RBS54" s="3078"/>
      <c r="RBT54" s="3078"/>
      <c r="RBU54" s="3075" t="s">
        <v>55</v>
      </c>
      <c r="RBV54" s="3078"/>
      <c r="RBW54" s="3078"/>
      <c r="RBX54" s="3078"/>
      <c r="RBY54" s="3078"/>
      <c r="RBZ54" s="3078"/>
      <c r="RCA54" s="3078"/>
      <c r="RCB54" s="3078"/>
      <c r="RCC54" s="3075" t="s">
        <v>55</v>
      </c>
      <c r="RCD54" s="3078"/>
      <c r="RCE54" s="3078"/>
      <c r="RCF54" s="3078"/>
      <c r="RCG54" s="3078"/>
      <c r="RCH54" s="3078"/>
      <c r="RCI54" s="3078"/>
      <c r="RCJ54" s="3078"/>
      <c r="RCK54" s="3075" t="s">
        <v>55</v>
      </c>
      <c r="RCL54" s="3078"/>
      <c r="RCM54" s="3078"/>
      <c r="RCN54" s="3078"/>
      <c r="RCO54" s="3078"/>
      <c r="RCP54" s="3078"/>
      <c r="RCQ54" s="3078"/>
      <c r="RCR54" s="3078"/>
      <c r="RCS54" s="3075" t="s">
        <v>55</v>
      </c>
      <c r="RCT54" s="3078"/>
      <c r="RCU54" s="3078"/>
      <c r="RCV54" s="3078"/>
      <c r="RCW54" s="3078"/>
      <c r="RCX54" s="3078"/>
      <c r="RCY54" s="3078"/>
      <c r="RCZ54" s="3078"/>
      <c r="RDA54" s="3075" t="s">
        <v>55</v>
      </c>
      <c r="RDB54" s="3078"/>
      <c r="RDC54" s="3078"/>
      <c r="RDD54" s="3078"/>
      <c r="RDE54" s="3078"/>
      <c r="RDF54" s="3078"/>
      <c r="RDG54" s="3078"/>
      <c r="RDH54" s="3078"/>
      <c r="RDI54" s="3075" t="s">
        <v>55</v>
      </c>
      <c r="RDJ54" s="3078"/>
      <c r="RDK54" s="3078"/>
      <c r="RDL54" s="3078"/>
      <c r="RDM54" s="3078"/>
      <c r="RDN54" s="3078"/>
      <c r="RDO54" s="3078"/>
      <c r="RDP54" s="3078"/>
      <c r="RDQ54" s="3075" t="s">
        <v>55</v>
      </c>
      <c r="RDR54" s="3078"/>
      <c r="RDS54" s="3078"/>
      <c r="RDT54" s="3078"/>
      <c r="RDU54" s="3078"/>
      <c r="RDV54" s="3078"/>
      <c r="RDW54" s="3078"/>
      <c r="RDX54" s="3078"/>
      <c r="RDY54" s="3075" t="s">
        <v>55</v>
      </c>
      <c r="RDZ54" s="3078"/>
      <c r="REA54" s="3078"/>
      <c r="REB54" s="3078"/>
      <c r="REC54" s="3078"/>
      <c r="RED54" s="3078"/>
      <c r="REE54" s="3078"/>
      <c r="REF54" s="3078"/>
      <c r="REG54" s="3075" t="s">
        <v>55</v>
      </c>
      <c r="REH54" s="3078"/>
      <c r="REI54" s="3078"/>
      <c r="REJ54" s="3078"/>
      <c r="REK54" s="3078"/>
      <c r="REL54" s="3078"/>
      <c r="REM54" s="3078"/>
      <c r="REN54" s="3078"/>
      <c r="REO54" s="3075" t="s">
        <v>55</v>
      </c>
      <c r="REP54" s="3078"/>
      <c r="REQ54" s="3078"/>
      <c r="RER54" s="3078"/>
      <c r="RES54" s="3078"/>
      <c r="RET54" s="3078"/>
      <c r="REU54" s="3078"/>
      <c r="REV54" s="3078"/>
      <c r="REW54" s="3075" t="s">
        <v>55</v>
      </c>
      <c r="REX54" s="3078"/>
      <c r="REY54" s="3078"/>
      <c r="REZ54" s="3078"/>
      <c r="RFA54" s="3078"/>
      <c r="RFB54" s="3078"/>
      <c r="RFC54" s="3078"/>
      <c r="RFD54" s="3078"/>
      <c r="RFE54" s="3075" t="s">
        <v>55</v>
      </c>
      <c r="RFF54" s="3078"/>
      <c r="RFG54" s="3078"/>
      <c r="RFH54" s="3078"/>
      <c r="RFI54" s="3078"/>
      <c r="RFJ54" s="3078"/>
      <c r="RFK54" s="3078"/>
      <c r="RFL54" s="3078"/>
      <c r="RFM54" s="3075" t="s">
        <v>55</v>
      </c>
      <c r="RFN54" s="3078"/>
      <c r="RFO54" s="3078"/>
      <c r="RFP54" s="3078"/>
      <c r="RFQ54" s="3078"/>
      <c r="RFR54" s="3078"/>
      <c r="RFS54" s="3078"/>
      <c r="RFT54" s="3078"/>
      <c r="RFU54" s="3075" t="s">
        <v>55</v>
      </c>
      <c r="RFV54" s="3078"/>
      <c r="RFW54" s="3078"/>
      <c r="RFX54" s="3078"/>
      <c r="RFY54" s="3078"/>
      <c r="RFZ54" s="3078"/>
      <c r="RGA54" s="3078"/>
      <c r="RGB54" s="3078"/>
      <c r="RGC54" s="3075" t="s">
        <v>55</v>
      </c>
      <c r="RGD54" s="3078"/>
      <c r="RGE54" s="3078"/>
      <c r="RGF54" s="3078"/>
      <c r="RGG54" s="3078"/>
      <c r="RGH54" s="3078"/>
      <c r="RGI54" s="3078"/>
      <c r="RGJ54" s="3078"/>
      <c r="RGK54" s="3075" t="s">
        <v>55</v>
      </c>
      <c r="RGL54" s="3078"/>
      <c r="RGM54" s="3078"/>
      <c r="RGN54" s="3078"/>
      <c r="RGO54" s="3078"/>
      <c r="RGP54" s="3078"/>
      <c r="RGQ54" s="3078"/>
      <c r="RGR54" s="3078"/>
      <c r="RGS54" s="3075" t="s">
        <v>55</v>
      </c>
      <c r="RGT54" s="3078"/>
      <c r="RGU54" s="3078"/>
      <c r="RGV54" s="3078"/>
      <c r="RGW54" s="3078"/>
      <c r="RGX54" s="3078"/>
      <c r="RGY54" s="3078"/>
      <c r="RGZ54" s="3078"/>
      <c r="RHA54" s="3075" t="s">
        <v>55</v>
      </c>
      <c r="RHB54" s="3078"/>
      <c r="RHC54" s="3078"/>
      <c r="RHD54" s="3078"/>
      <c r="RHE54" s="3078"/>
      <c r="RHF54" s="3078"/>
      <c r="RHG54" s="3078"/>
      <c r="RHH54" s="3078"/>
      <c r="RHI54" s="3075" t="s">
        <v>55</v>
      </c>
      <c r="RHJ54" s="3078"/>
      <c r="RHK54" s="3078"/>
      <c r="RHL54" s="3078"/>
      <c r="RHM54" s="3078"/>
      <c r="RHN54" s="3078"/>
      <c r="RHO54" s="3078"/>
      <c r="RHP54" s="3078"/>
      <c r="RHQ54" s="3075" t="s">
        <v>55</v>
      </c>
      <c r="RHR54" s="3078"/>
      <c r="RHS54" s="3078"/>
      <c r="RHT54" s="3078"/>
      <c r="RHU54" s="3078"/>
      <c r="RHV54" s="3078"/>
      <c r="RHW54" s="3078"/>
      <c r="RHX54" s="3078"/>
      <c r="RHY54" s="3075" t="s">
        <v>55</v>
      </c>
      <c r="RHZ54" s="3078"/>
      <c r="RIA54" s="3078"/>
      <c r="RIB54" s="3078"/>
      <c r="RIC54" s="3078"/>
      <c r="RID54" s="3078"/>
      <c r="RIE54" s="3078"/>
      <c r="RIF54" s="3078"/>
      <c r="RIG54" s="3075" t="s">
        <v>55</v>
      </c>
      <c r="RIH54" s="3078"/>
      <c r="RII54" s="3078"/>
      <c r="RIJ54" s="3078"/>
      <c r="RIK54" s="3078"/>
      <c r="RIL54" s="3078"/>
      <c r="RIM54" s="3078"/>
      <c r="RIN54" s="3078"/>
      <c r="RIO54" s="3075" t="s">
        <v>55</v>
      </c>
      <c r="RIP54" s="3078"/>
      <c r="RIQ54" s="3078"/>
      <c r="RIR54" s="3078"/>
      <c r="RIS54" s="3078"/>
      <c r="RIT54" s="3078"/>
      <c r="RIU54" s="3078"/>
      <c r="RIV54" s="3078"/>
      <c r="RIW54" s="3075" t="s">
        <v>55</v>
      </c>
      <c r="RIX54" s="3078"/>
      <c r="RIY54" s="3078"/>
      <c r="RIZ54" s="3078"/>
      <c r="RJA54" s="3078"/>
      <c r="RJB54" s="3078"/>
      <c r="RJC54" s="3078"/>
      <c r="RJD54" s="3078"/>
      <c r="RJE54" s="3075" t="s">
        <v>55</v>
      </c>
      <c r="RJF54" s="3078"/>
      <c r="RJG54" s="3078"/>
      <c r="RJH54" s="3078"/>
      <c r="RJI54" s="3078"/>
      <c r="RJJ54" s="3078"/>
      <c r="RJK54" s="3078"/>
      <c r="RJL54" s="3078"/>
      <c r="RJM54" s="3075" t="s">
        <v>55</v>
      </c>
      <c r="RJN54" s="3078"/>
      <c r="RJO54" s="3078"/>
      <c r="RJP54" s="3078"/>
      <c r="RJQ54" s="3078"/>
      <c r="RJR54" s="3078"/>
      <c r="RJS54" s="3078"/>
      <c r="RJT54" s="3078"/>
      <c r="RJU54" s="3075" t="s">
        <v>55</v>
      </c>
      <c r="RJV54" s="3078"/>
      <c r="RJW54" s="3078"/>
      <c r="RJX54" s="3078"/>
      <c r="RJY54" s="3078"/>
      <c r="RJZ54" s="3078"/>
      <c r="RKA54" s="3078"/>
      <c r="RKB54" s="3078"/>
      <c r="RKC54" s="3075" t="s">
        <v>55</v>
      </c>
      <c r="RKD54" s="3078"/>
      <c r="RKE54" s="3078"/>
      <c r="RKF54" s="3078"/>
      <c r="RKG54" s="3078"/>
      <c r="RKH54" s="3078"/>
      <c r="RKI54" s="3078"/>
      <c r="RKJ54" s="3078"/>
      <c r="RKK54" s="3075" t="s">
        <v>55</v>
      </c>
      <c r="RKL54" s="3078"/>
      <c r="RKM54" s="3078"/>
      <c r="RKN54" s="3078"/>
      <c r="RKO54" s="3078"/>
      <c r="RKP54" s="3078"/>
      <c r="RKQ54" s="3078"/>
      <c r="RKR54" s="3078"/>
      <c r="RKS54" s="3075" t="s">
        <v>55</v>
      </c>
      <c r="RKT54" s="3078"/>
      <c r="RKU54" s="3078"/>
      <c r="RKV54" s="3078"/>
      <c r="RKW54" s="3078"/>
      <c r="RKX54" s="3078"/>
      <c r="RKY54" s="3078"/>
      <c r="RKZ54" s="3078"/>
      <c r="RLA54" s="3075" t="s">
        <v>55</v>
      </c>
      <c r="RLB54" s="3078"/>
      <c r="RLC54" s="3078"/>
      <c r="RLD54" s="3078"/>
      <c r="RLE54" s="3078"/>
      <c r="RLF54" s="3078"/>
      <c r="RLG54" s="3078"/>
      <c r="RLH54" s="3078"/>
      <c r="RLI54" s="3075" t="s">
        <v>55</v>
      </c>
      <c r="RLJ54" s="3078"/>
      <c r="RLK54" s="3078"/>
      <c r="RLL54" s="3078"/>
      <c r="RLM54" s="3078"/>
      <c r="RLN54" s="3078"/>
      <c r="RLO54" s="3078"/>
      <c r="RLP54" s="3078"/>
      <c r="RLQ54" s="3075" t="s">
        <v>55</v>
      </c>
      <c r="RLR54" s="3078"/>
      <c r="RLS54" s="3078"/>
      <c r="RLT54" s="3078"/>
      <c r="RLU54" s="3078"/>
      <c r="RLV54" s="3078"/>
      <c r="RLW54" s="3078"/>
      <c r="RLX54" s="3078"/>
      <c r="RLY54" s="3075" t="s">
        <v>55</v>
      </c>
      <c r="RLZ54" s="3078"/>
      <c r="RMA54" s="3078"/>
      <c r="RMB54" s="3078"/>
      <c r="RMC54" s="3078"/>
      <c r="RMD54" s="3078"/>
      <c r="RME54" s="3078"/>
      <c r="RMF54" s="3078"/>
      <c r="RMG54" s="3075" t="s">
        <v>55</v>
      </c>
      <c r="RMH54" s="3078"/>
      <c r="RMI54" s="3078"/>
      <c r="RMJ54" s="3078"/>
      <c r="RMK54" s="3078"/>
      <c r="RML54" s="3078"/>
      <c r="RMM54" s="3078"/>
      <c r="RMN54" s="3078"/>
      <c r="RMO54" s="3075" t="s">
        <v>55</v>
      </c>
      <c r="RMP54" s="3078"/>
      <c r="RMQ54" s="3078"/>
      <c r="RMR54" s="3078"/>
      <c r="RMS54" s="3078"/>
      <c r="RMT54" s="3078"/>
      <c r="RMU54" s="3078"/>
      <c r="RMV54" s="3078"/>
      <c r="RMW54" s="3075" t="s">
        <v>55</v>
      </c>
      <c r="RMX54" s="3078"/>
      <c r="RMY54" s="3078"/>
      <c r="RMZ54" s="3078"/>
      <c r="RNA54" s="3078"/>
      <c r="RNB54" s="3078"/>
      <c r="RNC54" s="3078"/>
      <c r="RND54" s="3078"/>
      <c r="RNE54" s="3075" t="s">
        <v>55</v>
      </c>
      <c r="RNF54" s="3078"/>
      <c r="RNG54" s="3078"/>
      <c r="RNH54" s="3078"/>
      <c r="RNI54" s="3078"/>
      <c r="RNJ54" s="3078"/>
      <c r="RNK54" s="3078"/>
      <c r="RNL54" s="3078"/>
      <c r="RNM54" s="3075" t="s">
        <v>55</v>
      </c>
      <c r="RNN54" s="3078"/>
      <c r="RNO54" s="3078"/>
      <c r="RNP54" s="3078"/>
      <c r="RNQ54" s="3078"/>
      <c r="RNR54" s="3078"/>
      <c r="RNS54" s="3078"/>
      <c r="RNT54" s="3078"/>
      <c r="RNU54" s="3075" t="s">
        <v>55</v>
      </c>
      <c r="RNV54" s="3078"/>
      <c r="RNW54" s="3078"/>
      <c r="RNX54" s="3078"/>
      <c r="RNY54" s="3078"/>
      <c r="RNZ54" s="3078"/>
      <c r="ROA54" s="3078"/>
      <c r="ROB54" s="3078"/>
      <c r="ROC54" s="3075" t="s">
        <v>55</v>
      </c>
      <c r="ROD54" s="3078"/>
      <c r="ROE54" s="3078"/>
      <c r="ROF54" s="3078"/>
      <c r="ROG54" s="3078"/>
      <c r="ROH54" s="3078"/>
      <c r="ROI54" s="3078"/>
      <c r="ROJ54" s="3078"/>
      <c r="ROK54" s="3075" t="s">
        <v>55</v>
      </c>
      <c r="ROL54" s="3078"/>
      <c r="ROM54" s="3078"/>
      <c r="RON54" s="3078"/>
      <c r="ROO54" s="3078"/>
      <c r="ROP54" s="3078"/>
      <c r="ROQ54" s="3078"/>
      <c r="ROR54" s="3078"/>
      <c r="ROS54" s="3075" t="s">
        <v>55</v>
      </c>
      <c r="ROT54" s="3078"/>
      <c r="ROU54" s="3078"/>
      <c r="ROV54" s="3078"/>
      <c r="ROW54" s="3078"/>
      <c r="ROX54" s="3078"/>
      <c r="ROY54" s="3078"/>
      <c r="ROZ54" s="3078"/>
      <c r="RPA54" s="3075" t="s">
        <v>55</v>
      </c>
      <c r="RPB54" s="3078"/>
      <c r="RPC54" s="3078"/>
      <c r="RPD54" s="3078"/>
      <c r="RPE54" s="3078"/>
      <c r="RPF54" s="3078"/>
      <c r="RPG54" s="3078"/>
      <c r="RPH54" s="3078"/>
      <c r="RPI54" s="3075" t="s">
        <v>55</v>
      </c>
      <c r="RPJ54" s="3078"/>
      <c r="RPK54" s="3078"/>
      <c r="RPL54" s="3078"/>
      <c r="RPM54" s="3078"/>
      <c r="RPN54" s="3078"/>
      <c r="RPO54" s="3078"/>
      <c r="RPP54" s="3078"/>
      <c r="RPQ54" s="3075" t="s">
        <v>55</v>
      </c>
      <c r="RPR54" s="3078"/>
      <c r="RPS54" s="3078"/>
      <c r="RPT54" s="3078"/>
      <c r="RPU54" s="3078"/>
      <c r="RPV54" s="3078"/>
      <c r="RPW54" s="3078"/>
      <c r="RPX54" s="3078"/>
      <c r="RPY54" s="3075" t="s">
        <v>55</v>
      </c>
      <c r="RPZ54" s="3078"/>
      <c r="RQA54" s="3078"/>
      <c r="RQB54" s="3078"/>
      <c r="RQC54" s="3078"/>
      <c r="RQD54" s="3078"/>
      <c r="RQE54" s="3078"/>
      <c r="RQF54" s="3078"/>
      <c r="RQG54" s="3075" t="s">
        <v>55</v>
      </c>
      <c r="RQH54" s="3078"/>
      <c r="RQI54" s="3078"/>
      <c r="RQJ54" s="3078"/>
      <c r="RQK54" s="3078"/>
      <c r="RQL54" s="3078"/>
      <c r="RQM54" s="3078"/>
      <c r="RQN54" s="3078"/>
      <c r="RQO54" s="3075" t="s">
        <v>55</v>
      </c>
      <c r="RQP54" s="3078"/>
      <c r="RQQ54" s="3078"/>
      <c r="RQR54" s="3078"/>
      <c r="RQS54" s="3078"/>
      <c r="RQT54" s="3078"/>
      <c r="RQU54" s="3078"/>
      <c r="RQV54" s="3078"/>
      <c r="RQW54" s="3075" t="s">
        <v>55</v>
      </c>
      <c r="RQX54" s="3078"/>
      <c r="RQY54" s="3078"/>
      <c r="RQZ54" s="3078"/>
      <c r="RRA54" s="3078"/>
      <c r="RRB54" s="3078"/>
      <c r="RRC54" s="3078"/>
      <c r="RRD54" s="3078"/>
      <c r="RRE54" s="3075" t="s">
        <v>55</v>
      </c>
      <c r="RRF54" s="3078"/>
      <c r="RRG54" s="3078"/>
      <c r="RRH54" s="3078"/>
      <c r="RRI54" s="3078"/>
      <c r="RRJ54" s="3078"/>
      <c r="RRK54" s="3078"/>
      <c r="RRL54" s="3078"/>
      <c r="RRM54" s="3075" t="s">
        <v>55</v>
      </c>
      <c r="RRN54" s="3078"/>
      <c r="RRO54" s="3078"/>
      <c r="RRP54" s="3078"/>
      <c r="RRQ54" s="3078"/>
      <c r="RRR54" s="3078"/>
      <c r="RRS54" s="3078"/>
      <c r="RRT54" s="3078"/>
      <c r="RRU54" s="3075" t="s">
        <v>55</v>
      </c>
      <c r="RRV54" s="3078"/>
      <c r="RRW54" s="3078"/>
      <c r="RRX54" s="3078"/>
      <c r="RRY54" s="3078"/>
      <c r="RRZ54" s="3078"/>
      <c r="RSA54" s="3078"/>
      <c r="RSB54" s="3078"/>
      <c r="RSC54" s="3075" t="s">
        <v>55</v>
      </c>
      <c r="RSD54" s="3078"/>
      <c r="RSE54" s="3078"/>
      <c r="RSF54" s="3078"/>
      <c r="RSG54" s="3078"/>
      <c r="RSH54" s="3078"/>
      <c r="RSI54" s="3078"/>
      <c r="RSJ54" s="3078"/>
      <c r="RSK54" s="3075" t="s">
        <v>55</v>
      </c>
      <c r="RSL54" s="3078"/>
      <c r="RSM54" s="3078"/>
      <c r="RSN54" s="3078"/>
      <c r="RSO54" s="3078"/>
      <c r="RSP54" s="3078"/>
      <c r="RSQ54" s="3078"/>
      <c r="RSR54" s="3078"/>
      <c r="RSS54" s="3075" t="s">
        <v>55</v>
      </c>
      <c r="RST54" s="3078"/>
      <c r="RSU54" s="3078"/>
      <c r="RSV54" s="3078"/>
      <c r="RSW54" s="3078"/>
      <c r="RSX54" s="3078"/>
      <c r="RSY54" s="3078"/>
      <c r="RSZ54" s="3078"/>
      <c r="RTA54" s="3075" t="s">
        <v>55</v>
      </c>
      <c r="RTB54" s="3078"/>
      <c r="RTC54" s="3078"/>
      <c r="RTD54" s="3078"/>
      <c r="RTE54" s="3078"/>
      <c r="RTF54" s="3078"/>
      <c r="RTG54" s="3078"/>
      <c r="RTH54" s="3078"/>
      <c r="RTI54" s="3075" t="s">
        <v>55</v>
      </c>
      <c r="RTJ54" s="3078"/>
      <c r="RTK54" s="3078"/>
      <c r="RTL54" s="3078"/>
      <c r="RTM54" s="3078"/>
      <c r="RTN54" s="3078"/>
      <c r="RTO54" s="3078"/>
      <c r="RTP54" s="3078"/>
      <c r="RTQ54" s="3075" t="s">
        <v>55</v>
      </c>
      <c r="RTR54" s="3078"/>
      <c r="RTS54" s="3078"/>
      <c r="RTT54" s="3078"/>
      <c r="RTU54" s="3078"/>
      <c r="RTV54" s="3078"/>
      <c r="RTW54" s="3078"/>
      <c r="RTX54" s="3078"/>
      <c r="RTY54" s="3075" t="s">
        <v>55</v>
      </c>
      <c r="RTZ54" s="3078"/>
      <c r="RUA54" s="3078"/>
      <c r="RUB54" s="3078"/>
      <c r="RUC54" s="3078"/>
      <c r="RUD54" s="3078"/>
      <c r="RUE54" s="3078"/>
      <c r="RUF54" s="3078"/>
      <c r="RUG54" s="3075" t="s">
        <v>55</v>
      </c>
      <c r="RUH54" s="3078"/>
      <c r="RUI54" s="3078"/>
      <c r="RUJ54" s="3078"/>
      <c r="RUK54" s="3078"/>
      <c r="RUL54" s="3078"/>
      <c r="RUM54" s="3078"/>
      <c r="RUN54" s="3078"/>
      <c r="RUO54" s="3075" t="s">
        <v>55</v>
      </c>
      <c r="RUP54" s="3078"/>
      <c r="RUQ54" s="3078"/>
      <c r="RUR54" s="3078"/>
      <c r="RUS54" s="3078"/>
      <c r="RUT54" s="3078"/>
      <c r="RUU54" s="3078"/>
      <c r="RUV54" s="3078"/>
      <c r="RUW54" s="3075" t="s">
        <v>55</v>
      </c>
      <c r="RUX54" s="3078"/>
      <c r="RUY54" s="3078"/>
      <c r="RUZ54" s="3078"/>
      <c r="RVA54" s="3078"/>
      <c r="RVB54" s="3078"/>
      <c r="RVC54" s="3078"/>
      <c r="RVD54" s="3078"/>
      <c r="RVE54" s="3075" t="s">
        <v>55</v>
      </c>
      <c r="RVF54" s="3078"/>
      <c r="RVG54" s="3078"/>
      <c r="RVH54" s="3078"/>
      <c r="RVI54" s="3078"/>
      <c r="RVJ54" s="3078"/>
      <c r="RVK54" s="3078"/>
      <c r="RVL54" s="3078"/>
      <c r="RVM54" s="3075" t="s">
        <v>55</v>
      </c>
      <c r="RVN54" s="3078"/>
      <c r="RVO54" s="3078"/>
      <c r="RVP54" s="3078"/>
      <c r="RVQ54" s="3078"/>
      <c r="RVR54" s="3078"/>
      <c r="RVS54" s="3078"/>
      <c r="RVT54" s="3078"/>
      <c r="RVU54" s="3075" t="s">
        <v>55</v>
      </c>
      <c r="RVV54" s="3078"/>
      <c r="RVW54" s="3078"/>
      <c r="RVX54" s="3078"/>
      <c r="RVY54" s="3078"/>
      <c r="RVZ54" s="3078"/>
      <c r="RWA54" s="3078"/>
      <c r="RWB54" s="3078"/>
      <c r="RWC54" s="3075" t="s">
        <v>55</v>
      </c>
      <c r="RWD54" s="3078"/>
      <c r="RWE54" s="3078"/>
      <c r="RWF54" s="3078"/>
      <c r="RWG54" s="3078"/>
      <c r="RWH54" s="3078"/>
      <c r="RWI54" s="3078"/>
      <c r="RWJ54" s="3078"/>
      <c r="RWK54" s="3075" t="s">
        <v>55</v>
      </c>
      <c r="RWL54" s="3078"/>
      <c r="RWM54" s="3078"/>
      <c r="RWN54" s="3078"/>
      <c r="RWO54" s="3078"/>
      <c r="RWP54" s="3078"/>
      <c r="RWQ54" s="3078"/>
      <c r="RWR54" s="3078"/>
      <c r="RWS54" s="3075" t="s">
        <v>55</v>
      </c>
      <c r="RWT54" s="3078"/>
      <c r="RWU54" s="3078"/>
      <c r="RWV54" s="3078"/>
      <c r="RWW54" s="3078"/>
      <c r="RWX54" s="3078"/>
      <c r="RWY54" s="3078"/>
      <c r="RWZ54" s="3078"/>
      <c r="RXA54" s="3075" t="s">
        <v>55</v>
      </c>
      <c r="RXB54" s="3078"/>
      <c r="RXC54" s="3078"/>
      <c r="RXD54" s="3078"/>
      <c r="RXE54" s="3078"/>
      <c r="RXF54" s="3078"/>
      <c r="RXG54" s="3078"/>
      <c r="RXH54" s="3078"/>
      <c r="RXI54" s="3075" t="s">
        <v>55</v>
      </c>
      <c r="RXJ54" s="3078"/>
      <c r="RXK54" s="3078"/>
      <c r="RXL54" s="3078"/>
      <c r="RXM54" s="3078"/>
      <c r="RXN54" s="3078"/>
      <c r="RXO54" s="3078"/>
      <c r="RXP54" s="3078"/>
      <c r="RXQ54" s="3075" t="s">
        <v>55</v>
      </c>
      <c r="RXR54" s="3078"/>
      <c r="RXS54" s="3078"/>
      <c r="RXT54" s="3078"/>
      <c r="RXU54" s="3078"/>
      <c r="RXV54" s="3078"/>
      <c r="RXW54" s="3078"/>
      <c r="RXX54" s="3078"/>
      <c r="RXY54" s="3075" t="s">
        <v>55</v>
      </c>
      <c r="RXZ54" s="3078"/>
      <c r="RYA54" s="3078"/>
      <c r="RYB54" s="3078"/>
      <c r="RYC54" s="3078"/>
      <c r="RYD54" s="3078"/>
      <c r="RYE54" s="3078"/>
      <c r="RYF54" s="3078"/>
      <c r="RYG54" s="3075" t="s">
        <v>55</v>
      </c>
      <c r="RYH54" s="3078"/>
      <c r="RYI54" s="3078"/>
      <c r="RYJ54" s="3078"/>
      <c r="RYK54" s="3078"/>
      <c r="RYL54" s="3078"/>
      <c r="RYM54" s="3078"/>
      <c r="RYN54" s="3078"/>
      <c r="RYO54" s="3075" t="s">
        <v>55</v>
      </c>
      <c r="RYP54" s="3078"/>
      <c r="RYQ54" s="3078"/>
      <c r="RYR54" s="3078"/>
      <c r="RYS54" s="3078"/>
      <c r="RYT54" s="3078"/>
      <c r="RYU54" s="3078"/>
      <c r="RYV54" s="3078"/>
      <c r="RYW54" s="3075" t="s">
        <v>55</v>
      </c>
      <c r="RYX54" s="3078"/>
      <c r="RYY54" s="3078"/>
      <c r="RYZ54" s="3078"/>
      <c r="RZA54" s="3078"/>
      <c r="RZB54" s="3078"/>
      <c r="RZC54" s="3078"/>
      <c r="RZD54" s="3078"/>
      <c r="RZE54" s="3075" t="s">
        <v>55</v>
      </c>
      <c r="RZF54" s="3078"/>
      <c r="RZG54" s="3078"/>
      <c r="RZH54" s="3078"/>
      <c r="RZI54" s="3078"/>
      <c r="RZJ54" s="3078"/>
      <c r="RZK54" s="3078"/>
      <c r="RZL54" s="3078"/>
      <c r="RZM54" s="3075" t="s">
        <v>55</v>
      </c>
      <c r="RZN54" s="3078"/>
      <c r="RZO54" s="3078"/>
      <c r="RZP54" s="3078"/>
      <c r="RZQ54" s="3078"/>
      <c r="RZR54" s="3078"/>
      <c r="RZS54" s="3078"/>
      <c r="RZT54" s="3078"/>
      <c r="RZU54" s="3075" t="s">
        <v>55</v>
      </c>
      <c r="RZV54" s="3078"/>
      <c r="RZW54" s="3078"/>
      <c r="RZX54" s="3078"/>
      <c r="RZY54" s="3078"/>
      <c r="RZZ54" s="3078"/>
      <c r="SAA54" s="3078"/>
      <c r="SAB54" s="3078"/>
      <c r="SAC54" s="3075" t="s">
        <v>55</v>
      </c>
      <c r="SAD54" s="3078"/>
      <c r="SAE54" s="3078"/>
      <c r="SAF54" s="3078"/>
      <c r="SAG54" s="3078"/>
      <c r="SAH54" s="3078"/>
      <c r="SAI54" s="3078"/>
      <c r="SAJ54" s="3078"/>
      <c r="SAK54" s="3075" t="s">
        <v>55</v>
      </c>
      <c r="SAL54" s="3078"/>
      <c r="SAM54" s="3078"/>
      <c r="SAN54" s="3078"/>
      <c r="SAO54" s="3078"/>
      <c r="SAP54" s="3078"/>
      <c r="SAQ54" s="3078"/>
      <c r="SAR54" s="3078"/>
      <c r="SAS54" s="3075" t="s">
        <v>55</v>
      </c>
      <c r="SAT54" s="3078"/>
      <c r="SAU54" s="3078"/>
      <c r="SAV54" s="3078"/>
      <c r="SAW54" s="3078"/>
      <c r="SAX54" s="3078"/>
      <c r="SAY54" s="3078"/>
      <c r="SAZ54" s="3078"/>
      <c r="SBA54" s="3075" t="s">
        <v>55</v>
      </c>
      <c r="SBB54" s="3078"/>
      <c r="SBC54" s="3078"/>
      <c r="SBD54" s="3078"/>
      <c r="SBE54" s="3078"/>
      <c r="SBF54" s="3078"/>
      <c r="SBG54" s="3078"/>
      <c r="SBH54" s="3078"/>
      <c r="SBI54" s="3075" t="s">
        <v>55</v>
      </c>
      <c r="SBJ54" s="3078"/>
      <c r="SBK54" s="3078"/>
      <c r="SBL54" s="3078"/>
      <c r="SBM54" s="3078"/>
      <c r="SBN54" s="3078"/>
      <c r="SBO54" s="3078"/>
      <c r="SBP54" s="3078"/>
      <c r="SBQ54" s="3075" t="s">
        <v>55</v>
      </c>
      <c r="SBR54" s="3078"/>
      <c r="SBS54" s="3078"/>
      <c r="SBT54" s="3078"/>
      <c r="SBU54" s="3078"/>
      <c r="SBV54" s="3078"/>
      <c r="SBW54" s="3078"/>
      <c r="SBX54" s="3078"/>
      <c r="SBY54" s="3075" t="s">
        <v>55</v>
      </c>
      <c r="SBZ54" s="3078"/>
      <c r="SCA54" s="3078"/>
      <c r="SCB54" s="3078"/>
      <c r="SCC54" s="3078"/>
      <c r="SCD54" s="3078"/>
      <c r="SCE54" s="3078"/>
      <c r="SCF54" s="3078"/>
      <c r="SCG54" s="3075" t="s">
        <v>55</v>
      </c>
      <c r="SCH54" s="3078"/>
      <c r="SCI54" s="3078"/>
      <c r="SCJ54" s="3078"/>
      <c r="SCK54" s="3078"/>
      <c r="SCL54" s="3078"/>
      <c r="SCM54" s="3078"/>
      <c r="SCN54" s="3078"/>
      <c r="SCO54" s="3075" t="s">
        <v>55</v>
      </c>
      <c r="SCP54" s="3078"/>
      <c r="SCQ54" s="3078"/>
      <c r="SCR54" s="3078"/>
      <c r="SCS54" s="3078"/>
      <c r="SCT54" s="3078"/>
      <c r="SCU54" s="3078"/>
      <c r="SCV54" s="3078"/>
      <c r="SCW54" s="3075" t="s">
        <v>55</v>
      </c>
      <c r="SCX54" s="3078"/>
      <c r="SCY54" s="3078"/>
      <c r="SCZ54" s="3078"/>
      <c r="SDA54" s="3078"/>
      <c r="SDB54" s="3078"/>
      <c r="SDC54" s="3078"/>
      <c r="SDD54" s="3078"/>
      <c r="SDE54" s="3075" t="s">
        <v>55</v>
      </c>
      <c r="SDF54" s="3078"/>
      <c r="SDG54" s="3078"/>
      <c r="SDH54" s="3078"/>
      <c r="SDI54" s="3078"/>
      <c r="SDJ54" s="3078"/>
      <c r="SDK54" s="3078"/>
      <c r="SDL54" s="3078"/>
      <c r="SDM54" s="3075" t="s">
        <v>55</v>
      </c>
      <c r="SDN54" s="3078"/>
      <c r="SDO54" s="3078"/>
      <c r="SDP54" s="3078"/>
      <c r="SDQ54" s="3078"/>
      <c r="SDR54" s="3078"/>
      <c r="SDS54" s="3078"/>
      <c r="SDT54" s="3078"/>
      <c r="SDU54" s="3075" t="s">
        <v>55</v>
      </c>
      <c r="SDV54" s="3078"/>
      <c r="SDW54" s="3078"/>
      <c r="SDX54" s="3078"/>
      <c r="SDY54" s="3078"/>
      <c r="SDZ54" s="3078"/>
      <c r="SEA54" s="3078"/>
      <c r="SEB54" s="3078"/>
      <c r="SEC54" s="3075" t="s">
        <v>55</v>
      </c>
      <c r="SED54" s="3078"/>
      <c r="SEE54" s="3078"/>
      <c r="SEF54" s="3078"/>
      <c r="SEG54" s="3078"/>
      <c r="SEH54" s="3078"/>
      <c r="SEI54" s="3078"/>
      <c r="SEJ54" s="3078"/>
      <c r="SEK54" s="3075" t="s">
        <v>55</v>
      </c>
      <c r="SEL54" s="3078"/>
      <c r="SEM54" s="3078"/>
      <c r="SEN54" s="3078"/>
      <c r="SEO54" s="3078"/>
      <c r="SEP54" s="3078"/>
      <c r="SEQ54" s="3078"/>
      <c r="SER54" s="3078"/>
      <c r="SES54" s="3075" t="s">
        <v>55</v>
      </c>
      <c r="SET54" s="3078"/>
      <c r="SEU54" s="3078"/>
      <c r="SEV54" s="3078"/>
      <c r="SEW54" s="3078"/>
      <c r="SEX54" s="3078"/>
      <c r="SEY54" s="3078"/>
      <c r="SEZ54" s="3078"/>
      <c r="SFA54" s="3075" t="s">
        <v>55</v>
      </c>
      <c r="SFB54" s="3078"/>
      <c r="SFC54" s="3078"/>
      <c r="SFD54" s="3078"/>
      <c r="SFE54" s="3078"/>
      <c r="SFF54" s="3078"/>
      <c r="SFG54" s="3078"/>
      <c r="SFH54" s="3078"/>
      <c r="SFI54" s="3075" t="s">
        <v>55</v>
      </c>
      <c r="SFJ54" s="3078"/>
      <c r="SFK54" s="3078"/>
      <c r="SFL54" s="3078"/>
      <c r="SFM54" s="3078"/>
      <c r="SFN54" s="3078"/>
      <c r="SFO54" s="3078"/>
      <c r="SFP54" s="3078"/>
      <c r="SFQ54" s="3075" t="s">
        <v>55</v>
      </c>
      <c r="SFR54" s="3078"/>
      <c r="SFS54" s="3078"/>
      <c r="SFT54" s="3078"/>
      <c r="SFU54" s="3078"/>
      <c r="SFV54" s="3078"/>
      <c r="SFW54" s="3078"/>
      <c r="SFX54" s="3078"/>
      <c r="SFY54" s="3075" t="s">
        <v>55</v>
      </c>
      <c r="SFZ54" s="3078"/>
      <c r="SGA54" s="3078"/>
      <c r="SGB54" s="3078"/>
      <c r="SGC54" s="3078"/>
      <c r="SGD54" s="3078"/>
      <c r="SGE54" s="3078"/>
      <c r="SGF54" s="3078"/>
      <c r="SGG54" s="3075" t="s">
        <v>55</v>
      </c>
      <c r="SGH54" s="3078"/>
      <c r="SGI54" s="3078"/>
      <c r="SGJ54" s="3078"/>
      <c r="SGK54" s="3078"/>
      <c r="SGL54" s="3078"/>
      <c r="SGM54" s="3078"/>
      <c r="SGN54" s="3078"/>
      <c r="SGO54" s="3075" t="s">
        <v>55</v>
      </c>
      <c r="SGP54" s="3078"/>
      <c r="SGQ54" s="3078"/>
      <c r="SGR54" s="3078"/>
      <c r="SGS54" s="3078"/>
      <c r="SGT54" s="3078"/>
      <c r="SGU54" s="3078"/>
      <c r="SGV54" s="3078"/>
      <c r="SGW54" s="3075" t="s">
        <v>55</v>
      </c>
      <c r="SGX54" s="3078"/>
      <c r="SGY54" s="3078"/>
      <c r="SGZ54" s="3078"/>
      <c r="SHA54" s="3078"/>
      <c r="SHB54" s="3078"/>
      <c r="SHC54" s="3078"/>
      <c r="SHD54" s="3078"/>
      <c r="SHE54" s="3075" t="s">
        <v>55</v>
      </c>
      <c r="SHF54" s="3078"/>
      <c r="SHG54" s="3078"/>
      <c r="SHH54" s="3078"/>
      <c r="SHI54" s="3078"/>
      <c r="SHJ54" s="3078"/>
      <c r="SHK54" s="3078"/>
      <c r="SHL54" s="3078"/>
      <c r="SHM54" s="3075" t="s">
        <v>55</v>
      </c>
      <c r="SHN54" s="3078"/>
      <c r="SHO54" s="3078"/>
      <c r="SHP54" s="3078"/>
      <c r="SHQ54" s="3078"/>
      <c r="SHR54" s="3078"/>
      <c r="SHS54" s="3078"/>
      <c r="SHT54" s="3078"/>
      <c r="SHU54" s="3075" t="s">
        <v>55</v>
      </c>
      <c r="SHV54" s="3078"/>
      <c r="SHW54" s="3078"/>
      <c r="SHX54" s="3078"/>
      <c r="SHY54" s="3078"/>
      <c r="SHZ54" s="3078"/>
      <c r="SIA54" s="3078"/>
      <c r="SIB54" s="3078"/>
      <c r="SIC54" s="3075" t="s">
        <v>55</v>
      </c>
      <c r="SID54" s="3078"/>
      <c r="SIE54" s="3078"/>
      <c r="SIF54" s="3078"/>
      <c r="SIG54" s="3078"/>
      <c r="SIH54" s="3078"/>
      <c r="SII54" s="3078"/>
      <c r="SIJ54" s="3078"/>
      <c r="SIK54" s="3075" t="s">
        <v>55</v>
      </c>
      <c r="SIL54" s="3078"/>
      <c r="SIM54" s="3078"/>
      <c r="SIN54" s="3078"/>
      <c r="SIO54" s="3078"/>
      <c r="SIP54" s="3078"/>
      <c r="SIQ54" s="3078"/>
      <c r="SIR54" s="3078"/>
      <c r="SIS54" s="3075" t="s">
        <v>55</v>
      </c>
      <c r="SIT54" s="3078"/>
      <c r="SIU54" s="3078"/>
      <c r="SIV54" s="3078"/>
      <c r="SIW54" s="3078"/>
      <c r="SIX54" s="3078"/>
      <c r="SIY54" s="3078"/>
      <c r="SIZ54" s="3078"/>
      <c r="SJA54" s="3075" t="s">
        <v>55</v>
      </c>
      <c r="SJB54" s="3078"/>
      <c r="SJC54" s="3078"/>
      <c r="SJD54" s="3078"/>
      <c r="SJE54" s="3078"/>
      <c r="SJF54" s="3078"/>
      <c r="SJG54" s="3078"/>
      <c r="SJH54" s="3078"/>
      <c r="SJI54" s="3075" t="s">
        <v>55</v>
      </c>
      <c r="SJJ54" s="3078"/>
      <c r="SJK54" s="3078"/>
      <c r="SJL54" s="3078"/>
      <c r="SJM54" s="3078"/>
      <c r="SJN54" s="3078"/>
      <c r="SJO54" s="3078"/>
      <c r="SJP54" s="3078"/>
      <c r="SJQ54" s="3075" t="s">
        <v>55</v>
      </c>
      <c r="SJR54" s="3078"/>
      <c r="SJS54" s="3078"/>
      <c r="SJT54" s="3078"/>
      <c r="SJU54" s="3078"/>
      <c r="SJV54" s="3078"/>
      <c r="SJW54" s="3078"/>
      <c r="SJX54" s="3078"/>
      <c r="SJY54" s="3075" t="s">
        <v>55</v>
      </c>
      <c r="SJZ54" s="3078"/>
      <c r="SKA54" s="3078"/>
      <c r="SKB54" s="3078"/>
      <c r="SKC54" s="3078"/>
      <c r="SKD54" s="3078"/>
      <c r="SKE54" s="3078"/>
      <c r="SKF54" s="3078"/>
      <c r="SKG54" s="3075" t="s">
        <v>55</v>
      </c>
      <c r="SKH54" s="3078"/>
      <c r="SKI54" s="3078"/>
      <c r="SKJ54" s="3078"/>
      <c r="SKK54" s="3078"/>
      <c r="SKL54" s="3078"/>
      <c r="SKM54" s="3078"/>
      <c r="SKN54" s="3078"/>
      <c r="SKO54" s="3075" t="s">
        <v>55</v>
      </c>
      <c r="SKP54" s="3078"/>
      <c r="SKQ54" s="3078"/>
      <c r="SKR54" s="3078"/>
      <c r="SKS54" s="3078"/>
      <c r="SKT54" s="3078"/>
      <c r="SKU54" s="3078"/>
      <c r="SKV54" s="3078"/>
      <c r="SKW54" s="3075" t="s">
        <v>55</v>
      </c>
      <c r="SKX54" s="3078"/>
      <c r="SKY54" s="3078"/>
      <c r="SKZ54" s="3078"/>
      <c r="SLA54" s="3078"/>
      <c r="SLB54" s="3078"/>
      <c r="SLC54" s="3078"/>
      <c r="SLD54" s="3078"/>
      <c r="SLE54" s="3075" t="s">
        <v>55</v>
      </c>
      <c r="SLF54" s="3078"/>
      <c r="SLG54" s="3078"/>
      <c r="SLH54" s="3078"/>
      <c r="SLI54" s="3078"/>
      <c r="SLJ54" s="3078"/>
      <c r="SLK54" s="3078"/>
      <c r="SLL54" s="3078"/>
      <c r="SLM54" s="3075" t="s">
        <v>55</v>
      </c>
      <c r="SLN54" s="3078"/>
      <c r="SLO54" s="3078"/>
      <c r="SLP54" s="3078"/>
      <c r="SLQ54" s="3078"/>
      <c r="SLR54" s="3078"/>
      <c r="SLS54" s="3078"/>
      <c r="SLT54" s="3078"/>
      <c r="SLU54" s="3075" t="s">
        <v>55</v>
      </c>
      <c r="SLV54" s="3078"/>
      <c r="SLW54" s="3078"/>
      <c r="SLX54" s="3078"/>
      <c r="SLY54" s="3078"/>
      <c r="SLZ54" s="3078"/>
      <c r="SMA54" s="3078"/>
      <c r="SMB54" s="3078"/>
      <c r="SMC54" s="3075" t="s">
        <v>55</v>
      </c>
      <c r="SMD54" s="3078"/>
      <c r="SME54" s="3078"/>
      <c r="SMF54" s="3078"/>
      <c r="SMG54" s="3078"/>
      <c r="SMH54" s="3078"/>
      <c r="SMI54" s="3078"/>
      <c r="SMJ54" s="3078"/>
      <c r="SMK54" s="3075" t="s">
        <v>55</v>
      </c>
      <c r="SML54" s="3078"/>
      <c r="SMM54" s="3078"/>
      <c r="SMN54" s="3078"/>
      <c r="SMO54" s="3078"/>
      <c r="SMP54" s="3078"/>
      <c r="SMQ54" s="3078"/>
      <c r="SMR54" s="3078"/>
      <c r="SMS54" s="3075" t="s">
        <v>55</v>
      </c>
      <c r="SMT54" s="3078"/>
      <c r="SMU54" s="3078"/>
      <c r="SMV54" s="3078"/>
      <c r="SMW54" s="3078"/>
      <c r="SMX54" s="3078"/>
      <c r="SMY54" s="3078"/>
      <c r="SMZ54" s="3078"/>
      <c r="SNA54" s="3075" t="s">
        <v>55</v>
      </c>
      <c r="SNB54" s="3078"/>
      <c r="SNC54" s="3078"/>
      <c r="SND54" s="3078"/>
      <c r="SNE54" s="3078"/>
      <c r="SNF54" s="3078"/>
      <c r="SNG54" s="3078"/>
      <c r="SNH54" s="3078"/>
      <c r="SNI54" s="3075" t="s">
        <v>55</v>
      </c>
      <c r="SNJ54" s="3078"/>
      <c r="SNK54" s="3078"/>
      <c r="SNL54" s="3078"/>
      <c r="SNM54" s="3078"/>
      <c r="SNN54" s="3078"/>
      <c r="SNO54" s="3078"/>
      <c r="SNP54" s="3078"/>
      <c r="SNQ54" s="3075" t="s">
        <v>55</v>
      </c>
      <c r="SNR54" s="3078"/>
      <c r="SNS54" s="3078"/>
      <c r="SNT54" s="3078"/>
      <c r="SNU54" s="3078"/>
      <c r="SNV54" s="3078"/>
      <c r="SNW54" s="3078"/>
      <c r="SNX54" s="3078"/>
      <c r="SNY54" s="3075" t="s">
        <v>55</v>
      </c>
      <c r="SNZ54" s="3078"/>
      <c r="SOA54" s="3078"/>
      <c r="SOB54" s="3078"/>
      <c r="SOC54" s="3078"/>
      <c r="SOD54" s="3078"/>
      <c r="SOE54" s="3078"/>
      <c r="SOF54" s="3078"/>
      <c r="SOG54" s="3075" t="s">
        <v>55</v>
      </c>
      <c r="SOH54" s="3078"/>
      <c r="SOI54" s="3078"/>
      <c r="SOJ54" s="3078"/>
      <c r="SOK54" s="3078"/>
      <c r="SOL54" s="3078"/>
      <c r="SOM54" s="3078"/>
      <c r="SON54" s="3078"/>
      <c r="SOO54" s="3075" t="s">
        <v>55</v>
      </c>
      <c r="SOP54" s="3078"/>
      <c r="SOQ54" s="3078"/>
      <c r="SOR54" s="3078"/>
      <c r="SOS54" s="3078"/>
      <c r="SOT54" s="3078"/>
      <c r="SOU54" s="3078"/>
      <c r="SOV54" s="3078"/>
      <c r="SOW54" s="3075" t="s">
        <v>55</v>
      </c>
      <c r="SOX54" s="3078"/>
      <c r="SOY54" s="3078"/>
      <c r="SOZ54" s="3078"/>
      <c r="SPA54" s="3078"/>
      <c r="SPB54" s="3078"/>
      <c r="SPC54" s="3078"/>
      <c r="SPD54" s="3078"/>
      <c r="SPE54" s="3075" t="s">
        <v>55</v>
      </c>
      <c r="SPF54" s="3078"/>
      <c r="SPG54" s="3078"/>
      <c r="SPH54" s="3078"/>
      <c r="SPI54" s="3078"/>
      <c r="SPJ54" s="3078"/>
      <c r="SPK54" s="3078"/>
      <c r="SPL54" s="3078"/>
      <c r="SPM54" s="3075" t="s">
        <v>55</v>
      </c>
      <c r="SPN54" s="3078"/>
      <c r="SPO54" s="3078"/>
      <c r="SPP54" s="3078"/>
      <c r="SPQ54" s="3078"/>
      <c r="SPR54" s="3078"/>
      <c r="SPS54" s="3078"/>
      <c r="SPT54" s="3078"/>
      <c r="SPU54" s="3075" t="s">
        <v>55</v>
      </c>
      <c r="SPV54" s="3078"/>
      <c r="SPW54" s="3078"/>
      <c r="SPX54" s="3078"/>
      <c r="SPY54" s="3078"/>
      <c r="SPZ54" s="3078"/>
      <c r="SQA54" s="3078"/>
      <c r="SQB54" s="3078"/>
      <c r="SQC54" s="3075" t="s">
        <v>55</v>
      </c>
      <c r="SQD54" s="3078"/>
      <c r="SQE54" s="3078"/>
      <c r="SQF54" s="3078"/>
      <c r="SQG54" s="3078"/>
      <c r="SQH54" s="3078"/>
      <c r="SQI54" s="3078"/>
      <c r="SQJ54" s="3078"/>
      <c r="SQK54" s="3075" t="s">
        <v>55</v>
      </c>
      <c r="SQL54" s="3078"/>
      <c r="SQM54" s="3078"/>
      <c r="SQN54" s="3078"/>
      <c r="SQO54" s="3078"/>
      <c r="SQP54" s="3078"/>
      <c r="SQQ54" s="3078"/>
      <c r="SQR54" s="3078"/>
      <c r="SQS54" s="3075" t="s">
        <v>55</v>
      </c>
      <c r="SQT54" s="3078"/>
      <c r="SQU54" s="3078"/>
      <c r="SQV54" s="3078"/>
      <c r="SQW54" s="3078"/>
      <c r="SQX54" s="3078"/>
      <c r="SQY54" s="3078"/>
      <c r="SQZ54" s="3078"/>
      <c r="SRA54" s="3075" t="s">
        <v>55</v>
      </c>
      <c r="SRB54" s="3078"/>
      <c r="SRC54" s="3078"/>
      <c r="SRD54" s="3078"/>
      <c r="SRE54" s="3078"/>
      <c r="SRF54" s="3078"/>
      <c r="SRG54" s="3078"/>
      <c r="SRH54" s="3078"/>
      <c r="SRI54" s="3075" t="s">
        <v>55</v>
      </c>
      <c r="SRJ54" s="3078"/>
      <c r="SRK54" s="3078"/>
      <c r="SRL54" s="3078"/>
      <c r="SRM54" s="3078"/>
      <c r="SRN54" s="3078"/>
      <c r="SRO54" s="3078"/>
      <c r="SRP54" s="3078"/>
      <c r="SRQ54" s="3075" t="s">
        <v>55</v>
      </c>
      <c r="SRR54" s="3078"/>
      <c r="SRS54" s="3078"/>
      <c r="SRT54" s="3078"/>
      <c r="SRU54" s="3078"/>
      <c r="SRV54" s="3078"/>
      <c r="SRW54" s="3078"/>
      <c r="SRX54" s="3078"/>
      <c r="SRY54" s="3075" t="s">
        <v>55</v>
      </c>
      <c r="SRZ54" s="3078"/>
      <c r="SSA54" s="3078"/>
      <c r="SSB54" s="3078"/>
      <c r="SSC54" s="3078"/>
      <c r="SSD54" s="3078"/>
      <c r="SSE54" s="3078"/>
      <c r="SSF54" s="3078"/>
      <c r="SSG54" s="3075" t="s">
        <v>55</v>
      </c>
      <c r="SSH54" s="3078"/>
      <c r="SSI54" s="3078"/>
      <c r="SSJ54" s="3078"/>
      <c r="SSK54" s="3078"/>
      <c r="SSL54" s="3078"/>
      <c r="SSM54" s="3078"/>
      <c r="SSN54" s="3078"/>
      <c r="SSO54" s="3075" t="s">
        <v>55</v>
      </c>
      <c r="SSP54" s="3078"/>
      <c r="SSQ54" s="3078"/>
      <c r="SSR54" s="3078"/>
      <c r="SSS54" s="3078"/>
      <c r="SST54" s="3078"/>
      <c r="SSU54" s="3078"/>
      <c r="SSV54" s="3078"/>
      <c r="SSW54" s="3075" t="s">
        <v>55</v>
      </c>
      <c r="SSX54" s="3078"/>
      <c r="SSY54" s="3078"/>
      <c r="SSZ54" s="3078"/>
      <c r="STA54" s="3078"/>
      <c r="STB54" s="3078"/>
      <c r="STC54" s="3078"/>
      <c r="STD54" s="3078"/>
      <c r="STE54" s="3075" t="s">
        <v>55</v>
      </c>
      <c r="STF54" s="3078"/>
      <c r="STG54" s="3078"/>
      <c r="STH54" s="3078"/>
      <c r="STI54" s="3078"/>
      <c r="STJ54" s="3078"/>
      <c r="STK54" s="3078"/>
      <c r="STL54" s="3078"/>
      <c r="STM54" s="3075" t="s">
        <v>55</v>
      </c>
      <c r="STN54" s="3078"/>
      <c r="STO54" s="3078"/>
      <c r="STP54" s="3078"/>
      <c r="STQ54" s="3078"/>
      <c r="STR54" s="3078"/>
      <c r="STS54" s="3078"/>
      <c r="STT54" s="3078"/>
      <c r="STU54" s="3075" t="s">
        <v>55</v>
      </c>
      <c r="STV54" s="3078"/>
      <c r="STW54" s="3078"/>
      <c r="STX54" s="3078"/>
      <c r="STY54" s="3078"/>
      <c r="STZ54" s="3078"/>
      <c r="SUA54" s="3078"/>
      <c r="SUB54" s="3078"/>
      <c r="SUC54" s="3075" t="s">
        <v>55</v>
      </c>
      <c r="SUD54" s="3078"/>
      <c r="SUE54" s="3078"/>
      <c r="SUF54" s="3078"/>
      <c r="SUG54" s="3078"/>
      <c r="SUH54" s="3078"/>
      <c r="SUI54" s="3078"/>
      <c r="SUJ54" s="3078"/>
      <c r="SUK54" s="3075" t="s">
        <v>55</v>
      </c>
      <c r="SUL54" s="3078"/>
      <c r="SUM54" s="3078"/>
      <c r="SUN54" s="3078"/>
      <c r="SUO54" s="3078"/>
      <c r="SUP54" s="3078"/>
      <c r="SUQ54" s="3078"/>
      <c r="SUR54" s="3078"/>
      <c r="SUS54" s="3075" t="s">
        <v>55</v>
      </c>
      <c r="SUT54" s="3078"/>
      <c r="SUU54" s="3078"/>
      <c r="SUV54" s="3078"/>
      <c r="SUW54" s="3078"/>
      <c r="SUX54" s="3078"/>
      <c r="SUY54" s="3078"/>
      <c r="SUZ54" s="3078"/>
      <c r="SVA54" s="3075" t="s">
        <v>55</v>
      </c>
      <c r="SVB54" s="3078"/>
      <c r="SVC54" s="3078"/>
      <c r="SVD54" s="3078"/>
      <c r="SVE54" s="3078"/>
      <c r="SVF54" s="3078"/>
      <c r="SVG54" s="3078"/>
      <c r="SVH54" s="3078"/>
      <c r="SVI54" s="3075" t="s">
        <v>55</v>
      </c>
      <c r="SVJ54" s="3078"/>
      <c r="SVK54" s="3078"/>
      <c r="SVL54" s="3078"/>
      <c r="SVM54" s="3078"/>
      <c r="SVN54" s="3078"/>
      <c r="SVO54" s="3078"/>
      <c r="SVP54" s="3078"/>
      <c r="SVQ54" s="3075" t="s">
        <v>55</v>
      </c>
      <c r="SVR54" s="3078"/>
      <c r="SVS54" s="3078"/>
      <c r="SVT54" s="3078"/>
      <c r="SVU54" s="3078"/>
      <c r="SVV54" s="3078"/>
      <c r="SVW54" s="3078"/>
      <c r="SVX54" s="3078"/>
      <c r="SVY54" s="3075" t="s">
        <v>55</v>
      </c>
      <c r="SVZ54" s="3078"/>
      <c r="SWA54" s="3078"/>
      <c r="SWB54" s="3078"/>
      <c r="SWC54" s="3078"/>
      <c r="SWD54" s="3078"/>
      <c r="SWE54" s="3078"/>
      <c r="SWF54" s="3078"/>
      <c r="SWG54" s="3075" t="s">
        <v>55</v>
      </c>
      <c r="SWH54" s="3078"/>
      <c r="SWI54" s="3078"/>
      <c r="SWJ54" s="3078"/>
      <c r="SWK54" s="3078"/>
      <c r="SWL54" s="3078"/>
      <c r="SWM54" s="3078"/>
      <c r="SWN54" s="3078"/>
      <c r="SWO54" s="3075" t="s">
        <v>55</v>
      </c>
      <c r="SWP54" s="3078"/>
      <c r="SWQ54" s="3078"/>
      <c r="SWR54" s="3078"/>
      <c r="SWS54" s="3078"/>
      <c r="SWT54" s="3078"/>
      <c r="SWU54" s="3078"/>
      <c r="SWV54" s="3078"/>
      <c r="SWW54" s="3075" t="s">
        <v>55</v>
      </c>
      <c r="SWX54" s="3078"/>
      <c r="SWY54" s="3078"/>
      <c r="SWZ54" s="3078"/>
      <c r="SXA54" s="3078"/>
      <c r="SXB54" s="3078"/>
      <c r="SXC54" s="3078"/>
      <c r="SXD54" s="3078"/>
      <c r="SXE54" s="3075" t="s">
        <v>55</v>
      </c>
      <c r="SXF54" s="3078"/>
      <c r="SXG54" s="3078"/>
      <c r="SXH54" s="3078"/>
      <c r="SXI54" s="3078"/>
      <c r="SXJ54" s="3078"/>
      <c r="SXK54" s="3078"/>
      <c r="SXL54" s="3078"/>
      <c r="SXM54" s="3075" t="s">
        <v>55</v>
      </c>
      <c r="SXN54" s="3078"/>
      <c r="SXO54" s="3078"/>
      <c r="SXP54" s="3078"/>
      <c r="SXQ54" s="3078"/>
      <c r="SXR54" s="3078"/>
      <c r="SXS54" s="3078"/>
      <c r="SXT54" s="3078"/>
      <c r="SXU54" s="3075" t="s">
        <v>55</v>
      </c>
      <c r="SXV54" s="3078"/>
      <c r="SXW54" s="3078"/>
      <c r="SXX54" s="3078"/>
      <c r="SXY54" s="3078"/>
      <c r="SXZ54" s="3078"/>
      <c r="SYA54" s="3078"/>
      <c r="SYB54" s="3078"/>
      <c r="SYC54" s="3075" t="s">
        <v>55</v>
      </c>
      <c r="SYD54" s="3078"/>
      <c r="SYE54" s="3078"/>
      <c r="SYF54" s="3078"/>
      <c r="SYG54" s="3078"/>
      <c r="SYH54" s="3078"/>
      <c r="SYI54" s="3078"/>
      <c r="SYJ54" s="3078"/>
      <c r="SYK54" s="3075" t="s">
        <v>55</v>
      </c>
      <c r="SYL54" s="3078"/>
      <c r="SYM54" s="3078"/>
      <c r="SYN54" s="3078"/>
      <c r="SYO54" s="3078"/>
      <c r="SYP54" s="3078"/>
      <c r="SYQ54" s="3078"/>
      <c r="SYR54" s="3078"/>
      <c r="SYS54" s="3075" t="s">
        <v>55</v>
      </c>
      <c r="SYT54" s="3078"/>
      <c r="SYU54" s="3078"/>
      <c r="SYV54" s="3078"/>
      <c r="SYW54" s="3078"/>
      <c r="SYX54" s="3078"/>
      <c r="SYY54" s="3078"/>
      <c r="SYZ54" s="3078"/>
      <c r="SZA54" s="3075" t="s">
        <v>55</v>
      </c>
      <c r="SZB54" s="3078"/>
      <c r="SZC54" s="3078"/>
      <c r="SZD54" s="3078"/>
      <c r="SZE54" s="3078"/>
      <c r="SZF54" s="3078"/>
      <c r="SZG54" s="3078"/>
      <c r="SZH54" s="3078"/>
      <c r="SZI54" s="3075" t="s">
        <v>55</v>
      </c>
      <c r="SZJ54" s="3078"/>
      <c r="SZK54" s="3078"/>
      <c r="SZL54" s="3078"/>
      <c r="SZM54" s="3078"/>
      <c r="SZN54" s="3078"/>
      <c r="SZO54" s="3078"/>
      <c r="SZP54" s="3078"/>
      <c r="SZQ54" s="3075" t="s">
        <v>55</v>
      </c>
      <c r="SZR54" s="3078"/>
      <c r="SZS54" s="3078"/>
      <c r="SZT54" s="3078"/>
      <c r="SZU54" s="3078"/>
      <c r="SZV54" s="3078"/>
      <c r="SZW54" s="3078"/>
      <c r="SZX54" s="3078"/>
      <c r="SZY54" s="3075" t="s">
        <v>55</v>
      </c>
      <c r="SZZ54" s="3078"/>
      <c r="TAA54" s="3078"/>
      <c r="TAB54" s="3078"/>
      <c r="TAC54" s="3078"/>
      <c r="TAD54" s="3078"/>
      <c r="TAE54" s="3078"/>
      <c r="TAF54" s="3078"/>
      <c r="TAG54" s="3075" t="s">
        <v>55</v>
      </c>
      <c r="TAH54" s="3078"/>
      <c r="TAI54" s="3078"/>
      <c r="TAJ54" s="3078"/>
      <c r="TAK54" s="3078"/>
      <c r="TAL54" s="3078"/>
      <c r="TAM54" s="3078"/>
      <c r="TAN54" s="3078"/>
      <c r="TAO54" s="3075" t="s">
        <v>55</v>
      </c>
      <c r="TAP54" s="3078"/>
      <c r="TAQ54" s="3078"/>
      <c r="TAR54" s="3078"/>
      <c r="TAS54" s="3078"/>
      <c r="TAT54" s="3078"/>
      <c r="TAU54" s="3078"/>
      <c r="TAV54" s="3078"/>
      <c r="TAW54" s="3075" t="s">
        <v>55</v>
      </c>
      <c r="TAX54" s="3078"/>
      <c r="TAY54" s="3078"/>
      <c r="TAZ54" s="3078"/>
      <c r="TBA54" s="3078"/>
      <c r="TBB54" s="3078"/>
      <c r="TBC54" s="3078"/>
      <c r="TBD54" s="3078"/>
      <c r="TBE54" s="3075" t="s">
        <v>55</v>
      </c>
      <c r="TBF54" s="3078"/>
      <c r="TBG54" s="3078"/>
      <c r="TBH54" s="3078"/>
      <c r="TBI54" s="3078"/>
      <c r="TBJ54" s="3078"/>
      <c r="TBK54" s="3078"/>
      <c r="TBL54" s="3078"/>
      <c r="TBM54" s="3075" t="s">
        <v>55</v>
      </c>
      <c r="TBN54" s="3078"/>
      <c r="TBO54" s="3078"/>
      <c r="TBP54" s="3078"/>
      <c r="TBQ54" s="3078"/>
      <c r="TBR54" s="3078"/>
      <c r="TBS54" s="3078"/>
      <c r="TBT54" s="3078"/>
      <c r="TBU54" s="3075" t="s">
        <v>55</v>
      </c>
      <c r="TBV54" s="3078"/>
      <c r="TBW54" s="3078"/>
      <c r="TBX54" s="3078"/>
      <c r="TBY54" s="3078"/>
      <c r="TBZ54" s="3078"/>
      <c r="TCA54" s="3078"/>
      <c r="TCB54" s="3078"/>
      <c r="TCC54" s="3075" t="s">
        <v>55</v>
      </c>
      <c r="TCD54" s="3078"/>
      <c r="TCE54" s="3078"/>
      <c r="TCF54" s="3078"/>
      <c r="TCG54" s="3078"/>
      <c r="TCH54" s="3078"/>
      <c r="TCI54" s="3078"/>
      <c r="TCJ54" s="3078"/>
      <c r="TCK54" s="3075" t="s">
        <v>55</v>
      </c>
      <c r="TCL54" s="3078"/>
      <c r="TCM54" s="3078"/>
      <c r="TCN54" s="3078"/>
      <c r="TCO54" s="3078"/>
      <c r="TCP54" s="3078"/>
      <c r="TCQ54" s="3078"/>
      <c r="TCR54" s="3078"/>
      <c r="TCS54" s="3075" t="s">
        <v>55</v>
      </c>
      <c r="TCT54" s="3078"/>
      <c r="TCU54" s="3078"/>
      <c r="TCV54" s="3078"/>
      <c r="TCW54" s="3078"/>
      <c r="TCX54" s="3078"/>
      <c r="TCY54" s="3078"/>
      <c r="TCZ54" s="3078"/>
      <c r="TDA54" s="3075" t="s">
        <v>55</v>
      </c>
      <c r="TDB54" s="3078"/>
      <c r="TDC54" s="3078"/>
      <c r="TDD54" s="3078"/>
      <c r="TDE54" s="3078"/>
      <c r="TDF54" s="3078"/>
      <c r="TDG54" s="3078"/>
      <c r="TDH54" s="3078"/>
      <c r="TDI54" s="3075" t="s">
        <v>55</v>
      </c>
      <c r="TDJ54" s="3078"/>
      <c r="TDK54" s="3078"/>
      <c r="TDL54" s="3078"/>
      <c r="TDM54" s="3078"/>
      <c r="TDN54" s="3078"/>
      <c r="TDO54" s="3078"/>
      <c r="TDP54" s="3078"/>
      <c r="TDQ54" s="3075" t="s">
        <v>55</v>
      </c>
      <c r="TDR54" s="3078"/>
      <c r="TDS54" s="3078"/>
      <c r="TDT54" s="3078"/>
      <c r="TDU54" s="3078"/>
      <c r="TDV54" s="3078"/>
      <c r="TDW54" s="3078"/>
      <c r="TDX54" s="3078"/>
      <c r="TDY54" s="3075" t="s">
        <v>55</v>
      </c>
      <c r="TDZ54" s="3078"/>
      <c r="TEA54" s="3078"/>
      <c r="TEB54" s="3078"/>
      <c r="TEC54" s="3078"/>
      <c r="TED54" s="3078"/>
      <c r="TEE54" s="3078"/>
      <c r="TEF54" s="3078"/>
      <c r="TEG54" s="3075" t="s">
        <v>55</v>
      </c>
      <c r="TEH54" s="3078"/>
      <c r="TEI54" s="3078"/>
      <c r="TEJ54" s="3078"/>
      <c r="TEK54" s="3078"/>
      <c r="TEL54" s="3078"/>
      <c r="TEM54" s="3078"/>
      <c r="TEN54" s="3078"/>
      <c r="TEO54" s="3075" t="s">
        <v>55</v>
      </c>
      <c r="TEP54" s="3078"/>
      <c r="TEQ54" s="3078"/>
      <c r="TER54" s="3078"/>
      <c r="TES54" s="3078"/>
      <c r="TET54" s="3078"/>
      <c r="TEU54" s="3078"/>
      <c r="TEV54" s="3078"/>
      <c r="TEW54" s="3075" t="s">
        <v>55</v>
      </c>
      <c r="TEX54" s="3078"/>
      <c r="TEY54" s="3078"/>
      <c r="TEZ54" s="3078"/>
      <c r="TFA54" s="3078"/>
      <c r="TFB54" s="3078"/>
      <c r="TFC54" s="3078"/>
      <c r="TFD54" s="3078"/>
      <c r="TFE54" s="3075" t="s">
        <v>55</v>
      </c>
      <c r="TFF54" s="3078"/>
      <c r="TFG54" s="3078"/>
      <c r="TFH54" s="3078"/>
      <c r="TFI54" s="3078"/>
      <c r="TFJ54" s="3078"/>
      <c r="TFK54" s="3078"/>
      <c r="TFL54" s="3078"/>
      <c r="TFM54" s="3075" t="s">
        <v>55</v>
      </c>
      <c r="TFN54" s="3078"/>
      <c r="TFO54" s="3078"/>
      <c r="TFP54" s="3078"/>
      <c r="TFQ54" s="3078"/>
      <c r="TFR54" s="3078"/>
      <c r="TFS54" s="3078"/>
      <c r="TFT54" s="3078"/>
      <c r="TFU54" s="3075" t="s">
        <v>55</v>
      </c>
      <c r="TFV54" s="3078"/>
      <c r="TFW54" s="3078"/>
      <c r="TFX54" s="3078"/>
      <c r="TFY54" s="3078"/>
      <c r="TFZ54" s="3078"/>
      <c r="TGA54" s="3078"/>
      <c r="TGB54" s="3078"/>
      <c r="TGC54" s="3075" t="s">
        <v>55</v>
      </c>
      <c r="TGD54" s="3078"/>
      <c r="TGE54" s="3078"/>
      <c r="TGF54" s="3078"/>
      <c r="TGG54" s="3078"/>
      <c r="TGH54" s="3078"/>
      <c r="TGI54" s="3078"/>
      <c r="TGJ54" s="3078"/>
      <c r="TGK54" s="3075" t="s">
        <v>55</v>
      </c>
      <c r="TGL54" s="3078"/>
      <c r="TGM54" s="3078"/>
      <c r="TGN54" s="3078"/>
      <c r="TGO54" s="3078"/>
      <c r="TGP54" s="3078"/>
      <c r="TGQ54" s="3078"/>
      <c r="TGR54" s="3078"/>
      <c r="TGS54" s="3075" t="s">
        <v>55</v>
      </c>
      <c r="TGT54" s="3078"/>
      <c r="TGU54" s="3078"/>
      <c r="TGV54" s="3078"/>
      <c r="TGW54" s="3078"/>
      <c r="TGX54" s="3078"/>
      <c r="TGY54" s="3078"/>
      <c r="TGZ54" s="3078"/>
      <c r="THA54" s="3075" t="s">
        <v>55</v>
      </c>
      <c r="THB54" s="3078"/>
      <c r="THC54" s="3078"/>
      <c r="THD54" s="3078"/>
      <c r="THE54" s="3078"/>
      <c r="THF54" s="3078"/>
      <c r="THG54" s="3078"/>
      <c r="THH54" s="3078"/>
      <c r="THI54" s="3075" t="s">
        <v>55</v>
      </c>
      <c r="THJ54" s="3078"/>
      <c r="THK54" s="3078"/>
      <c r="THL54" s="3078"/>
      <c r="THM54" s="3078"/>
      <c r="THN54" s="3078"/>
      <c r="THO54" s="3078"/>
      <c r="THP54" s="3078"/>
      <c r="THQ54" s="3075" t="s">
        <v>55</v>
      </c>
      <c r="THR54" s="3078"/>
      <c r="THS54" s="3078"/>
      <c r="THT54" s="3078"/>
      <c r="THU54" s="3078"/>
      <c r="THV54" s="3078"/>
      <c r="THW54" s="3078"/>
      <c r="THX54" s="3078"/>
      <c r="THY54" s="3075" t="s">
        <v>55</v>
      </c>
      <c r="THZ54" s="3078"/>
      <c r="TIA54" s="3078"/>
      <c r="TIB54" s="3078"/>
      <c r="TIC54" s="3078"/>
      <c r="TID54" s="3078"/>
      <c r="TIE54" s="3078"/>
      <c r="TIF54" s="3078"/>
      <c r="TIG54" s="3075" t="s">
        <v>55</v>
      </c>
      <c r="TIH54" s="3078"/>
      <c r="TII54" s="3078"/>
      <c r="TIJ54" s="3078"/>
      <c r="TIK54" s="3078"/>
      <c r="TIL54" s="3078"/>
      <c r="TIM54" s="3078"/>
      <c r="TIN54" s="3078"/>
      <c r="TIO54" s="3075" t="s">
        <v>55</v>
      </c>
      <c r="TIP54" s="3078"/>
      <c r="TIQ54" s="3078"/>
      <c r="TIR54" s="3078"/>
      <c r="TIS54" s="3078"/>
      <c r="TIT54" s="3078"/>
      <c r="TIU54" s="3078"/>
      <c r="TIV54" s="3078"/>
      <c r="TIW54" s="3075" t="s">
        <v>55</v>
      </c>
      <c r="TIX54" s="3078"/>
      <c r="TIY54" s="3078"/>
      <c r="TIZ54" s="3078"/>
      <c r="TJA54" s="3078"/>
      <c r="TJB54" s="3078"/>
      <c r="TJC54" s="3078"/>
      <c r="TJD54" s="3078"/>
      <c r="TJE54" s="3075" t="s">
        <v>55</v>
      </c>
      <c r="TJF54" s="3078"/>
      <c r="TJG54" s="3078"/>
      <c r="TJH54" s="3078"/>
      <c r="TJI54" s="3078"/>
      <c r="TJJ54" s="3078"/>
      <c r="TJK54" s="3078"/>
      <c r="TJL54" s="3078"/>
      <c r="TJM54" s="3075" t="s">
        <v>55</v>
      </c>
      <c r="TJN54" s="3078"/>
      <c r="TJO54" s="3078"/>
      <c r="TJP54" s="3078"/>
      <c r="TJQ54" s="3078"/>
      <c r="TJR54" s="3078"/>
      <c r="TJS54" s="3078"/>
      <c r="TJT54" s="3078"/>
      <c r="TJU54" s="3075" t="s">
        <v>55</v>
      </c>
      <c r="TJV54" s="3078"/>
      <c r="TJW54" s="3078"/>
      <c r="TJX54" s="3078"/>
      <c r="TJY54" s="3078"/>
      <c r="TJZ54" s="3078"/>
      <c r="TKA54" s="3078"/>
      <c r="TKB54" s="3078"/>
      <c r="TKC54" s="3075" t="s">
        <v>55</v>
      </c>
      <c r="TKD54" s="3078"/>
      <c r="TKE54" s="3078"/>
      <c r="TKF54" s="3078"/>
      <c r="TKG54" s="3078"/>
      <c r="TKH54" s="3078"/>
      <c r="TKI54" s="3078"/>
      <c r="TKJ54" s="3078"/>
      <c r="TKK54" s="3075" t="s">
        <v>55</v>
      </c>
      <c r="TKL54" s="3078"/>
      <c r="TKM54" s="3078"/>
      <c r="TKN54" s="3078"/>
      <c r="TKO54" s="3078"/>
      <c r="TKP54" s="3078"/>
      <c r="TKQ54" s="3078"/>
      <c r="TKR54" s="3078"/>
      <c r="TKS54" s="3075" t="s">
        <v>55</v>
      </c>
      <c r="TKT54" s="3078"/>
      <c r="TKU54" s="3078"/>
      <c r="TKV54" s="3078"/>
      <c r="TKW54" s="3078"/>
      <c r="TKX54" s="3078"/>
      <c r="TKY54" s="3078"/>
      <c r="TKZ54" s="3078"/>
      <c r="TLA54" s="3075" t="s">
        <v>55</v>
      </c>
      <c r="TLB54" s="3078"/>
      <c r="TLC54" s="3078"/>
      <c r="TLD54" s="3078"/>
      <c r="TLE54" s="3078"/>
      <c r="TLF54" s="3078"/>
      <c r="TLG54" s="3078"/>
      <c r="TLH54" s="3078"/>
      <c r="TLI54" s="3075" t="s">
        <v>55</v>
      </c>
      <c r="TLJ54" s="3078"/>
      <c r="TLK54" s="3078"/>
      <c r="TLL54" s="3078"/>
      <c r="TLM54" s="3078"/>
      <c r="TLN54" s="3078"/>
      <c r="TLO54" s="3078"/>
      <c r="TLP54" s="3078"/>
      <c r="TLQ54" s="3075" t="s">
        <v>55</v>
      </c>
      <c r="TLR54" s="3078"/>
      <c r="TLS54" s="3078"/>
      <c r="TLT54" s="3078"/>
      <c r="TLU54" s="3078"/>
      <c r="TLV54" s="3078"/>
      <c r="TLW54" s="3078"/>
      <c r="TLX54" s="3078"/>
      <c r="TLY54" s="3075" t="s">
        <v>55</v>
      </c>
      <c r="TLZ54" s="3078"/>
      <c r="TMA54" s="3078"/>
      <c r="TMB54" s="3078"/>
      <c r="TMC54" s="3078"/>
      <c r="TMD54" s="3078"/>
      <c r="TME54" s="3078"/>
      <c r="TMF54" s="3078"/>
      <c r="TMG54" s="3075" t="s">
        <v>55</v>
      </c>
      <c r="TMH54" s="3078"/>
      <c r="TMI54" s="3078"/>
      <c r="TMJ54" s="3078"/>
      <c r="TMK54" s="3078"/>
      <c r="TML54" s="3078"/>
      <c r="TMM54" s="3078"/>
      <c r="TMN54" s="3078"/>
      <c r="TMO54" s="3075" t="s">
        <v>55</v>
      </c>
      <c r="TMP54" s="3078"/>
      <c r="TMQ54" s="3078"/>
      <c r="TMR54" s="3078"/>
      <c r="TMS54" s="3078"/>
      <c r="TMT54" s="3078"/>
      <c r="TMU54" s="3078"/>
      <c r="TMV54" s="3078"/>
      <c r="TMW54" s="3075" t="s">
        <v>55</v>
      </c>
      <c r="TMX54" s="3078"/>
      <c r="TMY54" s="3078"/>
      <c r="TMZ54" s="3078"/>
      <c r="TNA54" s="3078"/>
      <c r="TNB54" s="3078"/>
      <c r="TNC54" s="3078"/>
      <c r="TND54" s="3078"/>
      <c r="TNE54" s="3075" t="s">
        <v>55</v>
      </c>
      <c r="TNF54" s="3078"/>
      <c r="TNG54" s="3078"/>
      <c r="TNH54" s="3078"/>
      <c r="TNI54" s="3078"/>
      <c r="TNJ54" s="3078"/>
      <c r="TNK54" s="3078"/>
      <c r="TNL54" s="3078"/>
      <c r="TNM54" s="3075" t="s">
        <v>55</v>
      </c>
      <c r="TNN54" s="3078"/>
      <c r="TNO54" s="3078"/>
      <c r="TNP54" s="3078"/>
      <c r="TNQ54" s="3078"/>
      <c r="TNR54" s="3078"/>
      <c r="TNS54" s="3078"/>
      <c r="TNT54" s="3078"/>
      <c r="TNU54" s="3075" t="s">
        <v>55</v>
      </c>
      <c r="TNV54" s="3078"/>
      <c r="TNW54" s="3078"/>
      <c r="TNX54" s="3078"/>
      <c r="TNY54" s="3078"/>
      <c r="TNZ54" s="3078"/>
      <c r="TOA54" s="3078"/>
      <c r="TOB54" s="3078"/>
      <c r="TOC54" s="3075" t="s">
        <v>55</v>
      </c>
      <c r="TOD54" s="3078"/>
      <c r="TOE54" s="3078"/>
      <c r="TOF54" s="3078"/>
      <c r="TOG54" s="3078"/>
      <c r="TOH54" s="3078"/>
      <c r="TOI54" s="3078"/>
      <c r="TOJ54" s="3078"/>
      <c r="TOK54" s="3075" t="s">
        <v>55</v>
      </c>
      <c r="TOL54" s="3078"/>
      <c r="TOM54" s="3078"/>
      <c r="TON54" s="3078"/>
      <c r="TOO54" s="3078"/>
      <c r="TOP54" s="3078"/>
      <c r="TOQ54" s="3078"/>
      <c r="TOR54" s="3078"/>
      <c r="TOS54" s="3075" t="s">
        <v>55</v>
      </c>
      <c r="TOT54" s="3078"/>
      <c r="TOU54" s="3078"/>
      <c r="TOV54" s="3078"/>
      <c r="TOW54" s="3078"/>
      <c r="TOX54" s="3078"/>
      <c r="TOY54" s="3078"/>
      <c r="TOZ54" s="3078"/>
      <c r="TPA54" s="3075" t="s">
        <v>55</v>
      </c>
      <c r="TPB54" s="3078"/>
      <c r="TPC54" s="3078"/>
      <c r="TPD54" s="3078"/>
      <c r="TPE54" s="3078"/>
      <c r="TPF54" s="3078"/>
      <c r="TPG54" s="3078"/>
      <c r="TPH54" s="3078"/>
      <c r="TPI54" s="3075" t="s">
        <v>55</v>
      </c>
      <c r="TPJ54" s="3078"/>
      <c r="TPK54" s="3078"/>
      <c r="TPL54" s="3078"/>
      <c r="TPM54" s="3078"/>
      <c r="TPN54" s="3078"/>
      <c r="TPO54" s="3078"/>
      <c r="TPP54" s="3078"/>
      <c r="TPQ54" s="3075" t="s">
        <v>55</v>
      </c>
      <c r="TPR54" s="3078"/>
      <c r="TPS54" s="3078"/>
      <c r="TPT54" s="3078"/>
      <c r="TPU54" s="3078"/>
      <c r="TPV54" s="3078"/>
      <c r="TPW54" s="3078"/>
      <c r="TPX54" s="3078"/>
      <c r="TPY54" s="3075" t="s">
        <v>55</v>
      </c>
      <c r="TPZ54" s="3078"/>
      <c r="TQA54" s="3078"/>
      <c r="TQB54" s="3078"/>
      <c r="TQC54" s="3078"/>
      <c r="TQD54" s="3078"/>
      <c r="TQE54" s="3078"/>
      <c r="TQF54" s="3078"/>
      <c r="TQG54" s="3075" t="s">
        <v>55</v>
      </c>
      <c r="TQH54" s="3078"/>
      <c r="TQI54" s="3078"/>
      <c r="TQJ54" s="3078"/>
      <c r="TQK54" s="3078"/>
      <c r="TQL54" s="3078"/>
      <c r="TQM54" s="3078"/>
      <c r="TQN54" s="3078"/>
      <c r="TQO54" s="3075" t="s">
        <v>55</v>
      </c>
      <c r="TQP54" s="3078"/>
      <c r="TQQ54" s="3078"/>
      <c r="TQR54" s="3078"/>
      <c r="TQS54" s="3078"/>
      <c r="TQT54" s="3078"/>
      <c r="TQU54" s="3078"/>
      <c r="TQV54" s="3078"/>
      <c r="TQW54" s="3075" t="s">
        <v>55</v>
      </c>
      <c r="TQX54" s="3078"/>
      <c r="TQY54" s="3078"/>
      <c r="TQZ54" s="3078"/>
      <c r="TRA54" s="3078"/>
      <c r="TRB54" s="3078"/>
      <c r="TRC54" s="3078"/>
      <c r="TRD54" s="3078"/>
      <c r="TRE54" s="3075" t="s">
        <v>55</v>
      </c>
      <c r="TRF54" s="3078"/>
      <c r="TRG54" s="3078"/>
      <c r="TRH54" s="3078"/>
      <c r="TRI54" s="3078"/>
      <c r="TRJ54" s="3078"/>
      <c r="TRK54" s="3078"/>
      <c r="TRL54" s="3078"/>
      <c r="TRM54" s="3075" t="s">
        <v>55</v>
      </c>
      <c r="TRN54" s="3078"/>
      <c r="TRO54" s="3078"/>
      <c r="TRP54" s="3078"/>
      <c r="TRQ54" s="3078"/>
      <c r="TRR54" s="3078"/>
      <c r="TRS54" s="3078"/>
      <c r="TRT54" s="3078"/>
      <c r="TRU54" s="3075" t="s">
        <v>55</v>
      </c>
      <c r="TRV54" s="3078"/>
      <c r="TRW54" s="3078"/>
      <c r="TRX54" s="3078"/>
      <c r="TRY54" s="3078"/>
      <c r="TRZ54" s="3078"/>
      <c r="TSA54" s="3078"/>
      <c r="TSB54" s="3078"/>
      <c r="TSC54" s="3075" t="s">
        <v>55</v>
      </c>
      <c r="TSD54" s="3078"/>
      <c r="TSE54" s="3078"/>
      <c r="TSF54" s="3078"/>
      <c r="TSG54" s="3078"/>
      <c r="TSH54" s="3078"/>
      <c r="TSI54" s="3078"/>
      <c r="TSJ54" s="3078"/>
      <c r="TSK54" s="3075" t="s">
        <v>55</v>
      </c>
      <c r="TSL54" s="3078"/>
      <c r="TSM54" s="3078"/>
      <c r="TSN54" s="3078"/>
      <c r="TSO54" s="3078"/>
      <c r="TSP54" s="3078"/>
      <c r="TSQ54" s="3078"/>
      <c r="TSR54" s="3078"/>
      <c r="TSS54" s="3075" t="s">
        <v>55</v>
      </c>
      <c r="TST54" s="3078"/>
      <c r="TSU54" s="3078"/>
      <c r="TSV54" s="3078"/>
      <c r="TSW54" s="3078"/>
      <c r="TSX54" s="3078"/>
      <c r="TSY54" s="3078"/>
      <c r="TSZ54" s="3078"/>
      <c r="TTA54" s="3075" t="s">
        <v>55</v>
      </c>
      <c r="TTB54" s="3078"/>
      <c r="TTC54" s="3078"/>
      <c r="TTD54" s="3078"/>
      <c r="TTE54" s="3078"/>
      <c r="TTF54" s="3078"/>
      <c r="TTG54" s="3078"/>
      <c r="TTH54" s="3078"/>
      <c r="TTI54" s="3075" t="s">
        <v>55</v>
      </c>
      <c r="TTJ54" s="3078"/>
      <c r="TTK54" s="3078"/>
      <c r="TTL54" s="3078"/>
      <c r="TTM54" s="3078"/>
      <c r="TTN54" s="3078"/>
      <c r="TTO54" s="3078"/>
      <c r="TTP54" s="3078"/>
      <c r="TTQ54" s="3075" t="s">
        <v>55</v>
      </c>
      <c r="TTR54" s="3078"/>
      <c r="TTS54" s="3078"/>
      <c r="TTT54" s="3078"/>
      <c r="TTU54" s="3078"/>
      <c r="TTV54" s="3078"/>
      <c r="TTW54" s="3078"/>
      <c r="TTX54" s="3078"/>
      <c r="TTY54" s="3075" t="s">
        <v>55</v>
      </c>
      <c r="TTZ54" s="3078"/>
      <c r="TUA54" s="3078"/>
      <c r="TUB54" s="3078"/>
      <c r="TUC54" s="3078"/>
      <c r="TUD54" s="3078"/>
      <c r="TUE54" s="3078"/>
      <c r="TUF54" s="3078"/>
      <c r="TUG54" s="3075" t="s">
        <v>55</v>
      </c>
      <c r="TUH54" s="3078"/>
      <c r="TUI54" s="3078"/>
      <c r="TUJ54" s="3078"/>
      <c r="TUK54" s="3078"/>
      <c r="TUL54" s="3078"/>
      <c r="TUM54" s="3078"/>
      <c r="TUN54" s="3078"/>
      <c r="TUO54" s="3075" t="s">
        <v>55</v>
      </c>
      <c r="TUP54" s="3078"/>
      <c r="TUQ54" s="3078"/>
      <c r="TUR54" s="3078"/>
      <c r="TUS54" s="3078"/>
      <c r="TUT54" s="3078"/>
      <c r="TUU54" s="3078"/>
      <c r="TUV54" s="3078"/>
      <c r="TUW54" s="3075" t="s">
        <v>55</v>
      </c>
      <c r="TUX54" s="3078"/>
      <c r="TUY54" s="3078"/>
      <c r="TUZ54" s="3078"/>
      <c r="TVA54" s="3078"/>
      <c r="TVB54" s="3078"/>
      <c r="TVC54" s="3078"/>
      <c r="TVD54" s="3078"/>
      <c r="TVE54" s="3075" t="s">
        <v>55</v>
      </c>
      <c r="TVF54" s="3078"/>
      <c r="TVG54" s="3078"/>
      <c r="TVH54" s="3078"/>
      <c r="TVI54" s="3078"/>
      <c r="TVJ54" s="3078"/>
      <c r="TVK54" s="3078"/>
      <c r="TVL54" s="3078"/>
      <c r="TVM54" s="3075" t="s">
        <v>55</v>
      </c>
      <c r="TVN54" s="3078"/>
      <c r="TVO54" s="3078"/>
      <c r="TVP54" s="3078"/>
      <c r="TVQ54" s="3078"/>
      <c r="TVR54" s="3078"/>
      <c r="TVS54" s="3078"/>
      <c r="TVT54" s="3078"/>
      <c r="TVU54" s="3075" t="s">
        <v>55</v>
      </c>
      <c r="TVV54" s="3078"/>
      <c r="TVW54" s="3078"/>
      <c r="TVX54" s="3078"/>
      <c r="TVY54" s="3078"/>
      <c r="TVZ54" s="3078"/>
      <c r="TWA54" s="3078"/>
      <c r="TWB54" s="3078"/>
      <c r="TWC54" s="3075" t="s">
        <v>55</v>
      </c>
      <c r="TWD54" s="3078"/>
      <c r="TWE54" s="3078"/>
      <c r="TWF54" s="3078"/>
      <c r="TWG54" s="3078"/>
      <c r="TWH54" s="3078"/>
      <c r="TWI54" s="3078"/>
      <c r="TWJ54" s="3078"/>
      <c r="TWK54" s="3075" t="s">
        <v>55</v>
      </c>
      <c r="TWL54" s="3078"/>
      <c r="TWM54" s="3078"/>
      <c r="TWN54" s="3078"/>
      <c r="TWO54" s="3078"/>
      <c r="TWP54" s="3078"/>
      <c r="TWQ54" s="3078"/>
      <c r="TWR54" s="3078"/>
      <c r="TWS54" s="3075" t="s">
        <v>55</v>
      </c>
      <c r="TWT54" s="3078"/>
      <c r="TWU54" s="3078"/>
      <c r="TWV54" s="3078"/>
      <c r="TWW54" s="3078"/>
      <c r="TWX54" s="3078"/>
      <c r="TWY54" s="3078"/>
      <c r="TWZ54" s="3078"/>
      <c r="TXA54" s="3075" t="s">
        <v>55</v>
      </c>
      <c r="TXB54" s="3078"/>
      <c r="TXC54" s="3078"/>
      <c r="TXD54" s="3078"/>
      <c r="TXE54" s="3078"/>
      <c r="TXF54" s="3078"/>
      <c r="TXG54" s="3078"/>
      <c r="TXH54" s="3078"/>
      <c r="TXI54" s="3075" t="s">
        <v>55</v>
      </c>
      <c r="TXJ54" s="3078"/>
      <c r="TXK54" s="3078"/>
      <c r="TXL54" s="3078"/>
      <c r="TXM54" s="3078"/>
      <c r="TXN54" s="3078"/>
      <c r="TXO54" s="3078"/>
      <c r="TXP54" s="3078"/>
      <c r="TXQ54" s="3075" t="s">
        <v>55</v>
      </c>
      <c r="TXR54" s="3078"/>
      <c r="TXS54" s="3078"/>
      <c r="TXT54" s="3078"/>
      <c r="TXU54" s="3078"/>
      <c r="TXV54" s="3078"/>
      <c r="TXW54" s="3078"/>
      <c r="TXX54" s="3078"/>
      <c r="TXY54" s="3075" t="s">
        <v>55</v>
      </c>
      <c r="TXZ54" s="3078"/>
      <c r="TYA54" s="3078"/>
      <c r="TYB54" s="3078"/>
      <c r="TYC54" s="3078"/>
      <c r="TYD54" s="3078"/>
      <c r="TYE54" s="3078"/>
      <c r="TYF54" s="3078"/>
      <c r="TYG54" s="3075" t="s">
        <v>55</v>
      </c>
      <c r="TYH54" s="3078"/>
      <c r="TYI54" s="3078"/>
      <c r="TYJ54" s="3078"/>
      <c r="TYK54" s="3078"/>
      <c r="TYL54" s="3078"/>
      <c r="TYM54" s="3078"/>
      <c r="TYN54" s="3078"/>
      <c r="TYO54" s="3075" t="s">
        <v>55</v>
      </c>
      <c r="TYP54" s="3078"/>
      <c r="TYQ54" s="3078"/>
      <c r="TYR54" s="3078"/>
      <c r="TYS54" s="3078"/>
      <c r="TYT54" s="3078"/>
      <c r="TYU54" s="3078"/>
      <c r="TYV54" s="3078"/>
      <c r="TYW54" s="3075" t="s">
        <v>55</v>
      </c>
      <c r="TYX54" s="3078"/>
      <c r="TYY54" s="3078"/>
      <c r="TYZ54" s="3078"/>
      <c r="TZA54" s="3078"/>
      <c r="TZB54" s="3078"/>
      <c r="TZC54" s="3078"/>
      <c r="TZD54" s="3078"/>
      <c r="TZE54" s="3075" t="s">
        <v>55</v>
      </c>
      <c r="TZF54" s="3078"/>
      <c r="TZG54" s="3078"/>
      <c r="TZH54" s="3078"/>
      <c r="TZI54" s="3078"/>
      <c r="TZJ54" s="3078"/>
      <c r="TZK54" s="3078"/>
      <c r="TZL54" s="3078"/>
      <c r="TZM54" s="3075" t="s">
        <v>55</v>
      </c>
      <c r="TZN54" s="3078"/>
      <c r="TZO54" s="3078"/>
      <c r="TZP54" s="3078"/>
      <c r="TZQ54" s="3078"/>
      <c r="TZR54" s="3078"/>
      <c r="TZS54" s="3078"/>
      <c r="TZT54" s="3078"/>
      <c r="TZU54" s="3075" t="s">
        <v>55</v>
      </c>
      <c r="TZV54" s="3078"/>
      <c r="TZW54" s="3078"/>
      <c r="TZX54" s="3078"/>
      <c r="TZY54" s="3078"/>
      <c r="TZZ54" s="3078"/>
      <c r="UAA54" s="3078"/>
      <c r="UAB54" s="3078"/>
      <c r="UAC54" s="3075" t="s">
        <v>55</v>
      </c>
      <c r="UAD54" s="3078"/>
      <c r="UAE54" s="3078"/>
      <c r="UAF54" s="3078"/>
      <c r="UAG54" s="3078"/>
      <c r="UAH54" s="3078"/>
      <c r="UAI54" s="3078"/>
      <c r="UAJ54" s="3078"/>
      <c r="UAK54" s="3075" t="s">
        <v>55</v>
      </c>
      <c r="UAL54" s="3078"/>
      <c r="UAM54" s="3078"/>
      <c r="UAN54" s="3078"/>
      <c r="UAO54" s="3078"/>
      <c r="UAP54" s="3078"/>
      <c r="UAQ54" s="3078"/>
      <c r="UAR54" s="3078"/>
      <c r="UAS54" s="3075" t="s">
        <v>55</v>
      </c>
      <c r="UAT54" s="3078"/>
      <c r="UAU54" s="3078"/>
      <c r="UAV54" s="3078"/>
      <c r="UAW54" s="3078"/>
      <c r="UAX54" s="3078"/>
      <c r="UAY54" s="3078"/>
      <c r="UAZ54" s="3078"/>
      <c r="UBA54" s="3075" t="s">
        <v>55</v>
      </c>
      <c r="UBB54" s="3078"/>
      <c r="UBC54" s="3078"/>
      <c r="UBD54" s="3078"/>
      <c r="UBE54" s="3078"/>
      <c r="UBF54" s="3078"/>
      <c r="UBG54" s="3078"/>
      <c r="UBH54" s="3078"/>
      <c r="UBI54" s="3075" t="s">
        <v>55</v>
      </c>
      <c r="UBJ54" s="3078"/>
      <c r="UBK54" s="3078"/>
      <c r="UBL54" s="3078"/>
      <c r="UBM54" s="3078"/>
      <c r="UBN54" s="3078"/>
      <c r="UBO54" s="3078"/>
      <c r="UBP54" s="3078"/>
      <c r="UBQ54" s="3075" t="s">
        <v>55</v>
      </c>
      <c r="UBR54" s="3078"/>
      <c r="UBS54" s="3078"/>
      <c r="UBT54" s="3078"/>
      <c r="UBU54" s="3078"/>
      <c r="UBV54" s="3078"/>
      <c r="UBW54" s="3078"/>
      <c r="UBX54" s="3078"/>
      <c r="UBY54" s="3075" t="s">
        <v>55</v>
      </c>
      <c r="UBZ54" s="3078"/>
      <c r="UCA54" s="3078"/>
      <c r="UCB54" s="3078"/>
      <c r="UCC54" s="3078"/>
      <c r="UCD54" s="3078"/>
      <c r="UCE54" s="3078"/>
      <c r="UCF54" s="3078"/>
      <c r="UCG54" s="3075" t="s">
        <v>55</v>
      </c>
      <c r="UCH54" s="3078"/>
      <c r="UCI54" s="3078"/>
      <c r="UCJ54" s="3078"/>
      <c r="UCK54" s="3078"/>
      <c r="UCL54" s="3078"/>
      <c r="UCM54" s="3078"/>
      <c r="UCN54" s="3078"/>
      <c r="UCO54" s="3075" t="s">
        <v>55</v>
      </c>
      <c r="UCP54" s="3078"/>
      <c r="UCQ54" s="3078"/>
      <c r="UCR54" s="3078"/>
      <c r="UCS54" s="3078"/>
      <c r="UCT54" s="3078"/>
      <c r="UCU54" s="3078"/>
      <c r="UCV54" s="3078"/>
      <c r="UCW54" s="3075" t="s">
        <v>55</v>
      </c>
      <c r="UCX54" s="3078"/>
      <c r="UCY54" s="3078"/>
      <c r="UCZ54" s="3078"/>
      <c r="UDA54" s="3078"/>
      <c r="UDB54" s="3078"/>
      <c r="UDC54" s="3078"/>
      <c r="UDD54" s="3078"/>
      <c r="UDE54" s="3075" t="s">
        <v>55</v>
      </c>
      <c r="UDF54" s="3078"/>
      <c r="UDG54" s="3078"/>
      <c r="UDH54" s="3078"/>
      <c r="UDI54" s="3078"/>
      <c r="UDJ54" s="3078"/>
      <c r="UDK54" s="3078"/>
      <c r="UDL54" s="3078"/>
      <c r="UDM54" s="3075" t="s">
        <v>55</v>
      </c>
      <c r="UDN54" s="3078"/>
      <c r="UDO54" s="3078"/>
      <c r="UDP54" s="3078"/>
      <c r="UDQ54" s="3078"/>
      <c r="UDR54" s="3078"/>
      <c r="UDS54" s="3078"/>
      <c r="UDT54" s="3078"/>
      <c r="UDU54" s="3075" t="s">
        <v>55</v>
      </c>
      <c r="UDV54" s="3078"/>
      <c r="UDW54" s="3078"/>
      <c r="UDX54" s="3078"/>
      <c r="UDY54" s="3078"/>
      <c r="UDZ54" s="3078"/>
      <c r="UEA54" s="3078"/>
      <c r="UEB54" s="3078"/>
      <c r="UEC54" s="3075" t="s">
        <v>55</v>
      </c>
      <c r="UED54" s="3078"/>
      <c r="UEE54" s="3078"/>
      <c r="UEF54" s="3078"/>
      <c r="UEG54" s="3078"/>
      <c r="UEH54" s="3078"/>
      <c r="UEI54" s="3078"/>
      <c r="UEJ54" s="3078"/>
      <c r="UEK54" s="3075" t="s">
        <v>55</v>
      </c>
      <c r="UEL54" s="3078"/>
      <c r="UEM54" s="3078"/>
      <c r="UEN54" s="3078"/>
      <c r="UEO54" s="3078"/>
      <c r="UEP54" s="3078"/>
      <c r="UEQ54" s="3078"/>
      <c r="UER54" s="3078"/>
      <c r="UES54" s="3075" t="s">
        <v>55</v>
      </c>
      <c r="UET54" s="3078"/>
      <c r="UEU54" s="3078"/>
      <c r="UEV54" s="3078"/>
      <c r="UEW54" s="3078"/>
      <c r="UEX54" s="3078"/>
      <c r="UEY54" s="3078"/>
      <c r="UEZ54" s="3078"/>
      <c r="UFA54" s="3075" t="s">
        <v>55</v>
      </c>
      <c r="UFB54" s="3078"/>
      <c r="UFC54" s="3078"/>
      <c r="UFD54" s="3078"/>
      <c r="UFE54" s="3078"/>
      <c r="UFF54" s="3078"/>
      <c r="UFG54" s="3078"/>
      <c r="UFH54" s="3078"/>
      <c r="UFI54" s="3075" t="s">
        <v>55</v>
      </c>
      <c r="UFJ54" s="3078"/>
      <c r="UFK54" s="3078"/>
      <c r="UFL54" s="3078"/>
      <c r="UFM54" s="3078"/>
      <c r="UFN54" s="3078"/>
      <c r="UFO54" s="3078"/>
      <c r="UFP54" s="3078"/>
      <c r="UFQ54" s="3075" t="s">
        <v>55</v>
      </c>
      <c r="UFR54" s="3078"/>
      <c r="UFS54" s="3078"/>
      <c r="UFT54" s="3078"/>
      <c r="UFU54" s="3078"/>
      <c r="UFV54" s="3078"/>
      <c r="UFW54" s="3078"/>
      <c r="UFX54" s="3078"/>
      <c r="UFY54" s="3075" t="s">
        <v>55</v>
      </c>
      <c r="UFZ54" s="3078"/>
      <c r="UGA54" s="3078"/>
      <c r="UGB54" s="3078"/>
      <c r="UGC54" s="3078"/>
      <c r="UGD54" s="3078"/>
      <c r="UGE54" s="3078"/>
      <c r="UGF54" s="3078"/>
      <c r="UGG54" s="3075" t="s">
        <v>55</v>
      </c>
      <c r="UGH54" s="3078"/>
      <c r="UGI54" s="3078"/>
      <c r="UGJ54" s="3078"/>
      <c r="UGK54" s="3078"/>
      <c r="UGL54" s="3078"/>
      <c r="UGM54" s="3078"/>
      <c r="UGN54" s="3078"/>
      <c r="UGO54" s="3075" t="s">
        <v>55</v>
      </c>
      <c r="UGP54" s="3078"/>
      <c r="UGQ54" s="3078"/>
      <c r="UGR54" s="3078"/>
      <c r="UGS54" s="3078"/>
      <c r="UGT54" s="3078"/>
      <c r="UGU54" s="3078"/>
      <c r="UGV54" s="3078"/>
      <c r="UGW54" s="3075" t="s">
        <v>55</v>
      </c>
      <c r="UGX54" s="3078"/>
      <c r="UGY54" s="3078"/>
      <c r="UGZ54" s="3078"/>
      <c r="UHA54" s="3078"/>
      <c r="UHB54" s="3078"/>
      <c r="UHC54" s="3078"/>
      <c r="UHD54" s="3078"/>
      <c r="UHE54" s="3075" t="s">
        <v>55</v>
      </c>
      <c r="UHF54" s="3078"/>
      <c r="UHG54" s="3078"/>
      <c r="UHH54" s="3078"/>
      <c r="UHI54" s="3078"/>
      <c r="UHJ54" s="3078"/>
      <c r="UHK54" s="3078"/>
      <c r="UHL54" s="3078"/>
      <c r="UHM54" s="3075" t="s">
        <v>55</v>
      </c>
      <c r="UHN54" s="3078"/>
      <c r="UHO54" s="3078"/>
      <c r="UHP54" s="3078"/>
      <c r="UHQ54" s="3078"/>
      <c r="UHR54" s="3078"/>
      <c r="UHS54" s="3078"/>
      <c r="UHT54" s="3078"/>
      <c r="UHU54" s="3075" t="s">
        <v>55</v>
      </c>
      <c r="UHV54" s="3078"/>
      <c r="UHW54" s="3078"/>
      <c r="UHX54" s="3078"/>
      <c r="UHY54" s="3078"/>
      <c r="UHZ54" s="3078"/>
      <c r="UIA54" s="3078"/>
      <c r="UIB54" s="3078"/>
      <c r="UIC54" s="3075" t="s">
        <v>55</v>
      </c>
      <c r="UID54" s="3078"/>
      <c r="UIE54" s="3078"/>
      <c r="UIF54" s="3078"/>
      <c r="UIG54" s="3078"/>
      <c r="UIH54" s="3078"/>
      <c r="UII54" s="3078"/>
      <c r="UIJ54" s="3078"/>
      <c r="UIK54" s="3075" t="s">
        <v>55</v>
      </c>
      <c r="UIL54" s="3078"/>
      <c r="UIM54" s="3078"/>
      <c r="UIN54" s="3078"/>
      <c r="UIO54" s="3078"/>
      <c r="UIP54" s="3078"/>
      <c r="UIQ54" s="3078"/>
      <c r="UIR54" s="3078"/>
      <c r="UIS54" s="3075" t="s">
        <v>55</v>
      </c>
      <c r="UIT54" s="3078"/>
      <c r="UIU54" s="3078"/>
      <c r="UIV54" s="3078"/>
      <c r="UIW54" s="3078"/>
      <c r="UIX54" s="3078"/>
      <c r="UIY54" s="3078"/>
      <c r="UIZ54" s="3078"/>
      <c r="UJA54" s="3075" t="s">
        <v>55</v>
      </c>
      <c r="UJB54" s="3078"/>
      <c r="UJC54" s="3078"/>
      <c r="UJD54" s="3078"/>
      <c r="UJE54" s="3078"/>
      <c r="UJF54" s="3078"/>
      <c r="UJG54" s="3078"/>
      <c r="UJH54" s="3078"/>
      <c r="UJI54" s="3075" t="s">
        <v>55</v>
      </c>
      <c r="UJJ54" s="3078"/>
      <c r="UJK54" s="3078"/>
      <c r="UJL54" s="3078"/>
      <c r="UJM54" s="3078"/>
      <c r="UJN54" s="3078"/>
      <c r="UJO54" s="3078"/>
      <c r="UJP54" s="3078"/>
      <c r="UJQ54" s="3075" t="s">
        <v>55</v>
      </c>
      <c r="UJR54" s="3078"/>
      <c r="UJS54" s="3078"/>
      <c r="UJT54" s="3078"/>
      <c r="UJU54" s="3078"/>
      <c r="UJV54" s="3078"/>
      <c r="UJW54" s="3078"/>
      <c r="UJX54" s="3078"/>
      <c r="UJY54" s="3075" t="s">
        <v>55</v>
      </c>
      <c r="UJZ54" s="3078"/>
      <c r="UKA54" s="3078"/>
      <c r="UKB54" s="3078"/>
      <c r="UKC54" s="3078"/>
      <c r="UKD54" s="3078"/>
      <c r="UKE54" s="3078"/>
      <c r="UKF54" s="3078"/>
      <c r="UKG54" s="3075" t="s">
        <v>55</v>
      </c>
      <c r="UKH54" s="3078"/>
      <c r="UKI54" s="3078"/>
      <c r="UKJ54" s="3078"/>
      <c r="UKK54" s="3078"/>
      <c r="UKL54" s="3078"/>
      <c r="UKM54" s="3078"/>
      <c r="UKN54" s="3078"/>
      <c r="UKO54" s="3075" t="s">
        <v>55</v>
      </c>
      <c r="UKP54" s="3078"/>
      <c r="UKQ54" s="3078"/>
      <c r="UKR54" s="3078"/>
      <c r="UKS54" s="3078"/>
      <c r="UKT54" s="3078"/>
      <c r="UKU54" s="3078"/>
      <c r="UKV54" s="3078"/>
      <c r="UKW54" s="3075" t="s">
        <v>55</v>
      </c>
      <c r="UKX54" s="3078"/>
      <c r="UKY54" s="3078"/>
      <c r="UKZ54" s="3078"/>
      <c r="ULA54" s="3078"/>
      <c r="ULB54" s="3078"/>
      <c r="ULC54" s="3078"/>
      <c r="ULD54" s="3078"/>
      <c r="ULE54" s="3075" t="s">
        <v>55</v>
      </c>
      <c r="ULF54" s="3078"/>
      <c r="ULG54" s="3078"/>
      <c r="ULH54" s="3078"/>
      <c r="ULI54" s="3078"/>
      <c r="ULJ54" s="3078"/>
      <c r="ULK54" s="3078"/>
      <c r="ULL54" s="3078"/>
      <c r="ULM54" s="3075" t="s">
        <v>55</v>
      </c>
      <c r="ULN54" s="3078"/>
      <c r="ULO54" s="3078"/>
      <c r="ULP54" s="3078"/>
      <c r="ULQ54" s="3078"/>
      <c r="ULR54" s="3078"/>
      <c r="ULS54" s="3078"/>
      <c r="ULT54" s="3078"/>
      <c r="ULU54" s="3075" t="s">
        <v>55</v>
      </c>
      <c r="ULV54" s="3078"/>
      <c r="ULW54" s="3078"/>
      <c r="ULX54" s="3078"/>
      <c r="ULY54" s="3078"/>
      <c r="ULZ54" s="3078"/>
      <c r="UMA54" s="3078"/>
      <c r="UMB54" s="3078"/>
      <c r="UMC54" s="3075" t="s">
        <v>55</v>
      </c>
      <c r="UMD54" s="3078"/>
      <c r="UME54" s="3078"/>
      <c r="UMF54" s="3078"/>
      <c r="UMG54" s="3078"/>
      <c r="UMH54" s="3078"/>
      <c r="UMI54" s="3078"/>
      <c r="UMJ54" s="3078"/>
      <c r="UMK54" s="3075" t="s">
        <v>55</v>
      </c>
      <c r="UML54" s="3078"/>
      <c r="UMM54" s="3078"/>
      <c r="UMN54" s="3078"/>
      <c r="UMO54" s="3078"/>
      <c r="UMP54" s="3078"/>
      <c r="UMQ54" s="3078"/>
      <c r="UMR54" s="3078"/>
      <c r="UMS54" s="3075" t="s">
        <v>55</v>
      </c>
      <c r="UMT54" s="3078"/>
      <c r="UMU54" s="3078"/>
      <c r="UMV54" s="3078"/>
      <c r="UMW54" s="3078"/>
      <c r="UMX54" s="3078"/>
      <c r="UMY54" s="3078"/>
      <c r="UMZ54" s="3078"/>
      <c r="UNA54" s="3075" t="s">
        <v>55</v>
      </c>
      <c r="UNB54" s="3078"/>
      <c r="UNC54" s="3078"/>
      <c r="UND54" s="3078"/>
      <c r="UNE54" s="3078"/>
      <c r="UNF54" s="3078"/>
      <c r="UNG54" s="3078"/>
      <c r="UNH54" s="3078"/>
      <c r="UNI54" s="3075" t="s">
        <v>55</v>
      </c>
      <c r="UNJ54" s="3078"/>
      <c r="UNK54" s="3078"/>
      <c r="UNL54" s="3078"/>
      <c r="UNM54" s="3078"/>
      <c r="UNN54" s="3078"/>
      <c r="UNO54" s="3078"/>
      <c r="UNP54" s="3078"/>
      <c r="UNQ54" s="3075" t="s">
        <v>55</v>
      </c>
      <c r="UNR54" s="3078"/>
      <c r="UNS54" s="3078"/>
      <c r="UNT54" s="3078"/>
      <c r="UNU54" s="3078"/>
      <c r="UNV54" s="3078"/>
      <c r="UNW54" s="3078"/>
      <c r="UNX54" s="3078"/>
      <c r="UNY54" s="3075" t="s">
        <v>55</v>
      </c>
      <c r="UNZ54" s="3078"/>
      <c r="UOA54" s="3078"/>
      <c r="UOB54" s="3078"/>
      <c r="UOC54" s="3078"/>
      <c r="UOD54" s="3078"/>
      <c r="UOE54" s="3078"/>
      <c r="UOF54" s="3078"/>
      <c r="UOG54" s="3075" t="s">
        <v>55</v>
      </c>
      <c r="UOH54" s="3078"/>
      <c r="UOI54" s="3078"/>
      <c r="UOJ54" s="3078"/>
      <c r="UOK54" s="3078"/>
      <c r="UOL54" s="3078"/>
      <c r="UOM54" s="3078"/>
      <c r="UON54" s="3078"/>
      <c r="UOO54" s="3075" t="s">
        <v>55</v>
      </c>
      <c r="UOP54" s="3078"/>
      <c r="UOQ54" s="3078"/>
      <c r="UOR54" s="3078"/>
      <c r="UOS54" s="3078"/>
      <c r="UOT54" s="3078"/>
      <c r="UOU54" s="3078"/>
      <c r="UOV54" s="3078"/>
      <c r="UOW54" s="3075" t="s">
        <v>55</v>
      </c>
      <c r="UOX54" s="3078"/>
      <c r="UOY54" s="3078"/>
      <c r="UOZ54" s="3078"/>
      <c r="UPA54" s="3078"/>
      <c r="UPB54" s="3078"/>
      <c r="UPC54" s="3078"/>
      <c r="UPD54" s="3078"/>
      <c r="UPE54" s="3075" t="s">
        <v>55</v>
      </c>
      <c r="UPF54" s="3078"/>
      <c r="UPG54" s="3078"/>
      <c r="UPH54" s="3078"/>
      <c r="UPI54" s="3078"/>
      <c r="UPJ54" s="3078"/>
      <c r="UPK54" s="3078"/>
      <c r="UPL54" s="3078"/>
      <c r="UPM54" s="3075" t="s">
        <v>55</v>
      </c>
      <c r="UPN54" s="3078"/>
      <c r="UPO54" s="3078"/>
      <c r="UPP54" s="3078"/>
      <c r="UPQ54" s="3078"/>
      <c r="UPR54" s="3078"/>
      <c r="UPS54" s="3078"/>
      <c r="UPT54" s="3078"/>
      <c r="UPU54" s="3075" t="s">
        <v>55</v>
      </c>
      <c r="UPV54" s="3078"/>
      <c r="UPW54" s="3078"/>
      <c r="UPX54" s="3078"/>
      <c r="UPY54" s="3078"/>
      <c r="UPZ54" s="3078"/>
      <c r="UQA54" s="3078"/>
      <c r="UQB54" s="3078"/>
      <c r="UQC54" s="3075" t="s">
        <v>55</v>
      </c>
      <c r="UQD54" s="3078"/>
      <c r="UQE54" s="3078"/>
      <c r="UQF54" s="3078"/>
      <c r="UQG54" s="3078"/>
      <c r="UQH54" s="3078"/>
      <c r="UQI54" s="3078"/>
      <c r="UQJ54" s="3078"/>
      <c r="UQK54" s="3075" t="s">
        <v>55</v>
      </c>
      <c r="UQL54" s="3078"/>
      <c r="UQM54" s="3078"/>
      <c r="UQN54" s="3078"/>
      <c r="UQO54" s="3078"/>
      <c r="UQP54" s="3078"/>
      <c r="UQQ54" s="3078"/>
      <c r="UQR54" s="3078"/>
      <c r="UQS54" s="3075" t="s">
        <v>55</v>
      </c>
      <c r="UQT54" s="3078"/>
      <c r="UQU54" s="3078"/>
      <c r="UQV54" s="3078"/>
      <c r="UQW54" s="3078"/>
      <c r="UQX54" s="3078"/>
      <c r="UQY54" s="3078"/>
      <c r="UQZ54" s="3078"/>
      <c r="URA54" s="3075" t="s">
        <v>55</v>
      </c>
      <c r="URB54" s="3078"/>
      <c r="URC54" s="3078"/>
      <c r="URD54" s="3078"/>
      <c r="URE54" s="3078"/>
      <c r="URF54" s="3078"/>
      <c r="URG54" s="3078"/>
      <c r="URH54" s="3078"/>
      <c r="URI54" s="3075" t="s">
        <v>55</v>
      </c>
      <c r="URJ54" s="3078"/>
      <c r="URK54" s="3078"/>
      <c r="URL54" s="3078"/>
      <c r="URM54" s="3078"/>
      <c r="URN54" s="3078"/>
      <c r="URO54" s="3078"/>
      <c r="URP54" s="3078"/>
      <c r="URQ54" s="3075" t="s">
        <v>55</v>
      </c>
      <c r="URR54" s="3078"/>
      <c r="URS54" s="3078"/>
      <c r="URT54" s="3078"/>
      <c r="URU54" s="3078"/>
      <c r="URV54" s="3078"/>
      <c r="URW54" s="3078"/>
      <c r="URX54" s="3078"/>
      <c r="URY54" s="3075" t="s">
        <v>55</v>
      </c>
      <c r="URZ54" s="3078"/>
      <c r="USA54" s="3078"/>
      <c r="USB54" s="3078"/>
      <c r="USC54" s="3078"/>
      <c r="USD54" s="3078"/>
      <c r="USE54" s="3078"/>
      <c r="USF54" s="3078"/>
      <c r="USG54" s="3075" t="s">
        <v>55</v>
      </c>
      <c r="USH54" s="3078"/>
      <c r="USI54" s="3078"/>
      <c r="USJ54" s="3078"/>
      <c r="USK54" s="3078"/>
      <c r="USL54" s="3078"/>
      <c r="USM54" s="3078"/>
      <c r="USN54" s="3078"/>
      <c r="USO54" s="3075" t="s">
        <v>55</v>
      </c>
      <c r="USP54" s="3078"/>
      <c r="USQ54" s="3078"/>
      <c r="USR54" s="3078"/>
      <c r="USS54" s="3078"/>
      <c r="UST54" s="3078"/>
      <c r="USU54" s="3078"/>
      <c r="USV54" s="3078"/>
      <c r="USW54" s="3075" t="s">
        <v>55</v>
      </c>
      <c r="USX54" s="3078"/>
      <c r="USY54" s="3078"/>
      <c r="USZ54" s="3078"/>
      <c r="UTA54" s="3078"/>
      <c r="UTB54" s="3078"/>
      <c r="UTC54" s="3078"/>
      <c r="UTD54" s="3078"/>
      <c r="UTE54" s="3075" t="s">
        <v>55</v>
      </c>
      <c r="UTF54" s="3078"/>
      <c r="UTG54" s="3078"/>
      <c r="UTH54" s="3078"/>
      <c r="UTI54" s="3078"/>
      <c r="UTJ54" s="3078"/>
      <c r="UTK54" s="3078"/>
      <c r="UTL54" s="3078"/>
      <c r="UTM54" s="3075" t="s">
        <v>55</v>
      </c>
      <c r="UTN54" s="3078"/>
      <c r="UTO54" s="3078"/>
      <c r="UTP54" s="3078"/>
      <c r="UTQ54" s="3078"/>
      <c r="UTR54" s="3078"/>
      <c r="UTS54" s="3078"/>
      <c r="UTT54" s="3078"/>
      <c r="UTU54" s="3075" t="s">
        <v>55</v>
      </c>
      <c r="UTV54" s="3078"/>
      <c r="UTW54" s="3078"/>
      <c r="UTX54" s="3078"/>
      <c r="UTY54" s="3078"/>
      <c r="UTZ54" s="3078"/>
      <c r="UUA54" s="3078"/>
      <c r="UUB54" s="3078"/>
      <c r="UUC54" s="3075" t="s">
        <v>55</v>
      </c>
      <c r="UUD54" s="3078"/>
      <c r="UUE54" s="3078"/>
      <c r="UUF54" s="3078"/>
      <c r="UUG54" s="3078"/>
      <c r="UUH54" s="3078"/>
      <c r="UUI54" s="3078"/>
      <c r="UUJ54" s="3078"/>
      <c r="UUK54" s="3075" t="s">
        <v>55</v>
      </c>
      <c r="UUL54" s="3078"/>
      <c r="UUM54" s="3078"/>
      <c r="UUN54" s="3078"/>
      <c r="UUO54" s="3078"/>
      <c r="UUP54" s="3078"/>
      <c r="UUQ54" s="3078"/>
      <c r="UUR54" s="3078"/>
      <c r="UUS54" s="3075" t="s">
        <v>55</v>
      </c>
      <c r="UUT54" s="3078"/>
      <c r="UUU54" s="3078"/>
      <c r="UUV54" s="3078"/>
      <c r="UUW54" s="3078"/>
      <c r="UUX54" s="3078"/>
      <c r="UUY54" s="3078"/>
      <c r="UUZ54" s="3078"/>
      <c r="UVA54" s="3075" t="s">
        <v>55</v>
      </c>
      <c r="UVB54" s="3078"/>
      <c r="UVC54" s="3078"/>
      <c r="UVD54" s="3078"/>
      <c r="UVE54" s="3078"/>
      <c r="UVF54" s="3078"/>
      <c r="UVG54" s="3078"/>
      <c r="UVH54" s="3078"/>
      <c r="UVI54" s="3075" t="s">
        <v>55</v>
      </c>
      <c r="UVJ54" s="3078"/>
      <c r="UVK54" s="3078"/>
      <c r="UVL54" s="3078"/>
      <c r="UVM54" s="3078"/>
      <c r="UVN54" s="3078"/>
      <c r="UVO54" s="3078"/>
      <c r="UVP54" s="3078"/>
      <c r="UVQ54" s="3075" t="s">
        <v>55</v>
      </c>
      <c r="UVR54" s="3078"/>
      <c r="UVS54" s="3078"/>
      <c r="UVT54" s="3078"/>
      <c r="UVU54" s="3078"/>
      <c r="UVV54" s="3078"/>
      <c r="UVW54" s="3078"/>
      <c r="UVX54" s="3078"/>
      <c r="UVY54" s="3075" t="s">
        <v>55</v>
      </c>
      <c r="UVZ54" s="3078"/>
      <c r="UWA54" s="3078"/>
      <c r="UWB54" s="3078"/>
      <c r="UWC54" s="3078"/>
      <c r="UWD54" s="3078"/>
      <c r="UWE54" s="3078"/>
      <c r="UWF54" s="3078"/>
      <c r="UWG54" s="3075" t="s">
        <v>55</v>
      </c>
      <c r="UWH54" s="3078"/>
      <c r="UWI54" s="3078"/>
      <c r="UWJ54" s="3078"/>
      <c r="UWK54" s="3078"/>
      <c r="UWL54" s="3078"/>
      <c r="UWM54" s="3078"/>
      <c r="UWN54" s="3078"/>
      <c r="UWO54" s="3075" t="s">
        <v>55</v>
      </c>
      <c r="UWP54" s="3078"/>
      <c r="UWQ54" s="3078"/>
      <c r="UWR54" s="3078"/>
      <c r="UWS54" s="3078"/>
      <c r="UWT54" s="3078"/>
      <c r="UWU54" s="3078"/>
      <c r="UWV54" s="3078"/>
      <c r="UWW54" s="3075" t="s">
        <v>55</v>
      </c>
      <c r="UWX54" s="3078"/>
      <c r="UWY54" s="3078"/>
      <c r="UWZ54" s="3078"/>
      <c r="UXA54" s="3078"/>
      <c r="UXB54" s="3078"/>
      <c r="UXC54" s="3078"/>
      <c r="UXD54" s="3078"/>
      <c r="UXE54" s="3075" t="s">
        <v>55</v>
      </c>
      <c r="UXF54" s="3078"/>
      <c r="UXG54" s="3078"/>
      <c r="UXH54" s="3078"/>
      <c r="UXI54" s="3078"/>
      <c r="UXJ54" s="3078"/>
      <c r="UXK54" s="3078"/>
      <c r="UXL54" s="3078"/>
      <c r="UXM54" s="3075" t="s">
        <v>55</v>
      </c>
      <c r="UXN54" s="3078"/>
      <c r="UXO54" s="3078"/>
      <c r="UXP54" s="3078"/>
      <c r="UXQ54" s="3078"/>
      <c r="UXR54" s="3078"/>
      <c r="UXS54" s="3078"/>
      <c r="UXT54" s="3078"/>
      <c r="UXU54" s="3075" t="s">
        <v>55</v>
      </c>
      <c r="UXV54" s="3078"/>
      <c r="UXW54" s="3078"/>
      <c r="UXX54" s="3078"/>
      <c r="UXY54" s="3078"/>
      <c r="UXZ54" s="3078"/>
      <c r="UYA54" s="3078"/>
      <c r="UYB54" s="3078"/>
      <c r="UYC54" s="3075" t="s">
        <v>55</v>
      </c>
      <c r="UYD54" s="3078"/>
      <c r="UYE54" s="3078"/>
      <c r="UYF54" s="3078"/>
      <c r="UYG54" s="3078"/>
      <c r="UYH54" s="3078"/>
      <c r="UYI54" s="3078"/>
      <c r="UYJ54" s="3078"/>
      <c r="UYK54" s="3075" t="s">
        <v>55</v>
      </c>
      <c r="UYL54" s="3078"/>
      <c r="UYM54" s="3078"/>
      <c r="UYN54" s="3078"/>
      <c r="UYO54" s="3078"/>
      <c r="UYP54" s="3078"/>
      <c r="UYQ54" s="3078"/>
      <c r="UYR54" s="3078"/>
      <c r="UYS54" s="3075" t="s">
        <v>55</v>
      </c>
      <c r="UYT54" s="3078"/>
      <c r="UYU54" s="3078"/>
      <c r="UYV54" s="3078"/>
      <c r="UYW54" s="3078"/>
      <c r="UYX54" s="3078"/>
      <c r="UYY54" s="3078"/>
      <c r="UYZ54" s="3078"/>
      <c r="UZA54" s="3075" t="s">
        <v>55</v>
      </c>
      <c r="UZB54" s="3078"/>
      <c r="UZC54" s="3078"/>
      <c r="UZD54" s="3078"/>
      <c r="UZE54" s="3078"/>
      <c r="UZF54" s="3078"/>
      <c r="UZG54" s="3078"/>
      <c r="UZH54" s="3078"/>
      <c r="UZI54" s="3075" t="s">
        <v>55</v>
      </c>
      <c r="UZJ54" s="3078"/>
      <c r="UZK54" s="3078"/>
      <c r="UZL54" s="3078"/>
      <c r="UZM54" s="3078"/>
      <c r="UZN54" s="3078"/>
      <c r="UZO54" s="3078"/>
      <c r="UZP54" s="3078"/>
      <c r="UZQ54" s="3075" t="s">
        <v>55</v>
      </c>
      <c r="UZR54" s="3078"/>
      <c r="UZS54" s="3078"/>
      <c r="UZT54" s="3078"/>
      <c r="UZU54" s="3078"/>
      <c r="UZV54" s="3078"/>
      <c r="UZW54" s="3078"/>
      <c r="UZX54" s="3078"/>
      <c r="UZY54" s="3075" t="s">
        <v>55</v>
      </c>
      <c r="UZZ54" s="3078"/>
      <c r="VAA54" s="3078"/>
      <c r="VAB54" s="3078"/>
      <c r="VAC54" s="3078"/>
      <c r="VAD54" s="3078"/>
      <c r="VAE54" s="3078"/>
      <c r="VAF54" s="3078"/>
      <c r="VAG54" s="3075" t="s">
        <v>55</v>
      </c>
      <c r="VAH54" s="3078"/>
      <c r="VAI54" s="3078"/>
      <c r="VAJ54" s="3078"/>
      <c r="VAK54" s="3078"/>
      <c r="VAL54" s="3078"/>
      <c r="VAM54" s="3078"/>
      <c r="VAN54" s="3078"/>
      <c r="VAO54" s="3075" t="s">
        <v>55</v>
      </c>
      <c r="VAP54" s="3078"/>
      <c r="VAQ54" s="3078"/>
      <c r="VAR54" s="3078"/>
      <c r="VAS54" s="3078"/>
      <c r="VAT54" s="3078"/>
      <c r="VAU54" s="3078"/>
      <c r="VAV54" s="3078"/>
      <c r="VAW54" s="3075" t="s">
        <v>55</v>
      </c>
      <c r="VAX54" s="3078"/>
      <c r="VAY54" s="3078"/>
      <c r="VAZ54" s="3078"/>
      <c r="VBA54" s="3078"/>
      <c r="VBB54" s="3078"/>
      <c r="VBC54" s="3078"/>
      <c r="VBD54" s="3078"/>
      <c r="VBE54" s="3075" t="s">
        <v>55</v>
      </c>
      <c r="VBF54" s="3078"/>
      <c r="VBG54" s="3078"/>
      <c r="VBH54" s="3078"/>
      <c r="VBI54" s="3078"/>
      <c r="VBJ54" s="3078"/>
      <c r="VBK54" s="3078"/>
      <c r="VBL54" s="3078"/>
      <c r="VBM54" s="3075" t="s">
        <v>55</v>
      </c>
      <c r="VBN54" s="3078"/>
      <c r="VBO54" s="3078"/>
      <c r="VBP54" s="3078"/>
      <c r="VBQ54" s="3078"/>
      <c r="VBR54" s="3078"/>
      <c r="VBS54" s="3078"/>
      <c r="VBT54" s="3078"/>
      <c r="VBU54" s="3075" t="s">
        <v>55</v>
      </c>
      <c r="VBV54" s="3078"/>
      <c r="VBW54" s="3078"/>
      <c r="VBX54" s="3078"/>
      <c r="VBY54" s="3078"/>
      <c r="VBZ54" s="3078"/>
      <c r="VCA54" s="3078"/>
      <c r="VCB54" s="3078"/>
      <c r="VCC54" s="3075" t="s">
        <v>55</v>
      </c>
      <c r="VCD54" s="3078"/>
      <c r="VCE54" s="3078"/>
      <c r="VCF54" s="3078"/>
      <c r="VCG54" s="3078"/>
      <c r="VCH54" s="3078"/>
      <c r="VCI54" s="3078"/>
      <c r="VCJ54" s="3078"/>
      <c r="VCK54" s="3075" t="s">
        <v>55</v>
      </c>
      <c r="VCL54" s="3078"/>
      <c r="VCM54" s="3078"/>
      <c r="VCN54" s="3078"/>
      <c r="VCO54" s="3078"/>
      <c r="VCP54" s="3078"/>
      <c r="VCQ54" s="3078"/>
      <c r="VCR54" s="3078"/>
      <c r="VCS54" s="3075" t="s">
        <v>55</v>
      </c>
      <c r="VCT54" s="3078"/>
      <c r="VCU54" s="3078"/>
      <c r="VCV54" s="3078"/>
      <c r="VCW54" s="3078"/>
      <c r="VCX54" s="3078"/>
      <c r="VCY54" s="3078"/>
      <c r="VCZ54" s="3078"/>
      <c r="VDA54" s="3075" t="s">
        <v>55</v>
      </c>
      <c r="VDB54" s="3078"/>
      <c r="VDC54" s="3078"/>
      <c r="VDD54" s="3078"/>
      <c r="VDE54" s="3078"/>
      <c r="VDF54" s="3078"/>
      <c r="VDG54" s="3078"/>
      <c r="VDH54" s="3078"/>
      <c r="VDI54" s="3075" t="s">
        <v>55</v>
      </c>
      <c r="VDJ54" s="3078"/>
      <c r="VDK54" s="3078"/>
      <c r="VDL54" s="3078"/>
      <c r="VDM54" s="3078"/>
      <c r="VDN54" s="3078"/>
      <c r="VDO54" s="3078"/>
      <c r="VDP54" s="3078"/>
      <c r="VDQ54" s="3075" t="s">
        <v>55</v>
      </c>
      <c r="VDR54" s="3078"/>
      <c r="VDS54" s="3078"/>
      <c r="VDT54" s="3078"/>
      <c r="VDU54" s="3078"/>
      <c r="VDV54" s="3078"/>
      <c r="VDW54" s="3078"/>
      <c r="VDX54" s="3078"/>
      <c r="VDY54" s="3075" t="s">
        <v>55</v>
      </c>
      <c r="VDZ54" s="3078"/>
      <c r="VEA54" s="3078"/>
      <c r="VEB54" s="3078"/>
      <c r="VEC54" s="3078"/>
      <c r="VED54" s="3078"/>
      <c r="VEE54" s="3078"/>
      <c r="VEF54" s="3078"/>
      <c r="VEG54" s="3075" t="s">
        <v>55</v>
      </c>
      <c r="VEH54" s="3078"/>
      <c r="VEI54" s="3078"/>
      <c r="VEJ54" s="3078"/>
      <c r="VEK54" s="3078"/>
      <c r="VEL54" s="3078"/>
      <c r="VEM54" s="3078"/>
      <c r="VEN54" s="3078"/>
      <c r="VEO54" s="3075" t="s">
        <v>55</v>
      </c>
      <c r="VEP54" s="3078"/>
      <c r="VEQ54" s="3078"/>
      <c r="VER54" s="3078"/>
      <c r="VES54" s="3078"/>
      <c r="VET54" s="3078"/>
      <c r="VEU54" s="3078"/>
      <c r="VEV54" s="3078"/>
      <c r="VEW54" s="3075" t="s">
        <v>55</v>
      </c>
      <c r="VEX54" s="3078"/>
      <c r="VEY54" s="3078"/>
      <c r="VEZ54" s="3078"/>
      <c r="VFA54" s="3078"/>
      <c r="VFB54" s="3078"/>
      <c r="VFC54" s="3078"/>
      <c r="VFD54" s="3078"/>
      <c r="VFE54" s="3075" t="s">
        <v>55</v>
      </c>
      <c r="VFF54" s="3078"/>
      <c r="VFG54" s="3078"/>
      <c r="VFH54" s="3078"/>
      <c r="VFI54" s="3078"/>
      <c r="VFJ54" s="3078"/>
      <c r="VFK54" s="3078"/>
      <c r="VFL54" s="3078"/>
      <c r="VFM54" s="3075" t="s">
        <v>55</v>
      </c>
      <c r="VFN54" s="3078"/>
      <c r="VFO54" s="3078"/>
      <c r="VFP54" s="3078"/>
      <c r="VFQ54" s="3078"/>
      <c r="VFR54" s="3078"/>
      <c r="VFS54" s="3078"/>
      <c r="VFT54" s="3078"/>
      <c r="VFU54" s="3075" t="s">
        <v>55</v>
      </c>
      <c r="VFV54" s="3078"/>
      <c r="VFW54" s="3078"/>
      <c r="VFX54" s="3078"/>
      <c r="VFY54" s="3078"/>
      <c r="VFZ54" s="3078"/>
      <c r="VGA54" s="3078"/>
      <c r="VGB54" s="3078"/>
      <c r="VGC54" s="3075" t="s">
        <v>55</v>
      </c>
      <c r="VGD54" s="3078"/>
      <c r="VGE54" s="3078"/>
      <c r="VGF54" s="3078"/>
      <c r="VGG54" s="3078"/>
      <c r="VGH54" s="3078"/>
      <c r="VGI54" s="3078"/>
      <c r="VGJ54" s="3078"/>
      <c r="VGK54" s="3075" t="s">
        <v>55</v>
      </c>
      <c r="VGL54" s="3078"/>
      <c r="VGM54" s="3078"/>
      <c r="VGN54" s="3078"/>
      <c r="VGO54" s="3078"/>
      <c r="VGP54" s="3078"/>
      <c r="VGQ54" s="3078"/>
      <c r="VGR54" s="3078"/>
      <c r="VGS54" s="3075" t="s">
        <v>55</v>
      </c>
      <c r="VGT54" s="3078"/>
      <c r="VGU54" s="3078"/>
      <c r="VGV54" s="3078"/>
      <c r="VGW54" s="3078"/>
      <c r="VGX54" s="3078"/>
      <c r="VGY54" s="3078"/>
      <c r="VGZ54" s="3078"/>
      <c r="VHA54" s="3075" t="s">
        <v>55</v>
      </c>
      <c r="VHB54" s="3078"/>
      <c r="VHC54" s="3078"/>
      <c r="VHD54" s="3078"/>
      <c r="VHE54" s="3078"/>
      <c r="VHF54" s="3078"/>
      <c r="VHG54" s="3078"/>
      <c r="VHH54" s="3078"/>
      <c r="VHI54" s="3075" t="s">
        <v>55</v>
      </c>
      <c r="VHJ54" s="3078"/>
      <c r="VHK54" s="3078"/>
      <c r="VHL54" s="3078"/>
      <c r="VHM54" s="3078"/>
      <c r="VHN54" s="3078"/>
      <c r="VHO54" s="3078"/>
      <c r="VHP54" s="3078"/>
      <c r="VHQ54" s="3075" t="s">
        <v>55</v>
      </c>
      <c r="VHR54" s="3078"/>
      <c r="VHS54" s="3078"/>
      <c r="VHT54" s="3078"/>
      <c r="VHU54" s="3078"/>
      <c r="VHV54" s="3078"/>
      <c r="VHW54" s="3078"/>
      <c r="VHX54" s="3078"/>
      <c r="VHY54" s="3075" t="s">
        <v>55</v>
      </c>
      <c r="VHZ54" s="3078"/>
      <c r="VIA54" s="3078"/>
      <c r="VIB54" s="3078"/>
      <c r="VIC54" s="3078"/>
      <c r="VID54" s="3078"/>
      <c r="VIE54" s="3078"/>
      <c r="VIF54" s="3078"/>
      <c r="VIG54" s="3075" t="s">
        <v>55</v>
      </c>
      <c r="VIH54" s="3078"/>
      <c r="VII54" s="3078"/>
      <c r="VIJ54" s="3078"/>
      <c r="VIK54" s="3078"/>
      <c r="VIL54" s="3078"/>
      <c r="VIM54" s="3078"/>
      <c r="VIN54" s="3078"/>
      <c r="VIO54" s="3075" t="s">
        <v>55</v>
      </c>
      <c r="VIP54" s="3078"/>
      <c r="VIQ54" s="3078"/>
      <c r="VIR54" s="3078"/>
      <c r="VIS54" s="3078"/>
      <c r="VIT54" s="3078"/>
      <c r="VIU54" s="3078"/>
      <c r="VIV54" s="3078"/>
      <c r="VIW54" s="3075" t="s">
        <v>55</v>
      </c>
      <c r="VIX54" s="3078"/>
      <c r="VIY54" s="3078"/>
      <c r="VIZ54" s="3078"/>
      <c r="VJA54" s="3078"/>
      <c r="VJB54" s="3078"/>
      <c r="VJC54" s="3078"/>
      <c r="VJD54" s="3078"/>
      <c r="VJE54" s="3075" t="s">
        <v>55</v>
      </c>
      <c r="VJF54" s="3078"/>
      <c r="VJG54" s="3078"/>
      <c r="VJH54" s="3078"/>
      <c r="VJI54" s="3078"/>
      <c r="VJJ54" s="3078"/>
      <c r="VJK54" s="3078"/>
      <c r="VJL54" s="3078"/>
      <c r="VJM54" s="3075" t="s">
        <v>55</v>
      </c>
      <c r="VJN54" s="3078"/>
      <c r="VJO54" s="3078"/>
      <c r="VJP54" s="3078"/>
      <c r="VJQ54" s="3078"/>
      <c r="VJR54" s="3078"/>
      <c r="VJS54" s="3078"/>
      <c r="VJT54" s="3078"/>
      <c r="VJU54" s="3075" t="s">
        <v>55</v>
      </c>
      <c r="VJV54" s="3078"/>
      <c r="VJW54" s="3078"/>
      <c r="VJX54" s="3078"/>
      <c r="VJY54" s="3078"/>
      <c r="VJZ54" s="3078"/>
      <c r="VKA54" s="3078"/>
      <c r="VKB54" s="3078"/>
      <c r="VKC54" s="3075" t="s">
        <v>55</v>
      </c>
      <c r="VKD54" s="3078"/>
      <c r="VKE54" s="3078"/>
      <c r="VKF54" s="3078"/>
      <c r="VKG54" s="3078"/>
      <c r="VKH54" s="3078"/>
      <c r="VKI54" s="3078"/>
      <c r="VKJ54" s="3078"/>
      <c r="VKK54" s="3075" t="s">
        <v>55</v>
      </c>
      <c r="VKL54" s="3078"/>
      <c r="VKM54" s="3078"/>
      <c r="VKN54" s="3078"/>
      <c r="VKO54" s="3078"/>
      <c r="VKP54" s="3078"/>
      <c r="VKQ54" s="3078"/>
      <c r="VKR54" s="3078"/>
      <c r="VKS54" s="3075" t="s">
        <v>55</v>
      </c>
      <c r="VKT54" s="3078"/>
      <c r="VKU54" s="3078"/>
      <c r="VKV54" s="3078"/>
      <c r="VKW54" s="3078"/>
      <c r="VKX54" s="3078"/>
      <c r="VKY54" s="3078"/>
      <c r="VKZ54" s="3078"/>
      <c r="VLA54" s="3075" t="s">
        <v>55</v>
      </c>
      <c r="VLB54" s="3078"/>
      <c r="VLC54" s="3078"/>
      <c r="VLD54" s="3078"/>
      <c r="VLE54" s="3078"/>
      <c r="VLF54" s="3078"/>
      <c r="VLG54" s="3078"/>
      <c r="VLH54" s="3078"/>
      <c r="VLI54" s="3075" t="s">
        <v>55</v>
      </c>
      <c r="VLJ54" s="3078"/>
      <c r="VLK54" s="3078"/>
      <c r="VLL54" s="3078"/>
      <c r="VLM54" s="3078"/>
      <c r="VLN54" s="3078"/>
      <c r="VLO54" s="3078"/>
      <c r="VLP54" s="3078"/>
      <c r="VLQ54" s="3075" t="s">
        <v>55</v>
      </c>
      <c r="VLR54" s="3078"/>
      <c r="VLS54" s="3078"/>
      <c r="VLT54" s="3078"/>
      <c r="VLU54" s="3078"/>
      <c r="VLV54" s="3078"/>
      <c r="VLW54" s="3078"/>
      <c r="VLX54" s="3078"/>
      <c r="VLY54" s="3075" t="s">
        <v>55</v>
      </c>
      <c r="VLZ54" s="3078"/>
      <c r="VMA54" s="3078"/>
      <c r="VMB54" s="3078"/>
      <c r="VMC54" s="3078"/>
      <c r="VMD54" s="3078"/>
      <c r="VME54" s="3078"/>
      <c r="VMF54" s="3078"/>
      <c r="VMG54" s="3075" t="s">
        <v>55</v>
      </c>
      <c r="VMH54" s="3078"/>
      <c r="VMI54" s="3078"/>
      <c r="VMJ54" s="3078"/>
      <c r="VMK54" s="3078"/>
      <c r="VML54" s="3078"/>
      <c r="VMM54" s="3078"/>
      <c r="VMN54" s="3078"/>
      <c r="VMO54" s="3075" t="s">
        <v>55</v>
      </c>
      <c r="VMP54" s="3078"/>
      <c r="VMQ54" s="3078"/>
      <c r="VMR54" s="3078"/>
      <c r="VMS54" s="3078"/>
      <c r="VMT54" s="3078"/>
      <c r="VMU54" s="3078"/>
      <c r="VMV54" s="3078"/>
      <c r="VMW54" s="3075" t="s">
        <v>55</v>
      </c>
      <c r="VMX54" s="3078"/>
      <c r="VMY54" s="3078"/>
      <c r="VMZ54" s="3078"/>
      <c r="VNA54" s="3078"/>
      <c r="VNB54" s="3078"/>
      <c r="VNC54" s="3078"/>
      <c r="VND54" s="3078"/>
      <c r="VNE54" s="3075" t="s">
        <v>55</v>
      </c>
      <c r="VNF54" s="3078"/>
      <c r="VNG54" s="3078"/>
      <c r="VNH54" s="3078"/>
      <c r="VNI54" s="3078"/>
      <c r="VNJ54" s="3078"/>
      <c r="VNK54" s="3078"/>
      <c r="VNL54" s="3078"/>
      <c r="VNM54" s="3075" t="s">
        <v>55</v>
      </c>
      <c r="VNN54" s="3078"/>
      <c r="VNO54" s="3078"/>
      <c r="VNP54" s="3078"/>
      <c r="VNQ54" s="3078"/>
      <c r="VNR54" s="3078"/>
      <c r="VNS54" s="3078"/>
      <c r="VNT54" s="3078"/>
      <c r="VNU54" s="3075" t="s">
        <v>55</v>
      </c>
      <c r="VNV54" s="3078"/>
      <c r="VNW54" s="3078"/>
      <c r="VNX54" s="3078"/>
      <c r="VNY54" s="3078"/>
      <c r="VNZ54" s="3078"/>
      <c r="VOA54" s="3078"/>
      <c r="VOB54" s="3078"/>
      <c r="VOC54" s="3075" t="s">
        <v>55</v>
      </c>
      <c r="VOD54" s="3078"/>
      <c r="VOE54" s="3078"/>
      <c r="VOF54" s="3078"/>
      <c r="VOG54" s="3078"/>
      <c r="VOH54" s="3078"/>
      <c r="VOI54" s="3078"/>
      <c r="VOJ54" s="3078"/>
      <c r="VOK54" s="3075" t="s">
        <v>55</v>
      </c>
      <c r="VOL54" s="3078"/>
      <c r="VOM54" s="3078"/>
      <c r="VON54" s="3078"/>
      <c r="VOO54" s="3078"/>
      <c r="VOP54" s="3078"/>
      <c r="VOQ54" s="3078"/>
      <c r="VOR54" s="3078"/>
      <c r="VOS54" s="3075" t="s">
        <v>55</v>
      </c>
      <c r="VOT54" s="3078"/>
      <c r="VOU54" s="3078"/>
      <c r="VOV54" s="3078"/>
      <c r="VOW54" s="3078"/>
      <c r="VOX54" s="3078"/>
      <c r="VOY54" s="3078"/>
      <c r="VOZ54" s="3078"/>
      <c r="VPA54" s="3075" t="s">
        <v>55</v>
      </c>
      <c r="VPB54" s="3078"/>
      <c r="VPC54" s="3078"/>
      <c r="VPD54" s="3078"/>
      <c r="VPE54" s="3078"/>
      <c r="VPF54" s="3078"/>
      <c r="VPG54" s="3078"/>
      <c r="VPH54" s="3078"/>
      <c r="VPI54" s="3075" t="s">
        <v>55</v>
      </c>
      <c r="VPJ54" s="3078"/>
      <c r="VPK54" s="3078"/>
      <c r="VPL54" s="3078"/>
      <c r="VPM54" s="3078"/>
      <c r="VPN54" s="3078"/>
      <c r="VPO54" s="3078"/>
      <c r="VPP54" s="3078"/>
      <c r="VPQ54" s="3075" t="s">
        <v>55</v>
      </c>
      <c r="VPR54" s="3078"/>
      <c r="VPS54" s="3078"/>
      <c r="VPT54" s="3078"/>
      <c r="VPU54" s="3078"/>
      <c r="VPV54" s="3078"/>
      <c r="VPW54" s="3078"/>
      <c r="VPX54" s="3078"/>
      <c r="VPY54" s="3075" t="s">
        <v>55</v>
      </c>
      <c r="VPZ54" s="3078"/>
      <c r="VQA54" s="3078"/>
      <c r="VQB54" s="3078"/>
      <c r="VQC54" s="3078"/>
      <c r="VQD54" s="3078"/>
      <c r="VQE54" s="3078"/>
      <c r="VQF54" s="3078"/>
      <c r="VQG54" s="3075" t="s">
        <v>55</v>
      </c>
      <c r="VQH54" s="3078"/>
      <c r="VQI54" s="3078"/>
      <c r="VQJ54" s="3078"/>
      <c r="VQK54" s="3078"/>
      <c r="VQL54" s="3078"/>
      <c r="VQM54" s="3078"/>
      <c r="VQN54" s="3078"/>
      <c r="VQO54" s="3075" t="s">
        <v>55</v>
      </c>
      <c r="VQP54" s="3078"/>
      <c r="VQQ54" s="3078"/>
      <c r="VQR54" s="3078"/>
      <c r="VQS54" s="3078"/>
      <c r="VQT54" s="3078"/>
      <c r="VQU54" s="3078"/>
      <c r="VQV54" s="3078"/>
      <c r="VQW54" s="3075" t="s">
        <v>55</v>
      </c>
      <c r="VQX54" s="3078"/>
      <c r="VQY54" s="3078"/>
      <c r="VQZ54" s="3078"/>
      <c r="VRA54" s="3078"/>
      <c r="VRB54" s="3078"/>
      <c r="VRC54" s="3078"/>
      <c r="VRD54" s="3078"/>
      <c r="VRE54" s="3075" t="s">
        <v>55</v>
      </c>
      <c r="VRF54" s="3078"/>
      <c r="VRG54" s="3078"/>
      <c r="VRH54" s="3078"/>
      <c r="VRI54" s="3078"/>
      <c r="VRJ54" s="3078"/>
      <c r="VRK54" s="3078"/>
      <c r="VRL54" s="3078"/>
      <c r="VRM54" s="3075" t="s">
        <v>55</v>
      </c>
      <c r="VRN54" s="3078"/>
      <c r="VRO54" s="3078"/>
      <c r="VRP54" s="3078"/>
      <c r="VRQ54" s="3078"/>
      <c r="VRR54" s="3078"/>
      <c r="VRS54" s="3078"/>
      <c r="VRT54" s="3078"/>
      <c r="VRU54" s="3075" t="s">
        <v>55</v>
      </c>
      <c r="VRV54" s="3078"/>
      <c r="VRW54" s="3078"/>
      <c r="VRX54" s="3078"/>
      <c r="VRY54" s="3078"/>
      <c r="VRZ54" s="3078"/>
      <c r="VSA54" s="3078"/>
      <c r="VSB54" s="3078"/>
      <c r="VSC54" s="3075" t="s">
        <v>55</v>
      </c>
      <c r="VSD54" s="3078"/>
      <c r="VSE54" s="3078"/>
      <c r="VSF54" s="3078"/>
      <c r="VSG54" s="3078"/>
      <c r="VSH54" s="3078"/>
      <c r="VSI54" s="3078"/>
      <c r="VSJ54" s="3078"/>
      <c r="VSK54" s="3075" t="s">
        <v>55</v>
      </c>
      <c r="VSL54" s="3078"/>
      <c r="VSM54" s="3078"/>
      <c r="VSN54" s="3078"/>
      <c r="VSO54" s="3078"/>
      <c r="VSP54" s="3078"/>
      <c r="VSQ54" s="3078"/>
      <c r="VSR54" s="3078"/>
      <c r="VSS54" s="3075" t="s">
        <v>55</v>
      </c>
      <c r="VST54" s="3078"/>
      <c r="VSU54" s="3078"/>
      <c r="VSV54" s="3078"/>
      <c r="VSW54" s="3078"/>
      <c r="VSX54" s="3078"/>
      <c r="VSY54" s="3078"/>
      <c r="VSZ54" s="3078"/>
      <c r="VTA54" s="3075" t="s">
        <v>55</v>
      </c>
      <c r="VTB54" s="3078"/>
      <c r="VTC54" s="3078"/>
      <c r="VTD54" s="3078"/>
      <c r="VTE54" s="3078"/>
      <c r="VTF54" s="3078"/>
      <c r="VTG54" s="3078"/>
      <c r="VTH54" s="3078"/>
      <c r="VTI54" s="3075" t="s">
        <v>55</v>
      </c>
      <c r="VTJ54" s="3078"/>
      <c r="VTK54" s="3078"/>
      <c r="VTL54" s="3078"/>
      <c r="VTM54" s="3078"/>
      <c r="VTN54" s="3078"/>
      <c r="VTO54" s="3078"/>
      <c r="VTP54" s="3078"/>
      <c r="VTQ54" s="3075" t="s">
        <v>55</v>
      </c>
      <c r="VTR54" s="3078"/>
      <c r="VTS54" s="3078"/>
      <c r="VTT54" s="3078"/>
      <c r="VTU54" s="3078"/>
      <c r="VTV54" s="3078"/>
      <c r="VTW54" s="3078"/>
      <c r="VTX54" s="3078"/>
      <c r="VTY54" s="3075" t="s">
        <v>55</v>
      </c>
      <c r="VTZ54" s="3078"/>
      <c r="VUA54" s="3078"/>
      <c r="VUB54" s="3078"/>
      <c r="VUC54" s="3078"/>
      <c r="VUD54" s="3078"/>
      <c r="VUE54" s="3078"/>
      <c r="VUF54" s="3078"/>
      <c r="VUG54" s="3075" t="s">
        <v>55</v>
      </c>
      <c r="VUH54" s="3078"/>
      <c r="VUI54" s="3078"/>
      <c r="VUJ54" s="3078"/>
      <c r="VUK54" s="3078"/>
      <c r="VUL54" s="3078"/>
      <c r="VUM54" s="3078"/>
      <c r="VUN54" s="3078"/>
      <c r="VUO54" s="3075" t="s">
        <v>55</v>
      </c>
      <c r="VUP54" s="3078"/>
      <c r="VUQ54" s="3078"/>
      <c r="VUR54" s="3078"/>
      <c r="VUS54" s="3078"/>
      <c r="VUT54" s="3078"/>
      <c r="VUU54" s="3078"/>
      <c r="VUV54" s="3078"/>
      <c r="VUW54" s="3075" t="s">
        <v>55</v>
      </c>
      <c r="VUX54" s="3078"/>
      <c r="VUY54" s="3078"/>
      <c r="VUZ54" s="3078"/>
      <c r="VVA54" s="3078"/>
      <c r="VVB54" s="3078"/>
      <c r="VVC54" s="3078"/>
      <c r="VVD54" s="3078"/>
      <c r="VVE54" s="3075" t="s">
        <v>55</v>
      </c>
      <c r="VVF54" s="3078"/>
      <c r="VVG54" s="3078"/>
      <c r="VVH54" s="3078"/>
      <c r="VVI54" s="3078"/>
      <c r="VVJ54" s="3078"/>
      <c r="VVK54" s="3078"/>
      <c r="VVL54" s="3078"/>
      <c r="VVM54" s="3075" t="s">
        <v>55</v>
      </c>
      <c r="VVN54" s="3078"/>
      <c r="VVO54" s="3078"/>
      <c r="VVP54" s="3078"/>
      <c r="VVQ54" s="3078"/>
      <c r="VVR54" s="3078"/>
      <c r="VVS54" s="3078"/>
      <c r="VVT54" s="3078"/>
      <c r="VVU54" s="3075" t="s">
        <v>55</v>
      </c>
      <c r="VVV54" s="3078"/>
      <c r="VVW54" s="3078"/>
      <c r="VVX54" s="3078"/>
      <c r="VVY54" s="3078"/>
      <c r="VVZ54" s="3078"/>
      <c r="VWA54" s="3078"/>
      <c r="VWB54" s="3078"/>
      <c r="VWC54" s="3075" t="s">
        <v>55</v>
      </c>
      <c r="VWD54" s="3078"/>
      <c r="VWE54" s="3078"/>
      <c r="VWF54" s="3078"/>
      <c r="VWG54" s="3078"/>
      <c r="VWH54" s="3078"/>
      <c r="VWI54" s="3078"/>
      <c r="VWJ54" s="3078"/>
      <c r="VWK54" s="3075" t="s">
        <v>55</v>
      </c>
      <c r="VWL54" s="3078"/>
      <c r="VWM54" s="3078"/>
      <c r="VWN54" s="3078"/>
      <c r="VWO54" s="3078"/>
      <c r="VWP54" s="3078"/>
      <c r="VWQ54" s="3078"/>
      <c r="VWR54" s="3078"/>
      <c r="VWS54" s="3075" t="s">
        <v>55</v>
      </c>
      <c r="VWT54" s="3078"/>
      <c r="VWU54" s="3078"/>
      <c r="VWV54" s="3078"/>
      <c r="VWW54" s="3078"/>
      <c r="VWX54" s="3078"/>
      <c r="VWY54" s="3078"/>
      <c r="VWZ54" s="3078"/>
      <c r="VXA54" s="3075" t="s">
        <v>55</v>
      </c>
      <c r="VXB54" s="3078"/>
      <c r="VXC54" s="3078"/>
      <c r="VXD54" s="3078"/>
      <c r="VXE54" s="3078"/>
      <c r="VXF54" s="3078"/>
      <c r="VXG54" s="3078"/>
      <c r="VXH54" s="3078"/>
      <c r="VXI54" s="3075" t="s">
        <v>55</v>
      </c>
      <c r="VXJ54" s="3078"/>
      <c r="VXK54" s="3078"/>
      <c r="VXL54" s="3078"/>
      <c r="VXM54" s="3078"/>
      <c r="VXN54" s="3078"/>
      <c r="VXO54" s="3078"/>
      <c r="VXP54" s="3078"/>
      <c r="VXQ54" s="3075" t="s">
        <v>55</v>
      </c>
      <c r="VXR54" s="3078"/>
      <c r="VXS54" s="3078"/>
      <c r="VXT54" s="3078"/>
      <c r="VXU54" s="3078"/>
      <c r="VXV54" s="3078"/>
      <c r="VXW54" s="3078"/>
      <c r="VXX54" s="3078"/>
      <c r="VXY54" s="3075" t="s">
        <v>55</v>
      </c>
      <c r="VXZ54" s="3078"/>
      <c r="VYA54" s="3078"/>
      <c r="VYB54" s="3078"/>
      <c r="VYC54" s="3078"/>
      <c r="VYD54" s="3078"/>
      <c r="VYE54" s="3078"/>
      <c r="VYF54" s="3078"/>
      <c r="VYG54" s="3075" t="s">
        <v>55</v>
      </c>
      <c r="VYH54" s="3078"/>
      <c r="VYI54" s="3078"/>
      <c r="VYJ54" s="3078"/>
      <c r="VYK54" s="3078"/>
      <c r="VYL54" s="3078"/>
      <c r="VYM54" s="3078"/>
      <c r="VYN54" s="3078"/>
      <c r="VYO54" s="3075" t="s">
        <v>55</v>
      </c>
      <c r="VYP54" s="3078"/>
      <c r="VYQ54" s="3078"/>
      <c r="VYR54" s="3078"/>
      <c r="VYS54" s="3078"/>
      <c r="VYT54" s="3078"/>
      <c r="VYU54" s="3078"/>
      <c r="VYV54" s="3078"/>
      <c r="VYW54" s="3075" t="s">
        <v>55</v>
      </c>
      <c r="VYX54" s="3078"/>
      <c r="VYY54" s="3078"/>
      <c r="VYZ54" s="3078"/>
      <c r="VZA54" s="3078"/>
      <c r="VZB54" s="3078"/>
      <c r="VZC54" s="3078"/>
      <c r="VZD54" s="3078"/>
      <c r="VZE54" s="3075" t="s">
        <v>55</v>
      </c>
      <c r="VZF54" s="3078"/>
      <c r="VZG54" s="3078"/>
      <c r="VZH54" s="3078"/>
      <c r="VZI54" s="3078"/>
      <c r="VZJ54" s="3078"/>
      <c r="VZK54" s="3078"/>
      <c r="VZL54" s="3078"/>
      <c r="VZM54" s="3075" t="s">
        <v>55</v>
      </c>
      <c r="VZN54" s="3078"/>
      <c r="VZO54" s="3078"/>
      <c r="VZP54" s="3078"/>
      <c r="VZQ54" s="3078"/>
      <c r="VZR54" s="3078"/>
      <c r="VZS54" s="3078"/>
      <c r="VZT54" s="3078"/>
      <c r="VZU54" s="3075" t="s">
        <v>55</v>
      </c>
      <c r="VZV54" s="3078"/>
      <c r="VZW54" s="3078"/>
      <c r="VZX54" s="3078"/>
      <c r="VZY54" s="3078"/>
      <c r="VZZ54" s="3078"/>
      <c r="WAA54" s="3078"/>
      <c r="WAB54" s="3078"/>
      <c r="WAC54" s="3075" t="s">
        <v>55</v>
      </c>
      <c r="WAD54" s="3078"/>
      <c r="WAE54" s="3078"/>
      <c r="WAF54" s="3078"/>
      <c r="WAG54" s="3078"/>
      <c r="WAH54" s="3078"/>
      <c r="WAI54" s="3078"/>
      <c r="WAJ54" s="3078"/>
      <c r="WAK54" s="3075" t="s">
        <v>55</v>
      </c>
      <c r="WAL54" s="3078"/>
      <c r="WAM54" s="3078"/>
      <c r="WAN54" s="3078"/>
      <c r="WAO54" s="3078"/>
      <c r="WAP54" s="3078"/>
      <c r="WAQ54" s="3078"/>
      <c r="WAR54" s="3078"/>
      <c r="WAS54" s="3075" t="s">
        <v>55</v>
      </c>
      <c r="WAT54" s="3078"/>
      <c r="WAU54" s="3078"/>
      <c r="WAV54" s="3078"/>
      <c r="WAW54" s="3078"/>
      <c r="WAX54" s="3078"/>
      <c r="WAY54" s="3078"/>
      <c r="WAZ54" s="3078"/>
      <c r="WBA54" s="3075" t="s">
        <v>55</v>
      </c>
      <c r="WBB54" s="3078"/>
      <c r="WBC54" s="3078"/>
      <c r="WBD54" s="3078"/>
      <c r="WBE54" s="3078"/>
      <c r="WBF54" s="3078"/>
      <c r="WBG54" s="3078"/>
      <c r="WBH54" s="3078"/>
      <c r="WBI54" s="3075" t="s">
        <v>55</v>
      </c>
      <c r="WBJ54" s="3078"/>
      <c r="WBK54" s="3078"/>
      <c r="WBL54" s="3078"/>
      <c r="WBM54" s="3078"/>
      <c r="WBN54" s="3078"/>
      <c r="WBO54" s="3078"/>
      <c r="WBP54" s="3078"/>
      <c r="WBQ54" s="3075" t="s">
        <v>55</v>
      </c>
      <c r="WBR54" s="3078"/>
      <c r="WBS54" s="3078"/>
      <c r="WBT54" s="3078"/>
      <c r="WBU54" s="3078"/>
      <c r="WBV54" s="3078"/>
      <c r="WBW54" s="3078"/>
      <c r="WBX54" s="3078"/>
      <c r="WBY54" s="3075" t="s">
        <v>55</v>
      </c>
      <c r="WBZ54" s="3078"/>
      <c r="WCA54" s="3078"/>
      <c r="WCB54" s="3078"/>
      <c r="WCC54" s="3078"/>
      <c r="WCD54" s="3078"/>
      <c r="WCE54" s="3078"/>
      <c r="WCF54" s="3078"/>
      <c r="WCG54" s="3075" t="s">
        <v>55</v>
      </c>
      <c r="WCH54" s="3078"/>
      <c r="WCI54" s="3078"/>
      <c r="WCJ54" s="3078"/>
      <c r="WCK54" s="3078"/>
      <c r="WCL54" s="3078"/>
      <c r="WCM54" s="3078"/>
      <c r="WCN54" s="3078"/>
      <c r="WCO54" s="3075" t="s">
        <v>55</v>
      </c>
      <c r="WCP54" s="3078"/>
      <c r="WCQ54" s="3078"/>
      <c r="WCR54" s="3078"/>
      <c r="WCS54" s="3078"/>
      <c r="WCT54" s="3078"/>
      <c r="WCU54" s="3078"/>
      <c r="WCV54" s="3078"/>
      <c r="WCW54" s="3075" t="s">
        <v>55</v>
      </c>
      <c r="WCX54" s="3078"/>
      <c r="WCY54" s="3078"/>
      <c r="WCZ54" s="3078"/>
      <c r="WDA54" s="3078"/>
      <c r="WDB54" s="3078"/>
      <c r="WDC54" s="3078"/>
      <c r="WDD54" s="3078"/>
      <c r="WDE54" s="3075" t="s">
        <v>55</v>
      </c>
      <c r="WDF54" s="3078"/>
      <c r="WDG54" s="3078"/>
      <c r="WDH54" s="3078"/>
      <c r="WDI54" s="3078"/>
      <c r="WDJ54" s="3078"/>
      <c r="WDK54" s="3078"/>
      <c r="WDL54" s="3078"/>
      <c r="WDM54" s="3075" t="s">
        <v>55</v>
      </c>
      <c r="WDN54" s="3078"/>
      <c r="WDO54" s="3078"/>
      <c r="WDP54" s="3078"/>
      <c r="WDQ54" s="3078"/>
      <c r="WDR54" s="3078"/>
      <c r="WDS54" s="3078"/>
      <c r="WDT54" s="3078"/>
      <c r="WDU54" s="3075" t="s">
        <v>55</v>
      </c>
      <c r="WDV54" s="3078"/>
      <c r="WDW54" s="3078"/>
      <c r="WDX54" s="3078"/>
      <c r="WDY54" s="3078"/>
      <c r="WDZ54" s="3078"/>
      <c r="WEA54" s="3078"/>
      <c r="WEB54" s="3078"/>
      <c r="WEC54" s="3075" t="s">
        <v>55</v>
      </c>
      <c r="WED54" s="3078"/>
      <c r="WEE54" s="3078"/>
      <c r="WEF54" s="3078"/>
      <c r="WEG54" s="3078"/>
      <c r="WEH54" s="3078"/>
      <c r="WEI54" s="3078"/>
      <c r="WEJ54" s="3078"/>
      <c r="WEK54" s="3075" t="s">
        <v>55</v>
      </c>
      <c r="WEL54" s="3078"/>
      <c r="WEM54" s="3078"/>
      <c r="WEN54" s="3078"/>
      <c r="WEO54" s="3078"/>
      <c r="WEP54" s="3078"/>
      <c r="WEQ54" s="3078"/>
      <c r="WER54" s="3078"/>
      <c r="WES54" s="3075" t="s">
        <v>55</v>
      </c>
      <c r="WET54" s="3078"/>
      <c r="WEU54" s="3078"/>
      <c r="WEV54" s="3078"/>
      <c r="WEW54" s="3078"/>
      <c r="WEX54" s="3078"/>
      <c r="WEY54" s="3078"/>
      <c r="WEZ54" s="3078"/>
      <c r="WFA54" s="3075" t="s">
        <v>55</v>
      </c>
      <c r="WFB54" s="3078"/>
      <c r="WFC54" s="3078"/>
      <c r="WFD54" s="3078"/>
      <c r="WFE54" s="3078"/>
      <c r="WFF54" s="3078"/>
      <c r="WFG54" s="3078"/>
      <c r="WFH54" s="3078"/>
      <c r="WFI54" s="3075" t="s">
        <v>55</v>
      </c>
      <c r="WFJ54" s="3078"/>
      <c r="WFK54" s="3078"/>
      <c r="WFL54" s="3078"/>
      <c r="WFM54" s="3078"/>
      <c r="WFN54" s="3078"/>
      <c r="WFO54" s="3078"/>
      <c r="WFP54" s="3078"/>
      <c r="WFQ54" s="3075" t="s">
        <v>55</v>
      </c>
      <c r="WFR54" s="3078"/>
      <c r="WFS54" s="3078"/>
      <c r="WFT54" s="3078"/>
      <c r="WFU54" s="3078"/>
      <c r="WFV54" s="3078"/>
      <c r="WFW54" s="3078"/>
      <c r="WFX54" s="3078"/>
      <c r="WFY54" s="3075" t="s">
        <v>55</v>
      </c>
      <c r="WFZ54" s="3078"/>
      <c r="WGA54" s="3078"/>
      <c r="WGB54" s="3078"/>
      <c r="WGC54" s="3078"/>
      <c r="WGD54" s="3078"/>
      <c r="WGE54" s="3078"/>
      <c r="WGF54" s="3078"/>
      <c r="WGG54" s="3075" t="s">
        <v>55</v>
      </c>
      <c r="WGH54" s="3078"/>
      <c r="WGI54" s="3078"/>
      <c r="WGJ54" s="3078"/>
      <c r="WGK54" s="3078"/>
      <c r="WGL54" s="3078"/>
      <c r="WGM54" s="3078"/>
      <c r="WGN54" s="3078"/>
      <c r="WGO54" s="3075" t="s">
        <v>55</v>
      </c>
      <c r="WGP54" s="3078"/>
      <c r="WGQ54" s="3078"/>
      <c r="WGR54" s="3078"/>
      <c r="WGS54" s="3078"/>
      <c r="WGT54" s="3078"/>
      <c r="WGU54" s="3078"/>
      <c r="WGV54" s="3078"/>
      <c r="WGW54" s="3075" t="s">
        <v>55</v>
      </c>
      <c r="WGX54" s="3078"/>
      <c r="WGY54" s="3078"/>
      <c r="WGZ54" s="3078"/>
      <c r="WHA54" s="3078"/>
      <c r="WHB54" s="3078"/>
      <c r="WHC54" s="3078"/>
      <c r="WHD54" s="3078"/>
      <c r="WHE54" s="3075" t="s">
        <v>55</v>
      </c>
      <c r="WHF54" s="3078"/>
      <c r="WHG54" s="3078"/>
      <c r="WHH54" s="3078"/>
      <c r="WHI54" s="3078"/>
      <c r="WHJ54" s="3078"/>
      <c r="WHK54" s="3078"/>
      <c r="WHL54" s="3078"/>
      <c r="WHM54" s="3075" t="s">
        <v>55</v>
      </c>
      <c r="WHN54" s="3078"/>
      <c r="WHO54" s="3078"/>
      <c r="WHP54" s="3078"/>
      <c r="WHQ54" s="3078"/>
      <c r="WHR54" s="3078"/>
      <c r="WHS54" s="3078"/>
      <c r="WHT54" s="3078"/>
      <c r="WHU54" s="3075" t="s">
        <v>55</v>
      </c>
      <c r="WHV54" s="3078"/>
      <c r="WHW54" s="3078"/>
      <c r="WHX54" s="3078"/>
      <c r="WHY54" s="3078"/>
      <c r="WHZ54" s="3078"/>
      <c r="WIA54" s="3078"/>
      <c r="WIB54" s="3078"/>
      <c r="WIC54" s="3075" t="s">
        <v>55</v>
      </c>
      <c r="WID54" s="3078"/>
      <c r="WIE54" s="3078"/>
      <c r="WIF54" s="3078"/>
      <c r="WIG54" s="3078"/>
      <c r="WIH54" s="3078"/>
      <c r="WII54" s="3078"/>
      <c r="WIJ54" s="3078"/>
      <c r="WIK54" s="3075" t="s">
        <v>55</v>
      </c>
      <c r="WIL54" s="3078"/>
      <c r="WIM54" s="3078"/>
      <c r="WIN54" s="3078"/>
      <c r="WIO54" s="3078"/>
      <c r="WIP54" s="3078"/>
      <c r="WIQ54" s="3078"/>
      <c r="WIR54" s="3078"/>
      <c r="WIS54" s="3075" t="s">
        <v>55</v>
      </c>
      <c r="WIT54" s="3078"/>
      <c r="WIU54" s="3078"/>
      <c r="WIV54" s="3078"/>
      <c r="WIW54" s="3078"/>
      <c r="WIX54" s="3078"/>
      <c r="WIY54" s="3078"/>
      <c r="WIZ54" s="3078"/>
      <c r="WJA54" s="3075" t="s">
        <v>55</v>
      </c>
      <c r="WJB54" s="3078"/>
      <c r="WJC54" s="3078"/>
      <c r="WJD54" s="3078"/>
      <c r="WJE54" s="3078"/>
      <c r="WJF54" s="3078"/>
      <c r="WJG54" s="3078"/>
      <c r="WJH54" s="3078"/>
      <c r="WJI54" s="3075" t="s">
        <v>55</v>
      </c>
      <c r="WJJ54" s="3078"/>
      <c r="WJK54" s="3078"/>
      <c r="WJL54" s="3078"/>
      <c r="WJM54" s="3078"/>
      <c r="WJN54" s="3078"/>
      <c r="WJO54" s="3078"/>
      <c r="WJP54" s="3078"/>
      <c r="WJQ54" s="3075" t="s">
        <v>55</v>
      </c>
      <c r="WJR54" s="3078"/>
      <c r="WJS54" s="3078"/>
      <c r="WJT54" s="3078"/>
      <c r="WJU54" s="3078"/>
      <c r="WJV54" s="3078"/>
      <c r="WJW54" s="3078"/>
      <c r="WJX54" s="3078"/>
      <c r="WJY54" s="3075" t="s">
        <v>55</v>
      </c>
      <c r="WJZ54" s="3078"/>
      <c r="WKA54" s="3078"/>
      <c r="WKB54" s="3078"/>
      <c r="WKC54" s="3078"/>
      <c r="WKD54" s="3078"/>
      <c r="WKE54" s="3078"/>
      <c r="WKF54" s="3078"/>
      <c r="WKG54" s="3075" t="s">
        <v>55</v>
      </c>
      <c r="WKH54" s="3078"/>
      <c r="WKI54" s="3078"/>
      <c r="WKJ54" s="3078"/>
      <c r="WKK54" s="3078"/>
      <c r="WKL54" s="3078"/>
      <c r="WKM54" s="3078"/>
      <c r="WKN54" s="3078"/>
      <c r="WKO54" s="3075" t="s">
        <v>55</v>
      </c>
      <c r="WKP54" s="3078"/>
      <c r="WKQ54" s="3078"/>
      <c r="WKR54" s="3078"/>
      <c r="WKS54" s="3078"/>
      <c r="WKT54" s="3078"/>
      <c r="WKU54" s="3078"/>
      <c r="WKV54" s="3078"/>
      <c r="WKW54" s="3075" t="s">
        <v>55</v>
      </c>
      <c r="WKX54" s="3078"/>
      <c r="WKY54" s="3078"/>
      <c r="WKZ54" s="3078"/>
      <c r="WLA54" s="3078"/>
      <c r="WLB54" s="3078"/>
      <c r="WLC54" s="3078"/>
      <c r="WLD54" s="3078"/>
      <c r="WLE54" s="3075" t="s">
        <v>55</v>
      </c>
      <c r="WLF54" s="3078"/>
      <c r="WLG54" s="3078"/>
      <c r="WLH54" s="3078"/>
      <c r="WLI54" s="3078"/>
      <c r="WLJ54" s="3078"/>
      <c r="WLK54" s="3078"/>
      <c r="WLL54" s="3078"/>
      <c r="WLM54" s="3075" t="s">
        <v>55</v>
      </c>
      <c r="WLN54" s="3078"/>
      <c r="WLO54" s="3078"/>
      <c r="WLP54" s="3078"/>
      <c r="WLQ54" s="3078"/>
      <c r="WLR54" s="3078"/>
      <c r="WLS54" s="3078"/>
      <c r="WLT54" s="3078"/>
      <c r="WLU54" s="3075" t="s">
        <v>55</v>
      </c>
      <c r="WLV54" s="3078"/>
      <c r="WLW54" s="3078"/>
      <c r="WLX54" s="3078"/>
      <c r="WLY54" s="3078"/>
      <c r="WLZ54" s="3078"/>
      <c r="WMA54" s="3078"/>
      <c r="WMB54" s="3078"/>
      <c r="WMC54" s="3075" t="s">
        <v>55</v>
      </c>
      <c r="WMD54" s="3078"/>
      <c r="WME54" s="3078"/>
      <c r="WMF54" s="3078"/>
      <c r="WMG54" s="3078"/>
      <c r="WMH54" s="3078"/>
      <c r="WMI54" s="3078"/>
      <c r="WMJ54" s="3078"/>
      <c r="WMK54" s="3075" t="s">
        <v>55</v>
      </c>
      <c r="WML54" s="3078"/>
      <c r="WMM54" s="3078"/>
      <c r="WMN54" s="3078"/>
      <c r="WMO54" s="3078"/>
      <c r="WMP54" s="3078"/>
      <c r="WMQ54" s="3078"/>
      <c r="WMR54" s="3078"/>
      <c r="WMS54" s="3075" t="s">
        <v>55</v>
      </c>
      <c r="WMT54" s="3078"/>
      <c r="WMU54" s="3078"/>
      <c r="WMV54" s="3078"/>
      <c r="WMW54" s="3078"/>
      <c r="WMX54" s="3078"/>
      <c r="WMY54" s="3078"/>
      <c r="WMZ54" s="3078"/>
      <c r="WNA54" s="3075" t="s">
        <v>55</v>
      </c>
      <c r="WNB54" s="3078"/>
      <c r="WNC54" s="3078"/>
      <c r="WND54" s="3078"/>
      <c r="WNE54" s="3078"/>
      <c r="WNF54" s="3078"/>
      <c r="WNG54" s="3078"/>
      <c r="WNH54" s="3078"/>
      <c r="WNI54" s="3075" t="s">
        <v>55</v>
      </c>
      <c r="WNJ54" s="3078"/>
      <c r="WNK54" s="3078"/>
      <c r="WNL54" s="3078"/>
      <c r="WNM54" s="3078"/>
      <c r="WNN54" s="3078"/>
      <c r="WNO54" s="3078"/>
      <c r="WNP54" s="3078"/>
      <c r="WNQ54" s="3075" t="s">
        <v>55</v>
      </c>
      <c r="WNR54" s="3078"/>
      <c r="WNS54" s="3078"/>
      <c r="WNT54" s="3078"/>
      <c r="WNU54" s="3078"/>
      <c r="WNV54" s="3078"/>
      <c r="WNW54" s="3078"/>
      <c r="WNX54" s="3078"/>
      <c r="WNY54" s="3075" t="s">
        <v>55</v>
      </c>
      <c r="WNZ54" s="3078"/>
      <c r="WOA54" s="3078"/>
      <c r="WOB54" s="3078"/>
      <c r="WOC54" s="3078"/>
      <c r="WOD54" s="3078"/>
      <c r="WOE54" s="3078"/>
      <c r="WOF54" s="3078"/>
      <c r="WOG54" s="3075" t="s">
        <v>55</v>
      </c>
      <c r="WOH54" s="3078"/>
      <c r="WOI54" s="3078"/>
      <c r="WOJ54" s="3078"/>
      <c r="WOK54" s="3078"/>
      <c r="WOL54" s="3078"/>
      <c r="WOM54" s="3078"/>
      <c r="WON54" s="3078"/>
      <c r="WOO54" s="3075" t="s">
        <v>55</v>
      </c>
      <c r="WOP54" s="3078"/>
      <c r="WOQ54" s="3078"/>
      <c r="WOR54" s="3078"/>
      <c r="WOS54" s="3078"/>
      <c r="WOT54" s="3078"/>
      <c r="WOU54" s="3078"/>
      <c r="WOV54" s="3078"/>
      <c r="WOW54" s="3075" t="s">
        <v>55</v>
      </c>
      <c r="WOX54" s="3078"/>
      <c r="WOY54" s="3078"/>
      <c r="WOZ54" s="3078"/>
      <c r="WPA54" s="3078"/>
      <c r="WPB54" s="3078"/>
      <c r="WPC54" s="3078"/>
      <c r="WPD54" s="3078"/>
      <c r="WPE54" s="3075" t="s">
        <v>55</v>
      </c>
      <c r="WPF54" s="3078"/>
      <c r="WPG54" s="3078"/>
      <c r="WPH54" s="3078"/>
      <c r="WPI54" s="3078"/>
      <c r="WPJ54" s="3078"/>
      <c r="WPK54" s="3078"/>
      <c r="WPL54" s="3078"/>
      <c r="WPM54" s="3075" t="s">
        <v>55</v>
      </c>
      <c r="WPN54" s="3078"/>
      <c r="WPO54" s="3078"/>
      <c r="WPP54" s="3078"/>
      <c r="WPQ54" s="3078"/>
      <c r="WPR54" s="3078"/>
      <c r="WPS54" s="3078"/>
      <c r="WPT54" s="3078"/>
      <c r="WPU54" s="3075" t="s">
        <v>55</v>
      </c>
      <c r="WPV54" s="3078"/>
      <c r="WPW54" s="3078"/>
      <c r="WPX54" s="3078"/>
      <c r="WPY54" s="3078"/>
      <c r="WPZ54" s="3078"/>
      <c r="WQA54" s="3078"/>
      <c r="WQB54" s="3078"/>
      <c r="WQC54" s="3075" t="s">
        <v>55</v>
      </c>
      <c r="WQD54" s="3078"/>
      <c r="WQE54" s="3078"/>
      <c r="WQF54" s="3078"/>
      <c r="WQG54" s="3078"/>
      <c r="WQH54" s="3078"/>
      <c r="WQI54" s="3078"/>
      <c r="WQJ54" s="3078"/>
      <c r="WQK54" s="3075" t="s">
        <v>55</v>
      </c>
      <c r="WQL54" s="3078"/>
      <c r="WQM54" s="3078"/>
      <c r="WQN54" s="3078"/>
      <c r="WQO54" s="3078"/>
      <c r="WQP54" s="3078"/>
      <c r="WQQ54" s="3078"/>
      <c r="WQR54" s="3078"/>
      <c r="WQS54" s="3075" t="s">
        <v>55</v>
      </c>
      <c r="WQT54" s="3078"/>
      <c r="WQU54" s="3078"/>
      <c r="WQV54" s="3078"/>
      <c r="WQW54" s="3078"/>
      <c r="WQX54" s="3078"/>
      <c r="WQY54" s="3078"/>
      <c r="WQZ54" s="3078"/>
      <c r="WRA54" s="3075" t="s">
        <v>55</v>
      </c>
      <c r="WRB54" s="3078"/>
      <c r="WRC54" s="3078"/>
      <c r="WRD54" s="3078"/>
      <c r="WRE54" s="3078"/>
      <c r="WRF54" s="3078"/>
      <c r="WRG54" s="3078"/>
      <c r="WRH54" s="3078"/>
      <c r="WRI54" s="3075" t="s">
        <v>55</v>
      </c>
      <c r="WRJ54" s="3078"/>
      <c r="WRK54" s="3078"/>
      <c r="WRL54" s="3078"/>
      <c r="WRM54" s="3078"/>
      <c r="WRN54" s="3078"/>
      <c r="WRO54" s="3078"/>
      <c r="WRP54" s="3078"/>
      <c r="WRQ54" s="3075" t="s">
        <v>55</v>
      </c>
      <c r="WRR54" s="3078"/>
      <c r="WRS54" s="3078"/>
      <c r="WRT54" s="3078"/>
      <c r="WRU54" s="3078"/>
      <c r="WRV54" s="3078"/>
      <c r="WRW54" s="3078"/>
      <c r="WRX54" s="3078"/>
      <c r="WRY54" s="3075" t="s">
        <v>55</v>
      </c>
      <c r="WRZ54" s="3078"/>
      <c r="WSA54" s="3078"/>
      <c r="WSB54" s="3078"/>
      <c r="WSC54" s="3078"/>
      <c r="WSD54" s="3078"/>
      <c r="WSE54" s="3078"/>
      <c r="WSF54" s="3078"/>
      <c r="WSG54" s="3075" t="s">
        <v>55</v>
      </c>
      <c r="WSH54" s="3078"/>
      <c r="WSI54" s="3078"/>
      <c r="WSJ54" s="3078"/>
      <c r="WSK54" s="3078"/>
      <c r="WSL54" s="3078"/>
      <c r="WSM54" s="3078"/>
      <c r="WSN54" s="3078"/>
      <c r="WSO54" s="3075" t="s">
        <v>55</v>
      </c>
      <c r="WSP54" s="3078"/>
      <c r="WSQ54" s="3078"/>
      <c r="WSR54" s="3078"/>
      <c r="WSS54" s="3078"/>
      <c r="WST54" s="3078"/>
      <c r="WSU54" s="3078"/>
      <c r="WSV54" s="3078"/>
      <c r="WSW54" s="3075" t="s">
        <v>55</v>
      </c>
      <c r="WSX54" s="3078"/>
      <c r="WSY54" s="3078"/>
      <c r="WSZ54" s="3078"/>
      <c r="WTA54" s="3078"/>
      <c r="WTB54" s="3078"/>
      <c r="WTC54" s="3078"/>
      <c r="WTD54" s="3078"/>
      <c r="WTE54" s="3075" t="s">
        <v>55</v>
      </c>
      <c r="WTF54" s="3078"/>
      <c r="WTG54" s="3078"/>
      <c r="WTH54" s="3078"/>
      <c r="WTI54" s="3078"/>
      <c r="WTJ54" s="3078"/>
      <c r="WTK54" s="3078"/>
      <c r="WTL54" s="3078"/>
      <c r="WTM54" s="3075" t="s">
        <v>55</v>
      </c>
      <c r="WTN54" s="3078"/>
      <c r="WTO54" s="3078"/>
      <c r="WTP54" s="3078"/>
      <c r="WTQ54" s="3078"/>
      <c r="WTR54" s="3078"/>
      <c r="WTS54" s="3078"/>
      <c r="WTT54" s="3078"/>
      <c r="WTU54" s="3075" t="s">
        <v>55</v>
      </c>
      <c r="WTV54" s="3078"/>
      <c r="WTW54" s="3078"/>
      <c r="WTX54" s="3078"/>
      <c r="WTY54" s="3078"/>
      <c r="WTZ54" s="3078"/>
      <c r="WUA54" s="3078"/>
      <c r="WUB54" s="3078"/>
      <c r="WUC54" s="3075" t="s">
        <v>55</v>
      </c>
      <c r="WUD54" s="3078"/>
      <c r="WUE54" s="3078"/>
      <c r="WUF54" s="3078"/>
      <c r="WUG54" s="3078"/>
      <c r="WUH54" s="3078"/>
      <c r="WUI54" s="3078"/>
      <c r="WUJ54" s="3078"/>
      <c r="WUK54" s="3075" t="s">
        <v>55</v>
      </c>
      <c r="WUL54" s="3078"/>
      <c r="WUM54" s="3078"/>
      <c r="WUN54" s="3078"/>
      <c r="WUO54" s="3078"/>
      <c r="WUP54" s="3078"/>
      <c r="WUQ54" s="3078"/>
      <c r="WUR54" s="3078"/>
      <c r="WUS54" s="3075" t="s">
        <v>55</v>
      </c>
      <c r="WUT54" s="3078"/>
      <c r="WUU54" s="3078"/>
      <c r="WUV54" s="3078"/>
      <c r="WUW54" s="3078"/>
      <c r="WUX54" s="3078"/>
      <c r="WUY54" s="3078"/>
      <c r="WUZ54" s="3078"/>
      <c r="WVA54" s="3075" t="s">
        <v>55</v>
      </c>
      <c r="WVB54" s="3078"/>
      <c r="WVC54" s="3078"/>
      <c r="WVD54" s="3078"/>
      <c r="WVE54" s="3078"/>
      <c r="WVF54" s="3078"/>
      <c r="WVG54" s="3078"/>
      <c r="WVH54" s="3078"/>
      <c r="WVI54" s="3075" t="s">
        <v>55</v>
      </c>
      <c r="WVJ54" s="3078"/>
      <c r="WVK54" s="3078"/>
      <c r="WVL54" s="3078"/>
      <c r="WVM54" s="3078"/>
      <c r="WVN54" s="3078"/>
      <c r="WVO54" s="3078"/>
      <c r="WVP54" s="3078"/>
      <c r="WVQ54" s="3075" t="s">
        <v>55</v>
      </c>
      <c r="WVR54" s="3078"/>
      <c r="WVS54" s="3078"/>
      <c r="WVT54" s="3078"/>
      <c r="WVU54" s="3078"/>
      <c r="WVV54" s="3078"/>
      <c r="WVW54" s="3078"/>
      <c r="WVX54" s="3078"/>
      <c r="WVY54" s="3075" t="s">
        <v>55</v>
      </c>
      <c r="WVZ54" s="3078"/>
      <c r="WWA54" s="3078"/>
      <c r="WWB54" s="3078"/>
      <c r="WWC54" s="3078"/>
      <c r="WWD54" s="3078"/>
      <c r="WWE54" s="3078"/>
      <c r="WWF54" s="3078"/>
      <c r="WWG54" s="3075" t="s">
        <v>55</v>
      </c>
      <c r="WWH54" s="3078"/>
      <c r="WWI54" s="3078"/>
      <c r="WWJ54" s="3078"/>
      <c r="WWK54" s="3078"/>
      <c r="WWL54" s="3078"/>
      <c r="WWM54" s="3078"/>
      <c r="WWN54" s="3078"/>
      <c r="WWO54" s="3075" t="s">
        <v>55</v>
      </c>
      <c r="WWP54" s="3078"/>
      <c r="WWQ54" s="3078"/>
      <c r="WWR54" s="3078"/>
      <c r="WWS54" s="3078"/>
      <c r="WWT54" s="3078"/>
      <c r="WWU54" s="3078"/>
      <c r="WWV54" s="3078"/>
      <c r="WWW54" s="3075" t="s">
        <v>55</v>
      </c>
      <c r="WWX54" s="3078"/>
      <c r="WWY54" s="3078"/>
      <c r="WWZ54" s="3078"/>
      <c r="WXA54" s="3078"/>
      <c r="WXB54" s="3078"/>
      <c r="WXC54" s="3078"/>
      <c r="WXD54" s="3078"/>
      <c r="WXE54" s="3075" t="s">
        <v>55</v>
      </c>
      <c r="WXF54" s="3078"/>
      <c r="WXG54" s="3078"/>
      <c r="WXH54" s="3078"/>
      <c r="WXI54" s="3078"/>
      <c r="WXJ54" s="3078"/>
      <c r="WXK54" s="3078"/>
      <c r="WXL54" s="3078"/>
      <c r="WXM54" s="3075" t="s">
        <v>55</v>
      </c>
      <c r="WXN54" s="3078"/>
      <c r="WXO54" s="3078"/>
      <c r="WXP54" s="3078"/>
      <c r="WXQ54" s="3078"/>
      <c r="WXR54" s="3078"/>
      <c r="WXS54" s="3078"/>
      <c r="WXT54" s="3078"/>
      <c r="WXU54" s="3075" t="s">
        <v>55</v>
      </c>
      <c r="WXV54" s="3078"/>
      <c r="WXW54" s="3078"/>
      <c r="WXX54" s="3078"/>
      <c r="WXY54" s="3078"/>
      <c r="WXZ54" s="3078"/>
      <c r="WYA54" s="3078"/>
      <c r="WYB54" s="3078"/>
      <c r="WYC54" s="3075" t="s">
        <v>55</v>
      </c>
      <c r="WYD54" s="3078"/>
      <c r="WYE54" s="3078"/>
      <c r="WYF54" s="3078"/>
      <c r="WYG54" s="3078"/>
      <c r="WYH54" s="3078"/>
      <c r="WYI54" s="3078"/>
      <c r="WYJ54" s="3078"/>
      <c r="WYK54" s="3075" t="s">
        <v>55</v>
      </c>
      <c r="WYL54" s="3078"/>
      <c r="WYM54" s="3078"/>
      <c r="WYN54" s="3078"/>
      <c r="WYO54" s="3078"/>
      <c r="WYP54" s="3078"/>
      <c r="WYQ54" s="3078"/>
      <c r="WYR54" s="3078"/>
      <c r="WYS54" s="3075" t="s">
        <v>55</v>
      </c>
      <c r="WYT54" s="3078"/>
      <c r="WYU54" s="3078"/>
      <c r="WYV54" s="3078"/>
      <c r="WYW54" s="3078"/>
      <c r="WYX54" s="3078"/>
      <c r="WYY54" s="3078"/>
      <c r="WYZ54" s="3078"/>
      <c r="WZA54" s="3075" t="s">
        <v>55</v>
      </c>
      <c r="WZB54" s="3078"/>
      <c r="WZC54" s="3078"/>
      <c r="WZD54" s="3078"/>
      <c r="WZE54" s="3078"/>
      <c r="WZF54" s="3078"/>
      <c r="WZG54" s="3078"/>
      <c r="WZH54" s="3078"/>
      <c r="WZI54" s="3075" t="s">
        <v>55</v>
      </c>
      <c r="WZJ54" s="3078"/>
      <c r="WZK54" s="3078"/>
      <c r="WZL54" s="3078"/>
      <c r="WZM54" s="3078"/>
      <c r="WZN54" s="3078"/>
      <c r="WZO54" s="3078"/>
      <c r="WZP54" s="3078"/>
      <c r="WZQ54" s="3075" t="s">
        <v>55</v>
      </c>
      <c r="WZR54" s="3078"/>
      <c r="WZS54" s="3078"/>
      <c r="WZT54" s="3078"/>
      <c r="WZU54" s="3078"/>
      <c r="WZV54" s="3078"/>
      <c r="WZW54" s="3078"/>
      <c r="WZX54" s="3078"/>
      <c r="WZY54" s="3075" t="s">
        <v>55</v>
      </c>
      <c r="WZZ54" s="3078"/>
      <c r="XAA54" s="3078"/>
      <c r="XAB54" s="3078"/>
      <c r="XAC54" s="3078"/>
      <c r="XAD54" s="3078"/>
      <c r="XAE54" s="3078"/>
      <c r="XAF54" s="3078"/>
      <c r="XAG54" s="3075" t="s">
        <v>55</v>
      </c>
      <c r="XAH54" s="3078"/>
      <c r="XAI54" s="3078"/>
      <c r="XAJ54" s="3078"/>
      <c r="XAK54" s="3078"/>
      <c r="XAL54" s="3078"/>
      <c r="XAM54" s="3078"/>
      <c r="XAN54" s="3078"/>
      <c r="XAO54" s="3075" t="s">
        <v>55</v>
      </c>
      <c r="XAP54" s="3078"/>
      <c r="XAQ54" s="3078"/>
      <c r="XAR54" s="3078"/>
      <c r="XAS54" s="3078"/>
      <c r="XAT54" s="3078"/>
      <c r="XAU54" s="3078"/>
      <c r="XAV54" s="3078"/>
      <c r="XAW54" s="3075" t="s">
        <v>55</v>
      </c>
      <c r="XAX54" s="3078"/>
      <c r="XAY54" s="3078"/>
      <c r="XAZ54" s="3078"/>
      <c r="XBA54" s="3078"/>
      <c r="XBB54" s="3078"/>
      <c r="XBC54" s="3078"/>
      <c r="XBD54" s="3078"/>
      <c r="XBE54" s="3075" t="s">
        <v>55</v>
      </c>
      <c r="XBF54" s="3078"/>
      <c r="XBG54" s="3078"/>
      <c r="XBH54" s="3078"/>
      <c r="XBI54" s="3078"/>
      <c r="XBJ54" s="3078"/>
      <c r="XBK54" s="3078"/>
      <c r="XBL54" s="3078"/>
      <c r="XBM54" s="3075" t="s">
        <v>55</v>
      </c>
      <c r="XBN54" s="3078"/>
      <c r="XBO54" s="3078"/>
      <c r="XBP54" s="3078"/>
      <c r="XBQ54" s="3078"/>
      <c r="XBR54" s="3078"/>
      <c r="XBS54" s="3078"/>
      <c r="XBT54" s="3078"/>
      <c r="XBU54" s="3075" t="s">
        <v>55</v>
      </c>
      <c r="XBV54" s="3078"/>
      <c r="XBW54" s="3078"/>
      <c r="XBX54" s="3078"/>
      <c r="XBY54" s="3078"/>
      <c r="XBZ54" s="3078"/>
      <c r="XCA54" s="3078"/>
      <c r="XCB54" s="3078"/>
      <c r="XCC54" s="3075" t="s">
        <v>55</v>
      </c>
      <c r="XCD54" s="3078"/>
      <c r="XCE54" s="3078"/>
      <c r="XCF54" s="3078"/>
      <c r="XCG54" s="3078"/>
      <c r="XCH54" s="3078"/>
      <c r="XCI54" s="3078"/>
      <c r="XCJ54" s="3078"/>
      <c r="XCK54" s="3075" t="s">
        <v>55</v>
      </c>
      <c r="XCL54" s="3078"/>
      <c r="XCM54" s="3078"/>
      <c r="XCN54" s="3078"/>
      <c r="XCO54" s="3078"/>
      <c r="XCP54" s="3078"/>
      <c r="XCQ54" s="3078"/>
      <c r="XCR54" s="3078"/>
      <c r="XCS54" s="3075" t="s">
        <v>55</v>
      </c>
      <c r="XCT54" s="3078"/>
      <c r="XCU54" s="3078"/>
      <c r="XCV54" s="3078"/>
      <c r="XCW54" s="3078"/>
      <c r="XCX54" s="3078"/>
      <c r="XCY54" s="3078"/>
      <c r="XCZ54" s="3078"/>
      <c r="XDA54" s="3075" t="s">
        <v>55</v>
      </c>
      <c r="XDB54" s="3078"/>
      <c r="XDC54" s="3078"/>
      <c r="XDD54" s="3078"/>
      <c r="XDE54" s="3078"/>
      <c r="XDF54" s="3078"/>
      <c r="XDG54" s="3078"/>
      <c r="XDH54" s="3078"/>
      <c r="XDI54" s="3075" t="s">
        <v>55</v>
      </c>
      <c r="XDJ54" s="3078"/>
      <c r="XDK54" s="3078"/>
      <c r="XDL54" s="3078"/>
      <c r="XDM54" s="3078"/>
      <c r="XDN54" s="3078"/>
      <c r="XDO54" s="3078"/>
      <c r="XDP54" s="3078"/>
      <c r="XDQ54" s="3075" t="s">
        <v>55</v>
      </c>
      <c r="XDR54" s="3078"/>
      <c r="XDS54" s="3078"/>
      <c r="XDT54" s="3078"/>
      <c r="XDU54" s="3078"/>
      <c r="XDV54" s="3078"/>
      <c r="XDW54" s="3078"/>
      <c r="XDX54" s="3078"/>
      <c r="XDY54" s="3075" t="s">
        <v>55</v>
      </c>
      <c r="XDZ54" s="3078"/>
      <c r="XEA54" s="3078"/>
      <c r="XEB54" s="3078"/>
      <c r="XEC54" s="3078"/>
      <c r="XED54" s="3078"/>
      <c r="XEE54" s="3078"/>
      <c r="XEF54" s="3078"/>
      <c r="XEG54" s="3075" t="s">
        <v>55</v>
      </c>
      <c r="XEH54" s="3078"/>
      <c r="XEI54" s="3078"/>
      <c r="XEJ54" s="3078"/>
      <c r="XEK54" s="3078"/>
      <c r="XEL54" s="3078"/>
      <c r="XEM54" s="3078"/>
      <c r="XEN54" s="3078"/>
      <c r="XEO54" s="3075" t="s">
        <v>55</v>
      </c>
      <c r="XEP54" s="3078"/>
      <c r="XEQ54" s="3078"/>
      <c r="XER54" s="3078"/>
      <c r="XES54" s="3078"/>
      <c r="XET54" s="3078"/>
      <c r="XEU54" s="3078"/>
      <c r="XEV54" s="3078"/>
      <c r="XEW54" s="3075" t="s">
        <v>55</v>
      </c>
      <c r="XEX54" s="3078"/>
      <c r="XEY54" s="3078"/>
      <c r="XEZ54" s="3078"/>
      <c r="XFA54" s="3078"/>
      <c r="XFB54" s="3078"/>
      <c r="XFC54" s="3078"/>
      <c r="XFD54" s="3078"/>
    </row>
    <row r="55" spans="1:16384" ht="13.2" thickBot="1" x14ac:dyDescent="0.25">
      <c r="A55" s="3079"/>
      <c r="B55" s="3080"/>
      <c r="C55" s="3080"/>
      <c r="D55" s="3080"/>
      <c r="E55" s="3080"/>
      <c r="F55" s="3080"/>
      <c r="G55" s="3080"/>
      <c r="H55" s="3081"/>
      <c r="I55" s="3075" t="s">
        <v>55</v>
      </c>
      <c r="J55" s="3078"/>
      <c r="K55" s="3078"/>
      <c r="L55" s="3078"/>
      <c r="M55" s="3078"/>
      <c r="N55" s="3078"/>
      <c r="O55" s="3078"/>
      <c r="P55" s="3078"/>
      <c r="Q55" s="3075" t="s">
        <v>55</v>
      </c>
      <c r="R55" s="3078"/>
      <c r="S55" s="3078"/>
      <c r="T55" s="3078"/>
      <c r="U55" s="3078"/>
      <c r="V55" s="3078"/>
      <c r="W55" s="3078"/>
      <c r="X55" s="3078"/>
      <c r="Y55" s="3075" t="s">
        <v>55</v>
      </c>
      <c r="Z55" s="3078"/>
      <c r="AA55" s="3078"/>
      <c r="AB55" s="3078"/>
      <c r="AC55" s="3078"/>
      <c r="AD55" s="3078"/>
      <c r="AE55" s="3078"/>
      <c r="AF55" s="3078"/>
      <c r="AG55" s="3075" t="s">
        <v>55</v>
      </c>
      <c r="AH55" s="3078"/>
      <c r="AI55" s="3078"/>
      <c r="AJ55" s="3078"/>
      <c r="AK55" s="3078"/>
      <c r="AL55" s="3078"/>
      <c r="AM55" s="3078"/>
      <c r="AN55" s="3078"/>
      <c r="AO55" s="3075" t="s">
        <v>55</v>
      </c>
      <c r="AP55" s="3078"/>
      <c r="AQ55" s="3078"/>
      <c r="AR55" s="3078"/>
      <c r="AS55" s="3078"/>
      <c r="AT55" s="3078"/>
      <c r="AU55" s="3078"/>
      <c r="AV55" s="3078"/>
      <c r="AW55" s="3075" t="s">
        <v>55</v>
      </c>
      <c r="AX55" s="3078"/>
      <c r="AY55" s="3078"/>
      <c r="AZ55" s="3078"/>
      <c r="BA55" s="3078"/>
      <c r="BB55" s="3078"/>
      <c r="BC55" s="3078"/>
      <c r="BD55" s="3078"/>
      <c r="BE55" s="3075" t="s">
        <v>55</v>
      </c>
      <c r="BF55" s="3078"/>
      <c r="BG55" s="3078"/>
      <c r="BH55" s="3078"/>
      <c r="BI55" s="3078"/>
      <c r="BJ55" s="3078"/>
      <c r="BK55" s="3078"/>
      <c r="BL55" s="3078"/>
      <c r="BM55" s="3075" t="s">
        <v>55</v>
      </c>
      <c r="BN55" s="3078"/>
      <c r="BO55" s="3078"/>
      <c r="BP55" s="3078"/>
      <c r="BQ55" s="3078"/>
      <c r="BR55" s="3078"/>
      <c r="BS55" s="3078"/>
      <c r="BT55" s="3078"/>
      <c r="BU55" s="3075" t="s">
        <v>55</v>
      </c>
      <c r="BV55" s="3078"/>
      <c r="BW55" s="3078"/>
      <c r="BX55" s="3078"/>
      <c r="BY55" s="3078"/>
      <c r="BZ55" s="3078"/>
      <c r="CA55" s="3078"/>
      <c r="CB55" s="3078"/>
      <c r="CC55" s="3075" t="s">
        <v>55</v>
      </c>
      <c r="CD55" s="3078"/>
      <c r="CE55" s="3078"/>
      <c r="CF55" s="3078"/>
      <c r="CG55" s="3078"/>
      <c r="CH55" s="3078"/>
      <c r="CI55" s="3078"/>
      <c r="CJ55" s="3078"/>
      <c r="CK55" s="3075" t="s">
        <v>55</v>
      </c>
      <c r="CL55" s="3078"/>
      <c r="CM55" s="3078"/>
      <c r="CN55" s="3078"/>
      <c r="CO55" s="3078"/>
      <c r="CP55" s="3078"/>
      <c r="CQ55" s="3078"/>
      <c r="CR55" s="3078"/>
      <c r="CS55" s="3075" t="s">
        <v>55</v>
      </c>
      <c r="CT55" s="3078"/>
      <c r="CU55" s="3078"/>
      <c r="CV55" s="3078"/>
      <c r="CW55" s="3078"/>
      <c r="CX55" s="3078"/>
      <c r="CY55" s="3078"/>
      <c r="CZ55" s="3078"/>
      <c r="DA55" s="3075" t="s">
        <v>55</v>
      </c>
      <c r="DB55" s="3078"/>
      <c r="DC55" s="3078"/>
      <c r="DD55" s="3078"/>
      <c r="DE55" s="3078"/>
      <c r="DF55" s="3078"/>
      <c r="DG55" s="3078"/>
      <c r="DH55" s="3078"/>
      <c r="DI55" s="3075" t="s">
        <v>55</v>
      </c>
      <c r="DJ55" s="3078"/>
      <c r="DK55" s="3078"/>
      <c r="DL55" s="3078"/>
      <c r="DM55" s="3078"/>
      <c r="DN55" s="3078"/>
      <c r="DO55" s="3078"/>
      <c r="DP55" s="3078"/>
      <c r="DQ55" s="3075" t="s">
        <v>55</v>
      </c>
      <c r="DR55" s="3078"/>
      <c r="DS55" s="3078"/>
      <c r="DT55" s="3078"/>
      <c r="DU55" s="3078"/>
      <c r="DV55" s="3078"/>
      <c r="DW55" s="3078"/>
      <c r="DX55" s="3078"/>
      <c r="DY55" s="3075" t="s">
        <v>55</v>
      </c>
      <c r="DZ55" s="3078"/>
      <c r="EA55" s="3078"/>
      <c r="EB55" s="3078"/>
      <c r="EC55" s="3078"/>
      <c r="ED55" s="3078"/>
      <c r="EE55" s="3078"/>
      <c r="EF55" s="3078"/>
      <c r="EG55" s="3075" t="s">
        <v>55</v>
      </c>
      <c r="EH55" s="3078"/>
      <c r="EI55" s="3078"/>
      <c r="EJ55" s="3078"/>
      <c r="EK55" s="3078"/>
      <c r="EL55" s="3078"/>
      <c r="EM55" s="3078"/>
      <c r="EN55" s="3078"/>
      <c r="EO55" s="3075" t="s">
        <v>55</v>
      </c>
      <c r="EP55" s="3078"/>
      <c r="EQ55" s="3078"/>
      <c r="ER55" s="3078"/>
      <c r="ES55" s="3078"/>
      <c r="ET55" s="3078"/>
      <c r="EU55" s="3078"/>
      <c r="EV55" s="3078"/>
      <c r="EW55" s="3075" t="s">
        <v>55</v>
      </c>
      <c r="EX55" s="3078"/>
      <c r="EY55" s="3078"/>
      <c r="EZ55" s="3078"/>
      <c r="FA55" s="3078"/>
      <c r="FB55" s="3078"/>
      <c r="FC55" s="3078"/>
      <c r="FD55" s="3078"/>
      <c r="FE55" s="3075" t="s">
        <v>55</v>
      </c>
      <c r="FF55" s="3078"/>
      <c r="FG55" s="3078"/>
      <c r="FH55" s="3078"/>
      <c r="FI55" s="3078"/>
      <c r="FJ55" s="3078"/>
      <c r="FK55" s="3078"/>
      <c r="FL55" s="3078"/>
      <c r="FM55" s="3075" t="s">
        <v>55</v>
      </c>
      <c r="FN55" s="3078"/>
      <c r="FO55" s="3078"/>
      <c r="FP55" s="3078"/>
      <c r="FQ55" s="3078"/>
      <c r="FR55" s="3078"/>
      <c r="FS55" s="3078"/>
      <c r="FT55" s="3078"/>
      <c r="FU55" s="3075" t="s">
        <v>55</v>
      </c>
      <c r="FV55" s="3078"/>
      <c r="FW55" s="3078"/>
      <c r="FX55" s="3078"/>
      <c r="FY55" s="3078"/>
      <c r="FZ55" s="3078"/>
      <c r="GA55" s="3078"/>
      <c r="GB55" s="3078"/>
      <c r="GC55" s="3075" t="s">
        <v>55</v>
      </c>
      <c r="GD55" s="3078"/>
      <c r="GE55" s="3078"/>
      <c r="GF55" s="3078"/>
      <c r="GG55" s="3078"/>
      <c r="GH55" s="3078"/>
      <c r="GI55" s="3078"/>
      <c r="GJ55" s="3078"/>
      <c r="GK55" s="3075" t="s">
        <v>55</v>
      </c>
      <c r="GL55" s="3078"/>
      <c r="GM55" s="3078"/>
      <c r="GN55" s="3078"/>
      <c r="GO55" s="3078"/>
      <c r="GP55" s="3078"/>
      <c r="GQ55" s="3078"/>
      <c r="GR55" s="3078"/>
      <c r="GS55" s="3075" t="s">
        <v>55</v>
      </c>
      <c r="GT55" s="3078"/>
      <c r="GU55" s="3078"/>
      <c r="GV55" s="3078"/>
      <c r="GW55" s="3078"/>
      <c r="GX55" s="3078"/>
      <c r="GY55" s="3078"/>
      <c r="GZ55" s="3078"/>
      <c r="HA55" s="3075" t="s">
        <v>55</v>
      </c>
      <c r="HB55" s="3078"/>
      <c r="HC55" s="3078"/>
      <c r="HD55" s="3078"/>
      <c r="HE55" s="3078"/>
      <c r="HF55" s="3078"/>
      <c r="HG55" s="3078"/>
      <c r="HH55" s="3078"/>
      <c r="HI55" s="3075" t="s">
        <v>55</v>
      </c>
      <c r="HJ55" s="3078"/>
      <c r="HK55" s="3078"/>
      <c r="HL55" s="3078"/>
      <c r="HM55" s="3078"/>
      <c r="HN55" s="3078"/>
      <c r="HO55" s="3078"/>
      <c r="HP55" s="3078"/>
      <c r="HQ55" s="3075" t="s">
        <v>55</v>
      </c>
      <c r="HR55" s="3078"/>
      <c r="HS55" s="3078"/>
      <c r="HT55" s="3078"/>
      <c r="HU55" s="3078"/>
      <c r="HV55" s="3078"/>
      <c r="HW55" s="3078"/>
      <c r="HX55" s="3078"/>
      <c r="HY55" s="3075" t="s">
        <v>55</v>
      </c>
      <c r="HZ55" s="3078"/>
      <c r="IA55" s="3078"/>
      <c r="IB55" s="3078"/>
      <c r="IC55" s="3078"/>
      <c r="ID55" s="3078"/>
      <c r="IE55" s="3078"/>
      <c r="IF55" s="3078"/>
      <c r="IG55" s="3075" t="s">
        <v>55</v>
      </c>
      <c r="IH55" s="3078"/>
      <c r="II55" s="3078"/>
      <c r="IJ55" s="3078"/>
      <c r="IK55" s="3078"/>
      <c r="IL55" s="3078"/>
      <c r="IM55" s="3078"/>
      <c r="IN55" s="3078"/>
      <c r="IO55" s="3075" t="s">
        <v>55</v>
      </c>
      <c r="IP55" s="3078"/>
      <c r="IQ55" s="3078"/>
      <c r="IR55" s="3078"/>
      <c r="IS55" s="3078"/>
      <c r="IT55" s="3078"/>
      <c r="IU55" s="3078"/>
      <c r="IV55" s="3078"/>
      <c r="IW55" s="3075" t="s">
        <v>55</v>
      </c>
      <c r="IX55" s="3078"/>
      <c r="IY55" s="3078"/>
      <c r="IZ55" s="3078"/>
      <c r="JA55" s="3078"/>
      <c r="JB55" s="3078"/>
      <c r="JC55" s="3078"/>
      <c r="JD55" s="3078"/>
      <c r="JE55" s="3075" t="s">
        <v>55</v>
      </c>
      <c r="JF55" s="3078"/>
      <c r="JG55" s="3078"/>
      <c r="JH55" s="3078"/>
      <c r="JI55" s="3078"/>
      <c r="JJ55" s="3078"/>
      <c r="JK55" s="3078"/>
      <c r="JL55" s="3078"/>
      <c r="JM55" s="3075" t="s">
        <v>55</v>
      </c>
      <c r="JN55" s="3078"/>
      <c r="JO55" s="3078"/>
      <c r="JP55" s="3078"/>
      <c r="JQ55" s="3078"/>
      <c r="JR55" s="3078"/>
      <c r="JS55" s="3078"/>
      <c r="JT55" s="3078"/>
      <c r="JU55" s="3075" t="s">
        <v>55</v>
      </c>
      <c r="JV55" s="3078"/>
      <c r="JW55" s="3078"/>
      <c r="JX55" s="3078"/>
      <c r="JY55" s="3078"/>
      <c r="JZ55" s="3078"/>
      <c r="KA55" s="3078"/>
      <c r="KB55" s="3078"/>
      <c r="KC55" s="3075" t="s">
        <v>55</v>
      </c>
      <c r="KD55" s="3078"/>
      <c r="KE55" s="3078"/>
      <c r="KF55" s="3078"/>
      <c r="KG55" s="3078"/>
      <c r="KH55" s="3078"/>
      <c r="KI55" s="3078"/>
      <c r="KJ55" s="3078"/>
      <c r="KK55" s="3075" t="s">
        <v>55</v>
      </c>
      <c r="KL55" s="3078"/>
      <c r="KM55" s="3078"/>
      <c r="KN55" s="3078"/>
      <c r="KO55" s="3078"/>
      <c r="KP55" s="3078"/>
      <c r="KQ55" s="3078"/>
      <c r="KR55" s="3078"/>
      <c r="KS55" s="3075" t="s">
        <v>55</v>
      </c>
      <c r="KT55" s="3078"/>
      <c r="KU55" s="3078"/>
      <c r="KV55" s="3078"/>
      <c r="KW55" s="3078"/>
      <c r="KX55" s="3078"/>
      <c r="KY55" s="3078"/>
      <c r="KZ55" s="3078"/>
      <c r="LA55" s="3075" t="s">
        <v>55</v>
      </c>
      <c r="LB55" s="3078"/>
      <c r="LC55" s="3078"/>
      <c r="LD55" s="3078"/>
      <c r="LE55" s="3078"/>
      <c r="LF55" s="3078"/>
      <c r="LG55" s="3078"/>
      <c r="LH55" s="3078"/>
      <c r="LI55" s="3075" t="s">
        <v>55</v>
      </c>
      <c r="LJ55" s="3078"/>
      <c r="LK55" s="3078"/>
      <c r="LL55" s="3078"/>
      <c r="LM55" s="3078"/>
      <c r="LN55" s="3078"/>
      <c r="LO55" s="3078"/>
      <c r="LP55" s="3078"/>
      <c r="LQ55" s="3075" t="s">
        <v>55</v>
      </c>
      <c r="LR55" s="3078"/>
      <c r="LS55" s="3078"/>
      <c r="LT55" s="3078"/>
      <c r="LU55" s="3078"/>
      <c r="LV55" s="3078"/>
      <c r="LW55" s="3078"/>
      <c r="LX55" s="3078"/>
      <c r="LY55" s="3075" t="s">
        <v>55</v>
      </c>
      <c r="LZ55" s="3078"/>
      <c r="MA55" s="3078"/>
      <c r="MB55" s="3078"/>
      <c r="MC55" s="3078"/>
      <c r="MD55" s="3078"/>
      <c r="ME55" s="3078"/>
      <c r="MF55" s="3078"/>
      <c r="MG55" s="3075" t="s">
        <v>55</v>
      </c>
      <c r="MH55" s="3078"/>
      <c r="MI55" s="3078"/>
      <c r="MJ55" s="3078"/>
      <c r="MK55" s="3078"/>
      <c r="ML55" s="3078"/>
      <c r="MM55" s="3078"/>
      <c r="MN55" s="3078"/>
      <c r="MO55" s="3075" t="s">
        <v>55</v>
      </c>
      <c r="MP55" s="3078"/>
      <c r="MQ55" s="3078"/>
      <c r="MR55" s="3078"/>
      <c r="MS55" s="3078"/>
      <c r="MT55" s="3078"/>
      <c r="MU55" s="3078"/>
      <c r="MV55" s="3078"/>
      <c r="MW55" s="3075" t="s">
        <v>55</v>
      </c>
      <c r="MX55" s="3078"/>
      <c r="MY55" s="3078"/>
      <c r="MZ55" s="3078"/>
      <c r="NA55" s="3078"/>
      <c r="NB55" s="3078"/>
      <c r="NC55" s="3078"/>
      <c r="ND55" s="3078"/>
      <c r="NE55" s="3075" t="s">
        <v>55</v>
      </c>
      <c r="NF55" s="3078"/>
      <c r="NG55" s="3078"/>
      <c r="NH55" s="3078"/>
      <c r="NI55" s="3078"/>
      <c r="NJ55" s="3078"/>
      <c r="NK55" s="3078"/>
      <c r="NL55" s="3078"/>
      <c r="NM55" s="3075" t="s">
        <v>55</v>
      </c>
      <c r="NN55" s="3078"/>
      <c r="NO55" s="3078"/>
      <c r="NP55" s="3078"/>
      <c r="NQ55" s="3078"/>
      <c r="NR55" s="3078"/>
      <c r="NS55" s="3078"/>
      <c r="NT55" s="3078"/>
      <c r="NU55" s="3075" t="s">
        <v>55</v>
      </c>
      <c r="NV55" s="3078"/>
      <c r="NW55" s="3078"/>
      <c r="NX55" s="3078"/>
      <c r="NY55" s="3078"/>
      <c r="NZ55" s="3078"/>
      <c r="OA55" s="3078"/>
      <c r="OB55" s="3078"/>
      <c r="OC55" s="3075" t="s">
        <v>55</v>
      </c>
      <c r="OD55" s="3078"/>
      <c r="OE55" s="3078"/>
      <c r="OF55" s="3078"/>
      <c r="OG55" s="3078"/>
      <c r="OH55" s="3078"/>
      <c r="OI55" s="3078"/>
      <c r="OJ55" s="3078"/>
      <c r="OK55" s="3075" t="s">
        <v>55</v>
      </c>
      <c r="OL55" s="3078"/>
      <c r="OM55" s="3078"/>
      <c r="ON55" s="3078"/>
      <c r="OO55" s="3078"/>
      <c r="OP55" s="3078"/>
      <c r="OQ55" s="3078"/>
      <c r="OR55" s="3078"/>
      <c r="OS55" s="3075" t="s">
        <v>55</v>
      </c>
      <c r="OT55" s="3078"/>
      <c r="OU55" s="3078"/>
      <c r="OV55" s="3078"/>
      <c r="OW55" s="3078"/>
      <c r="OX55" s="3078"/>
      <c r="OY55" s="3078"/>
      <c r="OZ55" s="3078"/>
      <c r="PA55" s="3075" t="s">
        <v>55</v>
      </c>
      <c r="PB55" s="3078"/>
      <c r="PC55" s="3078"/>
      <c r="PD55" s="3078"/>
      <c r="PE55" s="3078"/>
      <c r="PF55" s="3078"/>
      <c r="PG55" s="3078"/>
      <c r="PH55" s="3078"/>
      <c r="PI55" s="3075" t="s">
        <v>55</v>
      </c>
      <c r="PJ55" s="3078"/>
      <c r="PK55" s="3078"/>
      <c r="PL55" s="3078"/>
      <c r="PM55" s="3078"/>
      <c r="PN55" s="3078"/>
      <c r="PO55" s="3078"/>
      <c r="PP55" s="3078"/>
      <c r="PQ55" s="3075" t="s">
        <v>55</v>
      </c>
      <c r="PR55" s="3078"/>
      <c r="PS55" s="3078"/>
      <c r="PT55" s="3078"/>
      <c r="PU55" s="3078"/>
      <c r="PV55" s="3078"/>
      <c r="PW55" s="3078"/>
      <c r="PX55" s="3078"/>
      <c r="PY55" s="3075" t="s">
        <v>55</v>
      </c>
      <c r="PZ55" s="3078"/>
      <c r="QA55" s="3078"/>
      <c r="QB55" s="3078"/>
      <c r="QC55" s="3078"/>
      <c r="QD55" s="3078"/>
      <c r="QE55" s="3078"/>
      <c r="QF55" s="3078"/>
      <c r="QG55" s="3075" t="s">
        <v>55</v>
      </c>
      <c r="QH55" s="3078"/>
      <c r="QI55" s="3078"/>
      <c r="QJ55" s="3078"/>
      <c r="QK55" s="3078"/>
      <c r="QL55" s="3078"/>
      <c r="QM55" s="3078"/>
      <c r="QN55" s="3078"/>
      <c r="QO55" s="3075" t="s">
        <v>55</v>
      </c>
      <c r="QP55" s="3078"/>
      <c r="QQ55" s="3078"/>
      <c r="QR55" s="3078"/>
      <c r="QS55" s="3078"/>
      <c r="QT55" s="3078"/>
      <c r="QU55" s="3078"/>
      <c r="QV55" s="3078"/>
      <c r="QW55" s="3075" t="s">
        <v>55</v>
      </c>
      <c r="QX55" s="3078"/>
      <c r="QY55" s="3078"/>
      <c r="QZ55" s="3078"/>
      <c r="RA55" s="3078"/>
      <c r="RB55" s="3078"/>
      <c r="RC55" s="3078"/>
      <c r="RD55" s="3078"/>
      <c r="RE55" s="3075" t="s">
        <v>55</v>
      </c>
      <c r="RF55" s="3078"/>
      <c r="RG55" s="3078"/>
      <c r="RH55" s="3078"/>
      <c r="RI55" s="3078"/>
      <c r="RJ55" s="3078"/>
      <c r="RK55" s="3078"/>
      <c r="RL55" s="3078"/>
      <c r="RM55" s="3075" t="s">
        <v>55</v>
      </c>
      <c r="RN55" s="3078"/>
      <c r="RO55" s="3078"/>
      <c r="RP55" s="3078"/>
      <c r="RQ55" s="3078"/>
      <c r="RR55" s="3078"/>
      <c r="RS55" s="3078"/>
      <c r="RT55" s="3078"/>
      <c r="RU55" s="3075" t="s">
        <v>55</v>
      </c>
      <c r="RV55" s="3078"/>
      <c r="RW55" s="3078"/>
      <c r="RX55" s="3078"/>
      <c r="RY55" s="3078"/>
      <c r="RZ55" s="3078"/>
      <c r="SA55" s="3078"/>
      <c r="SB55" s="3078"/>
      <c r="SC55" s="3075" t="s">
        <v>55</v>
      </c>
      <c r="SD55" s="3078"/>
      <c r="SE55" s="3078"/>
      <c r="SF55" s="3078"/>
      <c r="SG55" s="3078"/>
      <c r="SH55" s="3078"/>
      <c r="SI55" s="3078"/>
      <c r="SJ55" s="3078"/>
      <c r="SK55" s="3075" t="s">
        <v>55</v>
      </c>
      <c r="SL55" s="3078"/>
      <c r="SM55" s="3078"/>
      <c r="SN55" s="3078"/>
      <c r="SO55" s="3078"/>
      <c r="SP55" s="3078"/>
      <c r="SQ55" s="3078"/>
      <c r="SR55" s="3078"/>
      <c r="SS55" s="3075" t="s">
        <v>55</v>
      </c>
      <c r="ST55" s="3078"/>
      <c r="SU55" s="3078"/>
      <c r="SV55" s="3078"/>
      <c r="SW55" s="3078"/>
      <c r="SX55" s="3078"/>
      <c r="SY55" s="3078"/>
      <c r="SZ55" s="3078"/>
      <c r="TA55" s="3075" t="s">
        <v>55</v>
      </c>
      <c r="TB55" s="3078"/>
      <c r="TC55" s="3078"/>
      <c r="TD55" s="3078"/>
      <c r="TE55" s="3078"/>
      <c r="TF55" s="3078"/>
      <c r="TG55" s="3078"/>
      <c r="TH55" s="3078"/>
      <c r="TI55" s="3075" t="s">
        <v>55</v>
      </c>
      <c r="TJ55" s="3078"/>
      <c r="TK55" s="3078"/>
      <c r="TL55" s="3078"/>
      <c r="TM55" s="3078"/>
      <c r="TN55" s="3078"/>
      <c r="TO55" s="3078"/>
      <c r="TP55" s="3078"/>
      <c r="TQ55" s="3075" t="s">
        <v>55</v>
      </c>
      <c r="TR55" s="3078"/>
      <c r="TS55" s="3078"/>
      <c r="TT55" s="3078"/>
      <c r="TU55" s="3078"/>
      <c r="TV55" s="3078"/>
      <c r="TW55" s="3078"/>
      <c r="TX55" s="3078"/>
      <c r="TY55" s="3075" t="s">
        <v>55</v>
      </c>
      <c r="TZ55" s="3078"/>
      <c r="UA55" s="3078"/>
      <c r="UB55" s="3078"/>
      <c r="UC55" s="3078"/>
      <c r="UD55" s="3078"/>
      <c r="UE55" s="3078"/>
      <c r="UF55" s="3078"/>
      <c r="UG55" s="3075" t="s">
        <v>55</v>
      </c>
      <c r="UH55" s="3078"/>
      <c r="UI55" s="3078"/>
      <c r="UJ55" s="3078"/>
      <c r="UK55" s="3078"/>
      <c r="UL55" s="3078"/>
      <c r="UM55" s="3078"/>
      <c r="UN55" s="3078"/>
      <c r="UO55" s="3075" t="s">
        <v>55</v>
      </c>
      <c r="UP55" s="3078"/>
      <c r="UQ55" s="3078"/>
      <c r="UR55" s="3078"/>
      <c r="US55" s="3078"/>
      <c r="UT55" s="3078"/>
      <c r="UU55" s="3078"/>
      <c r="UV55" s="3078"/>
      <c r="UW55" s="3075" t="s">
        <v>55</v>
      </c>
      <c r="UX55" s="3078"/>
      <c r="UY55" s="3078"/>
      <c r="UZ55" s="3078"/>
      <c r="VA55" s="3078"/>
      <c r="VB55" s="3078"/>
      <c r="VC55" s="3078"/>
      <c r="VD55" s="3078"/>
      <c r="VE55" s="3075" t="s">
        <v>55</v>
      </c>
      <c r="VF55" s="3078"/>
      <c r="VG55" s="3078"/>
      <c r="VH55" s="3078"/>
      <c r="VI55" s="3078"/>
      <c r="VJ55" s="3078"/>
      <c r="VK55" s="3078"/>
      <c r="VL55" s="3078"/>
      <c r="VM55" s="3075" t="s">
        <v>55</v>
      </c>
      <c r="VN55" s="3078"/>
      <c r="VO55" s="3078"/>
      <c r="VP55" s="3078"/>
      <c r="VQ55" s="3078"/>
      <c r="VR55" s="3078"/>
      <c r="VS55" s="3078"/>
      <c r="VT55" s="3078"/>
      <c r="VU55" s="3075" t="s">
        <v>55</v>
      </c>
      <c r="VV55" s="3078"/>
      <c r="VW55" s="3078"/>
      <c r="VX55" s="3078"/>
      <c r="VY55" s="3078"/>
      <c r="VZ55" s="3078"/>
      <c r="WA55" s="3078"/>
      <c r="WB55" s="3078"/>
      <c r="WC55" s="3075" t="s">
        <v>55</v>
      </c>
      <c r="WD55" s="3078"/>
      <c r="WE55" s="3078"/>
      <c r="WF55" s="3078"/>
      <c r="WG55" s="3078"/>
      <c r="WH55" s="3078"/>
      <c r="WI55" s="3078"/>
      <c r="WJ55" s="3078"/>
      <c r="WK55" s="3075" t="s">
        <v>55</v>
      </c>
      <c r="WL55" s="3078"/>
      <c r="WM55" s="3078"/>
      <c r="WN55" s="3078"/>
      <c r="WO55" s="3078"/>
      <c r="WP55" s="3078"/>
      <c r="WQ55" s="3078"/>
      <c r="WR55" s="3078"/>
      <c r="WS55" s="3075" t="s">
        <v>55</v>
      </c>
      <c r="WT55" s="3078"/>
      <c r="WU55" s="3078"/>
      <c r="WV55" s="3078"/>
      <c r="WW55" s="3078"/>
      <c r="WX55" s="3078"/>
      <c r="WY55" s="3078"/>
      <c r="WZ55" s="3078"/>
      <c r="XA55" s="3075" t="s">
        <v>55</v>
      </c>
      <c r="XB55" s="3078"/>
      <c r="XC55" s="3078"/>
      <c r="XD55" s="3078"/>
      <c r="XE55" s="3078"/>
      <c r="XF55" s="3078"/>
      <c r="XG55" s="3078"/>
      <c r="XH55" s="3078"/>
      <c r="XI55" s="3075" t="s">
        <v>55</v>
      </c>
      <c r="XJ55" s="3078"/>
      <c r="XK55" s="3078"/>
      <c r="XL55" s="3078"/>
      <c r="XM55" s="3078"/>
      <c r="XN55" s="3078"/>
      <c r="XO55" s="3078"/>
      <c r="XP55" s="3078"/>
      <c r="XQ55" s="3075" t="s">
        <v>55</v>
      </c>
      <c r="XR55" s="3078"/>
      <c r="XS55" s="3078"/>
      <c r="XT55" s="3078"/>
      <c r="XU55" s="3078"/>
      <c r="XV55" s="3078"/>
      <c r="XW55" s="3078"/>
      <c r="XX55" s="3078"/>
      <c r="XY55" s="3075" t="s">
        <v>55</v>
      </c>
      <c r="XZ55" s="3078"/>
      <c r="YA55" s="3078"/>
      <c r="YB55" s="3078"/>
      <c r="YC55" s="3078"/>
      <c r="YD55" s="3078"/>
      <c r="YE55" s="3078"/>
      <c r="YF55" s="3078"/>
      <c r="YG55" s="3075" t="s">
        <v>55</v>
      </c>
      <c r="YH55" s="3078"/>
      <c r="YI55" s="3078"/>
      <c r="YJ55" s="3078"/>
      <c r="YK55" s="3078"/>
      <c r="YL55" s="3078"/>
      <c r="YM55" s="3078"/>
      <c r="YN55" s="3078"/>
      <c r="YO55" s="3075" t="s">
        <v>55</v>
      </c>
      <c r="YP55" s="3078"/>
      <c r="YQ55" s="3078"/>
      <c r="YR55" s="3078"/>
      <c r="YS55" s="3078"/>
      <c r="YT55" s="3078"/>
      <c r="YU55" s="3078"/>
      <c r="YV55" s="3078"/>
      <c r="YW55" s="3075" t="s">
        <v>55</v>
      </c>
      <c r="YX55" s="3078"/>
      <c r="YY55" s="3078"/>
      <c r="YZ55" s="3078"/>
      <c r="ZA55" s="3078"/>
      <c r="ZB55" s="3078"/>
      <c r="ZC55" s="3078"/>
      <c r="ZD55" s="3078"/>
      <c r="ZE55" s="3075" t="s">
        <v>55</v>
      </c>
      <c r="ZF55" s="3078"/>
      <c r="ZG55" s="3078"/>
      <c r="ZH55" s="3078"/>
      <c r="ZI55" s="3078"/>
      <c r="ZJ55" s="3078"/>
      <c r="ZK55" s="3078"/>
      <c r="ZL55" s="3078"/>
      <c r="ZM55" s="3075" t="s">
        <v>55</v>
      </c>
      <c r="ZN55" s="3078"/>
      <c r="ZO55" s="3078"/>
      <c r="ZP55" s="3078"/>
      <c r="ZQ55" s="3078"/>
      <c r="ZR55" s="3078"/>
      <c r="ZS55" s="3078"/>
      <c r="ZT55" s="3078"/>
      <c r="ZU55" s="3075" t="s">
        <v>55</v>
      </c>
      <c r="ZV55" s="3078"/>
      <c r="ZW55" s="3078"/>
      <c r="ZX55" s="3078"/>
      <c r="ZY55" s="3078"/>
      <c r="ZZ55" s="3078"/>
      <c r="AAA55" s="3078"/>
      <c r="AAB55" s="3078"/>
      <c r="AAC55" s="3075" t="s">
        <v>55</v>
      </c>
      <c r="AAD55" s="3078"/>
      <c r="AAE55" s="3078"/>
      <c r="AAF55" s="3078"/>
      <c r="AAG55" s="3078"/>
      <c r="AAH55" s="3078"/>
      <c r="AAI55" s="3078"/>
      <c r="AAJ55" s="3078"/>
      <c r="AAK55" s="3075" t="s">
        <v>55</v>
      </c>
      <c r="AAL55" s="3078"/>
      <c r="AAM55" s="3078"/>
      <c r="AAN55" s="3078"/>
      <c r="AAO55" s="3078"/>
      <c r="AAP55" s="3078"/>
      <c r="AAQ55" s="3078"/>
      <c r="AAR55" s="3078"/>
      <c r="AAS55" s="3075" t="s">
        <v>55</v>
      </c>
      <c r="AAT55" s="3078"/>
      <c r="AAU55" s="3078"/>
      <c r="AAV55" s="3078"/>
      <c r="AAW55" s="3078"/>
      <c r="AAX55" s="3078"/>
      <c r="AAY55" s="3078"/>
      <c r="AAZ55" s="3078"/>
      <c r="ABA55" s="3075" t="s">
        <v>55</v>
      </c>
      <c r="ABB55" s="3078"/>
      <c r="ABC55" s="3078"/>
      <c r="ABD55" s="3078"/>
      <c r="ABE55" s="3078"/>
      <c r="ABF55" s="3078"/>
      <c r="ABG55" s="3078"/>
      <c r="ABH55" s="3078"/>
      <c r="ABI55" s="3075" t="s">
        <v>55</v>
      </c>
      <c r="ABJ55" s="3078"/>
      <c r="ABK55" s="3078"/>
      <c r="ABL55" s="3078"/>
      <c r="ABM55" s="3078"/>
      <c r="ABN55" s="3078"/>
      <c r="ABO55" s="3078"/>
      <c r="ABP55" s="3078"/>
      <c r="ABQ55" s="3075" t="s">
        <v>55</v>
      </c>
      <c r="ABR55" s="3078"/>
      <c r="ABS55" s="3078"/>
      <c r="ABT55" s="3078"/>
      <c r="ABU55" s="3078"/>
      <c r="ABV55" s="3078"/>
      <c r="ABW55" s="3078"/>
      <c r="ABX55" s="3078"/>
      <c r="ABY55" s="3075" t="s">
        <v>55</v>
      </c>
      <c r="ABZ55" s="3078"/>
      <c r="ACA55" s="3078"/>
      <c r="ACB55" s="3078"/>
      <c r="ACC55" s="3078"/>
      <c r="ACD55" s="3078"/>
      <c r="ACE55" s="3078"/>
      <c r="ACF55" s="3078"/>
      <c r="ACG55" s="3075" t="s">
        <v>55</v>
      </c>
      <c r="ACH55" s="3078"/>
      <c r="ACI55" s="3078"/>
      <c r="ACJ55" s="3078"/>
      <c r="ACK55" s="3078"/>
      <c r="ACL55" s="3078"/>
      <c r="ACM55" s="3078"/>
      <c r="ACN55" s="3078"/>
      <c r="ACO55" s="3075" t="s">
        <v>55</v>
      </c>
      <c r="ACP55" s="3078"/>
      <c r="ACQ55" s="3078"/>
      <c r="ACR55" s="3078"/>
      <c r="ACS55" s="3078"/>
      <c r="ACT55" s="3078"/>
      <c r="ACU55" s="3078"/>
      <c r="ACV55" s="3078"/>
      <c r="ACW55" s="3075" t="s">
        <v>55</v>
      </c>
      <c r="ACX55" s="3078"/>
      <c r="ACY55" s="3078"/>
      <c r="ACZ55" s="3078"/>
      <c r="ADA55" s="3078"/>
      <c r="ADB55" s="3078"/>
      <c r="ADC55" s="3078"/>
      <c r="ADD55" s="3078"/>
      <c r="ADE55" s="3075" t="s">
        <v>55</v>
      </c>
      <c r="ADF55" s="3078"/>
      <c r="ADG55" s="3078"/>
      <c r="ADH55" s="3078"/>
      <c r="ADI55" s="3078"/>
      <c r="ADJ55" s="3078"/>
      <c r="ADK55" s="3078"/>
      <c r="ADL55" s="3078"/>
      <c r="ADM55" s="3075" t="s">
        <v>55</v>
      </c>
      <c r="ADN55" s="3078"/>
      <c r="ADO55" s="3078"/>
      <c r="ADP55" s="3078"/>
      <c r="ADQ55" s="3078"/>
      <c r="ADR55" s="3078"/>
      <c r="ADS55" s="3078"/>
      <c r="ADT55" s="3078"/>
      <c r="ADU55" s="3075" t="s">
        <v>55</v>
      </c>
      <c r="ADV55" s="3078"/>
      <c r="ADW55" s="3078"/>
      <c r="ADX55" s="3078"/>
      <c r="ADY55" s="3078"/>
      <c r="ADZ55" s="3078"/>
      <c r="AEA55" s="3078"/>
      <c r="AEB55" s="3078"/>
      <c r="AEC55" s="3075" t="s">
        <v>55</v>
      </c>
      <c r="AED55" s="3078"/>
      <c r="AEE55" s="3078"/>
      <c r="AEF55" s="3078"/>
      <c r="AEG55" s="3078"/>
      <c r="AEH55" s="3078"/>
      <c r="AEI55" s="3078"/>
      <c r="AEJ55" s="3078"/>
      <c r="AEK55" s="3075" t="s">
        <v>55</v>
      </c>
      <c r="AEL55" s="3078"/>
      <c r="AEM55" s="3078"/>
      <c r="AEN55" s="3078"/>
      <c r="AEO55" s="3078"/>
      <c r="AEP55" s="3078"/>
      <c r="AEQ55" s="3078"/>
      <c r="AER55" s="3078"/>
      <c r="AES55" s="3075" t="s">
        <v>55</v>
      </c>
      <c r="AET55" s="3078"/>
      <c r="AEU55" s="3078"/>
      <c r="AEV55" s="3078"/>
      <c r="AEW55" s="3078"/>
      <c r="AEX55" s="3078"/>
      <c r="AEY55" s="3078"/>
      <c r="AEZ55" s="3078"/>
      <c r="AFA55" s="3075" t="s">
        <v>55</v>
      </c>
      <c r="AFB55" s="3078"/>
      <c r="AFC55" s="3078"/>
      <c r="AFD55" s="3078"/>
      <c r="AFE55" s="3078"/>
      <c r="AFF55" s="3078"/>
      <c r="AFG55" s="3078"/>
      <c r="AFH55" s="3078"/>
      <c r="AFI55" s="3075" t="s">
        <v>55</v>
      </c>
      <c r="AFJ55" s="3078"/>
      <c r="AFK55" s="3078"/>
      <c r="AFL55" s="3078"/>
      <c r="AFM55" s="3078"/>
      <c r="AFN55" s="3078"/>
      <c r="AFO55" s="3078"/>
      <c r="AFP55" s="3078"/>
      <c r="AFQ55" s="3075" t="s">
        <v>55</v>
      </c>
      <c r="AFR55" s="3078"/>
      <c r="AFS55" s="3078"/>
      <c r="AFT55" s="3078"/>
      <c r="AFU55" s="3078"/>
      <c r="AFV55" s="3078"/>
      <c r="AFW55" s="3078"/>
      <c r="AFX55" s="3078"/>
      <c r="AFY55" s="3075" t="s">
        <v>55</v>
      </c>
      <c r="AFZ55" s="3078"/>
      <c r="AGA55" s="3078"/>
      <c r="AGB55" s="3078"/>
      <c r="AGC55" s="3078"/>
      <c r="AGD55" s="3078"/>
      <c r="AGE55" s="3078"/>
      <c r="AGF55" s="3078"/>
      <c r="AGG55" s="3075" t="s">
        <v>55</v>
      </c>
      <c r="AGH55" s="3078"/>
      <c r="AGI55" s="3078"/>
      <c r="AGJ55" s="3078"/>
      <c r="AGK55" s="3078"/>
      <c r="AGL55" s="3078"/>
      <c r="AGM55" s="3078"/>
      <c r="AGN55" s="3078"/>
      <c r="AGO55" s="3075" t="s">
        <v>55</v>
      </c>
      <c r="AGP55" s="3078"/>
      <c r="AGQ55" s="3078"/>
      <c r="AGR55" s="3078"/>
      <c r="AGS55" s="3078"/>
      <c r="AGT55" s="3078"/>
      <c r="AGU55" s="3078"/>
      <c r="AGV55" s="3078"/>
      <c r="AGW55" s="3075" t="s">
        <v>55</v>
      </c>
      <c r="AGX55" s="3078"/>
      <c r="AGY55" s="3078"/>
      <c r="AGZ55" s="3078"/>
      <c r="AHA55" s="3078"/>
      <c r="AHB55" s="3078"/>
      <c r="AHC55" s="3078"/>
      <c r="AHD55" s="3078"/>
      <c r="AHE55" s="3075" t="s">
        <v>55</v>
      </c>
      <c r="AHF55" s="3078"/>
      <c r="AHG55" s="3078"/>
      <c r="AHH55" s="3078"/>
      <c r="AHI55" s="3078"/>
      <c r="AHJ55" s="3078"/>
      <c r="AHK55" s="3078"/>
      <c r="AHL55" s="3078"/>
      <c r="AHM55" s="3075" t="s">
        <v>55</v>
      </c>
      <c r="AHN55" s="3078"/>
      <c r="AHO55" s="3078"/>
      <c r="AHP55" s="3078"/>
      <c r="AHQ55" s="3078"/>
      <c r="AHR55" s="3078"/>
      <c r="AHS55" s="3078"/>
      <c r="AHT55" s="3078"/>
      <c r="AHU55" s="3075" t="s">
        <v>55</v>
      </c>
      <c r="AHV55" s="3078"/>
      <c r="AHW55" s="3078"/>
      <c r="AHX55" s="3078"/>
      <c r="AHY55" s="3078"/>
      <c r="AHZ55" s="3078"/>
      <c r="AIA55" s="3078"/>
      <c r="AIB55" s="3078"/>
      <c r="AIC55" s="3075" t="s">
        <v>55</v>
      </c>
      <c r="AID55" s="3078"/>
      <c r="AIE55" s="3078"/>
      <c r="AIF55" s="3078"/>
      <c r="AIG55" s="3078"/>
      <c r="AIH55" s="3078"/>
      <c r="AII55" s="3078"/>
      <c r="AIJ55" s="3078"/>
      <c r="AIK55" s="3075" t="s">
        <v>55</v>
      </c>
      <c r="AIL55" s="3078"/>
      <c r="AIM55" s="3078"/>
      <c r="AIN55" s="3078"/>
      <c r="AIO55" s="3078"/>
      <c r="AIP55" s="3078"/>
      <c r="AIQ55" s="3078"/>
      <c r="AIR55" s="3078"/>
      <c r="AIS55" s="3075" t="s">
        <v>55</v>
      </c>
      <c r="AIT55" s="3078"/>
      <c r="AIU55" s="3078"/>
      <c r="AIV55" s="3078"/>
      <c r="AIW55" s="3078"/>
      <c r="AIX55" s="3078"/>
      <c r="AIY55" s="3078"/>
      <c r="AIZ55" s="3078"/>
      <c r="AJA55" s="3075" t="s">
        <v>55</v>
      </c>
      <c r="AJB55" s="3078"/>
      <c r="AJC55" s="3078"/>
      <c r="AJD55" s="3078"/>
      <c r="AJE55" s="3078"/>
      <c r="AJF55" s="3078"/>
      <c r="AJG55" s="3078"/>
      <c r="AJH55" s="3078"/>
      <c r="AJI55" s="3075" t="s">
        <v>55</v>
      </c>
      <c r="AJJ55" s="3078"/>
      <c r="AJK55" s="3078"/>
      <c r="AJL55" s="3078"/>
      <c r="AJM55" s="3078"/>
      <c r="AJN55" s="3078"/>
      <c r="AJO55" s="3078"/>
      <c r="AJP55" s="3078"/>
      <c r="AJQ55" s="3075" t="s">
        <v>55</v>
      </c>
      <c r="AJR55" s="3078"/>
      <c r="AJS55" s="3078"/>
      <c r="AJT55" s="3078"/>
      <c r="AJU55" s="3078"/>
      <c r="AJV55" s="3078"/>
      <c r="AJW55" s="3078"/>
      <c r="AJX55" s="3078"/>
      <c r="AJY55" s="3075" t="s">
        <v>55</v>
      </c>
      <c r="AJZ55" s="3078"/>
      <c r="AKA55" s="3078"/>
      <c r="AKB55" s="3078"/>
      <c r="AKC55" s="3078"/>
      <c r="AKD55" s="3078"/>
      <c r="AKE55" s="3078"/>
      <c r="AKF55" s="3078"/>
      <c r="AKG55" s="3075" t="s">
        <v>55</v>
      </c>
      <c r="AKH55" s="3078"/>
      <c r="AKI55" s="3078"/>
      <c r="AKJ55" s="3078"/>
      <c r="AKK55" s="3078"/>
      <c r="AKL55" s="3078"/>
      <c r="AKM55" s="3078"/>
      <c r="AKN55" s="3078"/>
      <c r="AKO55" s="3075" t="s">
        <v>55</v>
      </c>
      <c r="AKP55" s="3078"/>
      <c r="AKQ55" s="3078"/>
      <c r="AKR55" s="3078"/>
      <c r="AKS55" s="3078"/>
      <c r="AKT55" s="3078"/>
      <c r="AKU55" s="3078"/>
      <c r="AKV55" s="3078"/>
      <c r="AKW55" s="3075" t="s">
        <v>55</v>
      </c>
      <c r="AKX55" s="3078"/>
      <c r="AKY55" s="3078"/>
      <c r="AKZ55" s="3078"/>
      <c r="ALA55" s="3078"/>
      <c r="ALB55" s="3078"/>
      <c r="ALC55" s="3078"/>
      <c r="ALD55" s="3078"/>
      <c r="ALE55" s="3075" t="s">
        <v>55</v>
      </c>
      <c r="ALF55" s="3078"/>
      <c r="ALG55" s="3078"/>
      <c r="ALH55" s="3078"/>
      <c r="ALI55" s="3078"/>
      <c r="ALJ55" s="3078"/>
      <c r="ALK55" s="3078"/>
      <c r="ALL55" s="3078"/>
      <c r="ALM55" s="3075" t="s">
        <v>55</v>
      </c>
      <c r="ALN55" s="3078"/>
      <c r="ALO55" s="3078"/>
      <c r="ALP55" s="3078"/>
      <c r="ALQ55" s="3078"/>
      <c r="ALR55" s="3078"/>
      <c r="ALS55" s="3078"/>
      <c r="ALT55" s="3078"/>
      <c r="ALU55" s="3075" t="s">
        <v>55</v>
      </c>
      <c r="ALV55" s="3078"/>
      <c r="ALW55" s="3078"/>
      <c r="ALX55" s="3078"/>
      <c r="ALY55" s="3078"/>
      <c r="ALZ55" s="3078"/>
      <c r="AMA55" s="3078"/>
      <c r="AMB55" s="3078"/>
      <c r="AMC55" s="3075" t="s">
        <v>55</v>
      </c>
      <c r="AMD55" s="3078"/>
      <c r="AME55" s="3078"/>
      <c r="AMF55" s="3078"/>
      <c r="AMG55" s="3078"/>
      <c r="AMH55" s="3078"/>
      <c r="AMI55" s="3078"/>
      <c r="AMJ55" s="3078"/>
      <c r="AMK55" s="3075" t="s">
        <v>55</v>
      </c>
      <c r="AML55" s="3078"/>
      <c r="AMM55" s="3078"/>
      <c r="AMN55" s="3078"/>
      <c r="AMO55" s="3078"/>
      <c r="AMP55" s="3078"/>
      <c r="AMQ55" s="3078"/>
      <c r="AMR55" s="3078"/>
      <c r="AMS55" s="3075" t="s">
        <v>55</v>
      </c>
      <c r="AMT55" s="3078"/>
      <c r="AMU55" s="3078"/>
      <c r="AMV55" s="3078"/>
      <c r="AMW55" s="3078"/>
      <c r="AMX55" s="3078"/>
      <c r="AMY55" s="3078"/>
      <c r="AMZ55" s="3078"/>
      <c r="ANA55" s="3075" t="s">
        <v>55</v>
      </c>
      <c r="ANB55" s="3078"/>
      <c r="ANC55" s="3078"/>
      <c r="AND55" s="3078"/>
      <c r="ANE55" s="3078"/>
      <c r="ANF55" s="3078"/>
      <c r="ANG55" s="3078"/>
      <c r="ANH55" s="3078"/>
      <c r="ANI55" s="3075" t="s">
        <v>55</v>
      </c>
      <c r="ANJ55" s="3078"/>
      <c r="ANK55" s="3078"/>
      <c r="ANL55" s="3078"/>
      <c r="ANM55" s="3078"/>
      <c r="ANN55" s="3078"/>
      <c r="ANO55" s="3078"/>
      <c r="ANP55" s="3078"/>
      <c r="ANQ55" s="3075" t="s">
        <v>55</v>
      </c>
      <c r="ANR55" s="3078"/>
      <c r="ANS55" s="3078"/>
      <c r="ANT55" s="3078"/>
      <c r="ANU55" s="3078"/>
      <c r="ANV55" s="3078"/>
      <c r="ANW55" s="3078"/>
      <c r="ANX55" s="3078"/>
      <c r="ANY55" s="3075" t="s">
        <v>55</v>
      </c>
      <c r="ANZ55" s="3078"/>
      <c r="AOA55" s="3078"/>
      <c r="AOB55" s="3078"/>
      <c r="AOC55" s="3078"/>
      <c r="AOD55" s="3078"/>
      <c r="AOE55" s="3078"/>
      <c r="AOF55" s="3078"/>
      <c r="AOG55" s="3075" t="s">
        <v>55</v>
      </c>
      <c r="AOH55" s="3078"/>
      <c r="AOI55" s="3078"/>
      <c r="AOJ55" s="3078"/>
      <c r="AOK55" s="3078"/>
      <c r="AOL55" s="3078"/>
      <c r="AOM55" s="3078"/>
      <c r="AON55" s="3078"/>
      <c r="AOO55" s="3075" t="s">
        <v>55</v>
      </c>
      <c r="AOP55" s="3078"/>
      <c r="AOQ55" s="3078"/>
      <c r="AOR55" s="3078"/>
      <c r="AOS55" s="3078"/>
      <c r="AOT55" s="3078"/>
      <c r="AOU55" s="3078"/>
      <c r="AOV55" s="3078"/>
      <c r="AOW55" s="3075" t="s">
        <v>55</v>
      </c>
      <c r="AOX55" s="3078"/>
      <c r="AOY55" s="3078"/>
      <c r="AOZ55" s="3078"/>
      <c r="APA55" s="3078"/>
      <c r="APB55" s="3078"/>
      <c r="APC55" s="3078"/>
      <c r="APD55" s="3078"/>
      <c r="APE55" s="3075" t="s">
        <v>55</v>
      </c>
      <c r="APF55" s="3078"/>
      <c r="APG55" s="3078"/>
      <c r="APH55" s="3078"/>
      <c r="API55" s="3078"/>
      <c r="APJ55" s="3078"/>
      <c r="APK55" s="3078"/>
      <c r="APL55" s="3078"/>
      <c r="APM55" s="3075" t="s">
        <v>55</v>
      </c>
      <c r="APN55" s="3078"/>
      <c r="APO55" s="3078"/>
      <c r="APP55" s="3078"/>
      <c r="APQ55" s="3078"/>
      <c r="APR55" s="3078"/>
      <c r="APS55" s="3078"/>
      <c r="APT55" s="3078"/>
      <c r="APU55" s="3075" t="s">
        <v>55</v>
      </c>
      <c r="APV55" s="3078"/>
      <c r="APW55" s="3078"/>
      <c r="APX55" s="3078"/>
      <c r="APY55" s="3078"/>
      <c r="APZ55" s="3078"/>
      <c r="AQA55" s="3078"/>
      <c r="AQB55" s="3078"/>
      <c r="AQC55" s="3075" t="s">
        <v>55</v>
      </c>
      <c r="AQD55" s="3078"/>
      <c r="AQE55" s="3078"/>
      <c r="AQF55" s="3078"/>
      <c r="AQG55" s="3078"/>
      <c r="AQH55" s="3078"/>
      <c r="AQI55" s="3078"/>
      <c r="AQJ55" s="3078"/>
      <c r="AQK55" s="3075" t="s">
        <v>55</v>
      </c>
      <c r="AQL55" s="3078"/>
      <c r="AQM55" s="3078"/>
      <c r="AQN55" s="3078"/>
      <c r="AQO55" s="3078"/>
      <c r="AQP55" s="3078"/>
      <c r="AQQ55" s="3078"/>
      <c r="AQR55" s="3078"/>
      <c r="AQS55" s="3075" t="s">
        <v>55</v>
      </c>
      <c r="AQT55" s="3078"/>
      <c r="AQU55" s="3078"/>
      <c r="AQV55" s="3078"/>
      <c r="AQW55" s="3078"/>
      <c r="AQX55" s="3078"/>
      <c r="AQY55" s="3078"/>
      <c r="AQZ55" s="3078"/>
      <c r="ARA55" s="3075" t="s">
        <v>55</v>
      </c>
      <c r="ARB55" s="3078"/>
      <c r="ARC55" s="3078"/>
      <c r="ARD55" s="3078"/>
      <c r="ARE55" s="3078"/>
      <c r="ARF55" s="3078"/>
      <c r="ARG55" s="3078"/>
      <c r="ARH55" s="3078"/>
      <c r="ARI55" s="3075" t="s">
        <v>55</v>
      </c>
      <c r="ARJ55" s="3078"/>
      <c r="ARK55" s="3078"/>
      <c r="ARL55" s="3078"/>
      <c r="ARM55" s="3078"/>
      <c r="ARN55" s="3078"/>
      <c r="ARO55" s="3078"/>
      <c r="ARP55" s="3078"/>
      <c r="ARQ55" s="3075" t="s">
        <v>55</v>
      </c>
      <c r="ARR55" s="3078"/>
      <c r="ARS55" s="3078"/>
      <c r="ART55" s="3078"/>
      <c r="ARU55" s="3078"/>
      <c r="ARV55" s="3078"/>
      <c r="ARW55" s="3078"/>
      <c r="ARX55" s="3078"/>
      <c r="ARY55" s="3075" t="s">
        <v>55</v>
      </c>
      <c r="ARZ55" s="3078"/>
      <c r="ASA55" s="3078"/>
      <c r="ASB55" s="3078"/>
      <c r="ASC55" s="3078"/>
      <c r="ASD55" s="3078"/>
      <c r="ASE55" s="3078"/>
      <c r="ASF55" s="3078"/>
      <c r="ASG55" s="3075" t="s">
        <v>55</v>
      </c>
      <c r="ASH55" s="3078"/>
      <c r="ASI55" s="3078"/>
      <c r="ASJ55" s="3078"/>
      <c r="ASK55" s="3078"/>
      <c r="ASL55" s="3078"/>
      <c r="ASM55" s="3078"/>
      <c r="ASN55" s="3078"/>
      <c r="ASO55" s="3075" t="s">
        <v>55</v>
      </c>
      <c r="ASP55" s="3078"/>
      <c r="ASQ55" s="3078"/>
      <c r="ASR55" s="3078"/>
      <c r="ASS55" s="3078"/>
      <c r="AST55" s="3078"/>
      <c r="ASU55" s="3078"/>
      <c r="ASV55" s="3078"/>
      <c r="ASW55" s="3075" t="s">
        <v>55</v>
      </c>
      <c r="ASX55" s="3078"/>
      <c r="ASY55" s="3078"/>
      <c r="ASZ55" s="3078"/>
      <c r="ATA55" s="3078"/>
      <c r="ATB55" s="3078"/>
      <c r="ATC55" s="3078"/>
      <c r="ATD55" s="3078"/>
      <c r="ATE55" s="3075" t="s">
        <v>55</v>
      </c>
      <c r="ATF55" s="3078"/>
      <c r="ATG55" s="3078"/>
      <c r="ATH55" s="3078"/>
      <c r="ATI55" s="3078"/>
      <c r="ATJ55" s="3078"/>
      <c r="ATK55" s="3078"/>
      <c r="ATL55" s="3078"/>
      <c r="ATM55" s="3075" t="s">
        <v>55</v>
      </c>
      <c r="ATN55" s="3078"/>
      <c r="ATO55" s="3078"/>
      <c r="ATP55" s="3078"/>
      <c r="ATQ55" s="3078"/>
      <c r="ATR55" s="3078"/>
      <c r="ATS55" s="3078"/>
      <c r="ATT55" s="3078"/>
      <c r="ATU55" s="3075" t="s">
        <v>55</v>
      </c>
      <c r="ATV55" s="3078"/>
      <c r="ATW55" s="3078"/>
      <c r="ATX55" s="3078"/>
      <c r="ATY55" s="3078"/>
      <c r="ATZ55" s="3078"/>
      <c r="AUA55" s="3078"/>
      <c r="AUB55" s="3078"/>
      <c r="AUC55" s="3075" t="s">
        <v>55</v>
      </c>
      <c r="AUD55" s="3078"/>
      <c r="AUE55" s="3078"/>
      <c r="AUF55" s="3078"/>
      <c r="AUG55" s="3078"/>
      <c r="AUH55" s="3078"/>
      <c r="AUI55" s="3078"/>
      <c r="AUJ55" s="3078"/>
      <c r="AUK55" s="3075" t="s">
        <v>55</v>
      </c>
      <c r="AUL55" s="3078"/>
      <c r="AUM55" s="3078"/>
      <c r="AUN55" s="3078"/>
      <c r="AUO55" s="3078"/>
      <c r="AUP55" s="3078"/>
      <c r="AUQ55" s="3078"/>
      <c r="AUR55" s="3078"/>
      <c r="AUS55" s="3075" t="s">
        <v>55</v>
      </c>
      <c r="AUT55" s="3078"/>
      <c r="AUU55" s="3078"/>
      <c r="AUV55" s="3078"/>
      <c r="AUW55" s="3078"/>
      <c r="AUX55" s="3078"/>
      <c r="AUY55" s="3078"/>
      <c r="AUZ55" s="3078"/>
      <c r="AVA55" s="3075" t="s">
        <v>55</v>
      </c>
      <c r="AVB55" s="3078"/>
      <c r="AVC55" s="3078"/>
      <c r="AVD55" s="3078"/>
      <c r="AVE55" s="3078"/>
      <c r="AVF55" s="3078"/>
      <c r="AVG55" s="3078"/>
      <c r="AVH55" s="3078"/>
      <c r="AVI55" s="3075" t="s">
        <v>55</v>
      </c>
      <c r="AVJ55" s="3078"/>
      <c r="AVK55" s="3078"/>
      <c r="AVL55" s="3078"/>
      <c r="AVM55" s="3078"/>
      <c r="AVN55" s="3078"/>
      <c r="AVO55" s="3078"/>
      <c r="AVP55" s="3078"/>
      <c r="AVQ55" s="3075" t="s">
        <v>55</v>
      </c>
      <c r="AVR55" s="3078"/>
      <c r="AVS55" s="3078"/>
      <c r="AVT55" s="3078"/>
      <c r="AVU55" s="3078"/>
      <c r="AVV55" s="3078"/>
      <c r="AVW55" s="3078"/>
      <c r="AVX55" s="3078"/>
      <c r="AVY55" s="3075" t="s">
        <v>55</v>
      </c>
      <c r="AVZ55" s="3078"/>
      <c r="AWA55" s="3078"/>
      <c r="AWB55" s="3078"/>
      <c r="AWC55" s="3078"/>
      <c r="AWD55" s="3078"/>
      <c r="AWE55" s="3078"/>
      <c r="AWF55" s="3078"/>
      <c r="AWG55" s="3075" t="s">
        <v>55</v>
      </c>
      <c r="AWH55" s="3078"/>
      <c r="AWI55" s="3078"/>
      <c r="AWJ55" s="3078"/>
      <c r="AWK55" s="3078"/>
      <c r="AWL55" s="3078"/>
      <c r="AWM55" s="3078"/>
      <c r="AWN55" s="3078"/>
      <c r="AWO55" s="3075" t="s">
        <v>55</v>
      </c>
      <c r="AWP55" s="3078"/>
      <c r="AWQ55" s="3078"/>
      <c r="AWR55" s="3078"/>
      <c r="AWS55" s="3078"/>
      <c r="AWT55" s="3078"/>
      <c r="AWU55" s="3078"/>
      <c r="AWV55" s="3078"/>
      <c r="AWW55" s="3075" t="s">
        <v>55</v>
      </c>
      <c r="AWX55" s="3078"/>
      <c r="AWY55" s="3078"/>
      <c r="AWZ55" s="3078"/>
      <c r="AXA55" s="3078"/>
      <c r="AXB55" s="3078"/>
      <c r="AXC55" s="3078"/>
      <c r="AXD55" s="3078"/>
      <c r="AXE55" s="3075" t="s">
        <v>55</v>
      </c>
      <c r="AXF55" s="3078"/>
      <c r="AXG55" s="3078"/>
      <c r="AXH55" s="3078"/>
      <c r="AXI55" s="3078"/>
      <c r="AXJ55" s="3078"/>
      <c r="AXK55" s="3078"/>
      <c r="AXL55" s="3078"/>
      <c r="AXM55" s="3075" t="s">
        <v>55</v>
      </c>
      <c r="AXN55" s="3078"/>
      <c r="AXO55" s="3078"/>
      <c r="AXP55" s="3078"/>
      <c r="AXQ55" s="3078"/>
      <c r="AXR55" s="3078"/>
      <c r="AXS55" s="3078"/>
      <c r="AXT55" s="3078"/>
      <c r="AXU55" s="3075" t="s">
        <v>55</v>
      </c>
      <c r="AXV55" s="3078"/>
      <c r="AXW55" s="3078"/>
      <c r="AXX55" s="3078"/>
      <c r="AXY55" s="3078"/>
      <c r="AXZ55" s="3078"/>
      <c r="AYA55" s="3078"/>
      <c r="AYB55" s="3078"/>
      <c r="AYC55" s="3075" t="s">
        <v>55</v>
      </c>
      <c r="AYD55" s="3078"/>
      <c r="AYE55" s="3078"/>
      <c r="AYF55" s="3078"/>
      <c r="AYG55" s="3078"/>
      <c r="AYH55" s="3078"/>
      <c r="AYI55" s="3078"/>
      <c r="AYJ55" s="3078"/>
      <c r="AYK55" s="3075" t="s">
        <v>55</v>
      </c>
      <c r="AYL55" s="3078"/>
      <c r="AYM55" s="3078"/>
      <c r="AYN55" s="3078"/>
      <c r="AYO55" s="3078"/>
      <c r="AYP55" s="3078"/>
      <c r="AYQ55" s="3078"/>
      <c r="AYR55" s="3078"/>
      <c r="AYS55" s="3075" t="s">
        <v>55</v>
      </c>
      <c r="AYT55" s="3078"/>
      <c r="AYU55" s="3078"/>
      <c r="AYV55" s="3078"/>
      <c r="AYW55" s="3078"/>
      <c r="AYX55" s="3078"/>
      <c r="AYY55" s="3078"/>
      <c r="AYZ55" s="3078"/>
      <c r="AZA55" s="3075" t="s">
        <v>55</v>
      </c>
      <c r="AZB55" s="3078"/>
      <c r="AZC55" s="3078"/>
      <c r="AZD55" s="3078"/>
      <c r="AZE55" s="3078"/>
      <c r="AZF55" s="3078"/>
      <c r="AZG55" s="3078"/>
      <c r="AZH55" s="3078"/>
      <c r="AZI55" s="3075" t="s">
        <v>55</v>
      </c>
      <c r="AZJ55" s="3078"/>
      <c r="AZK55" s="3078"/>
      <c r="AZL55" s="3078"/>
      <c r="AZM55" s="3078"/>
      <c r="AZN55" s="3078"/>
      <c r="AZO55" s="3078"/>
      <c r="AZP55" s="3078"/>
      <c r="AZQ55" s="3075" t="s">
        <v>55</v>
      </c>
      <c r="AZR55" s="3078"/>
      <c r="AZS55" s="3078"/>
      <c r="AZT55" s="3078"/>
      <c r="AZU55" s="3078"/>
      <c r="AZV55" s="3078"/>
      <c r="AZW55" s="3078"/>
      <c r="AZX55" s="3078"/>
      <c r="AZY55" s="3075" t="s">
        <v>55</v>
      </c>
      <c r="AZZ55" s="3078"/>
      <c r="BAA55" s="3078"/>
      <c r="BAB55" s="3078"/>
      <c r="BAC55" s="3078"/>
      <c r="BAD55" s="3078"/>
      <c r="BAE55" s="3078"/>
      <c r="BAF55" s="3078"/>
      <c r="BAG55" s="3075" t="s">
        <v>55</v>
      </c>
      <c r="BAH55" s="3078"/>
      <c r="BAI55" s="3078"/>
      <c r="BAJ55" s="3078"/>
      <c r="BAK55" s="3078"/>
      <c r="BAL55" s="3078"/>
      <c r="BAM55" s="3078"/>
      <c r="BAN55" s="3078"/>
      <c r="BAO55" s="3075" t="s">
        <v>55</v>
      </c>
      <c r="BAP55" s="3078"/>
      <c r="BAQ55" s="3078"/>
      <c r="BAR55" s="3078"/>
      <c r="BAS55" s="3078"/>
      <c r="BAT55" s="3078"/>
      <c r="BAU55" s="3078"/>
      <c r="BAV55" s="3078"/>
      <c r="BAW55" s="3075" t="s">
        <v>55</v>
      </c>
      <c r="BAX55" s="3078"/>
      <c r="BAY55" s="3078"/>
      <c r="BAZ55" s="3078"/>
      <c r="BBA55" s="3078"/>
      <c r="BBB55" s="3078"/>
      <c r="BBC55" s="3078"/>
      <c r="BBD55" s="3078"/>
      <c r="BBE55" s="3075" t="s">
        <v>55</v>
      </c>
      <c r="BBF55" s="3078"/>
      <c r="BBG55" s="3078"/>
      <c r="BBH55" s="3078"/>
      <c r="BBI55" s="3078"/>
      <c r="BBJ55" s="3078"/>
      <c r="BBK55" s="3078"/>
      <c r="BBL55" s="3078"/>
      <c r="BBM55" s="3075" t="s">
        <v>55</v>
      </c>
      <c r="BBN55" s="3078"/>
      <c r="BBO55" s="3078"/>
      <c r="BBP55" s="3078"/>
      <c r="BBQ55" s="3078"/>
      <c r="BBR55" s="3078"/>
      <c r="BBS55" s="3078"/>
      <c r="BBT55" s="3078"/>
      <c r="BBU55" s="3075" t="s">
        <v>55</v>
      </c>
      <c r="BBV55" s="3078"/>
      <c r="BBW55" s="3078"/>
      <c r="BBX55" s="3078"/>
      <c r="BBY55" s="3078"/>
      <c r="BBZ55" s="3078"/>
      <c r="BCA55" s="3078"/>
      <c r="BCB55" s="3078"/>
      <c r="BCC55" s="3075" t="s">
        <v>55</v>
      </c>
      <c r="BCD55" s="3078"/>
      <c r="BCE55" s="3078"/>
      <c r="BCF55" s="3078"/>
      <c r="BCG55" s="3078"/>
      <c r="BCH55" s="3078"/>
      <c r="BCI55" s="3078"/>
      <c r="BCJ55" s="3078"/>
      <c r="BCK55" s="3075" t="s">
        <v>55</v>
      </c>
      <c r="BCL55" s="3078"/>
      <c r="BCM55" s="3078"/>
      <c r="BCN55" s="3078"/>
      <c r="BCO55" s="3078"/>
      <c r="BCP55" s="3078"/>
      <c r="BCQ55" s="3078"/>
      <c r="BCR55" s="3078"/>
      <c r="BCS55" s="3075" t="s">
        <v>55</v>
      </c>
      <c r="BCT55" s="3078"/>
      <c r="BCU55" s="3078"/>
      <c r="BCV55" s="3078"/>
      <c r="BCW55" s="3078"/>
      <c r="BCX55" s="3078"/>
      <c r="BCY55" s="3078"/>
      <c r="BCZ55" s="3078"/>
      <c r="BDA55" s="3075" t="s">
        <v>55</v>
      </c>
      <c r="BDB55" s="3078"/>
      <c r="BDC55" s="3078"/>
      <c r="BDD55" s="3078"/>
      <c r="BDE55" s="3078"/>
      <c r="BDF55" s="3078"/>
      <c r="BDG55" s="3078"/>
      <c r="BDH55" s="3078"/>
      <c r="BDI55" s="3075" t="s">
        <v>55</v>
      </c>
      <c r="BDJ55" s="3078"/>
      <c r="BDK55" s="3078"/>
      <c r="BDL55" s="3078"/>
      <c r="BDM55" s="3078"/>
      <c r="BDN55" s="3078"/>
      <c r="BDO55" s="3078"/>
      <c r="BDP55" s="3078"/>
      <c r="BDQ55" s="3075" t="s">
        <v>55</v>
      </c>
      <c r="BDR55" s="3078"/>
      <c r="BDS55" s="3078"/>
      <c r="BDT55" s="3078"/>
      <c r="BDU55" s="3078"/>
      <c r="BDV55" s="3078"/>
      <c r="BDW55" s="3078"/>
      <c r="BDX55" s="3078"/>
      <c r="BDY55" s="3075" t="s">
        <v>55</v>
      </c>
      <c r="BDZ55" s="3078"/>
      <c r="BEA55" s="3078"/>
      <c r="BEB55" s="3078"/>
      <c r="BEC55" s="3078"/>
      <c r="BED55" s="3078"/>
      <c r="BEE55" s="3078"/>
      <c r="BEF55" s="3078"/>
      <c r="BEG55" s="3075" t="s">
        <v>55</v>
      </c>
      <c r="BEH55" s="3078"/>
      <c r="BEI55" s="3078"/>
      <c r="BEJ55" s="3078"/>
      <c r="BEK55" s="3078"/>
      <c r="BEL55" s="3078"/>
      <c r="BEM55" s="3078"/>
      <c r="BEN55" s="3078"/>
      <c r="BEO55" s="3075" t="s">
        <v>55</v>
      </c>
      <c r="BEP55" s="3078"/>
      <c r="BEQ55" s="3078"/>
      <c r="BER55" s="3078"/>
      <c r="BES55" s="3078"/>
      <c r="BET55" s="3078"/>
      <c r="BEU55" s="3078"/>
      <c r="BEV55" s="3078"/>
      <c r="BEW55" s="3075" t="s">
        <v>55</v>
      </c>
      <c r="BEX55" s="3078"/>
      <c r="BEY55" s="3078"/>
      <c r="BEZ55" s="3078"/>
      <c r="BFA55" s="3078"/>
      <c r="BFB55" s="3078"/>
      <c r="BFC55" s="3078"/>
      <c r="BFD55" s="3078"/>
      <c r="BFE55" s="3075" t="s">
        <v>55</v>
      </c>
      <c r="BFF55" s="3078"/>
      <c r="BFG55" s="3078"/>
      <c r="BFH55" s="3078"/>
      <c r="BFI55" s="3078"/>
      <c r="BFJ55" s="3078"/>
      <c r="BFK55" s="3078"/>
      <c r="BFL55" s="3078"/>
      <c r="BFM55" s="3075" t="s">
        <v>55</v>
      </c>
      <c r="BFN55" s="3078"/>
      <c r="BFO55" s="3078"/>
      <c r="BFP55" s="3078"/>
      <c r="BFQ55" s="3078"/>
      <c r="BFR55" s="3078"/>
      <c r="BFS55" s="3078"/>
      <c r="BFT55" s="3078"/>
      <c r="BFU55" s="3075" t="s">
        <v>55</v>
      </c>
      <c r="BFV55" s="3078"/>
      <c r="BFW55" s="3078"/>
      <c r="BFX55" s="3078"/>
      <c r="BFY55" s="3078"/>
      <c r="BFZ55" s="3078"/>
      <c r="BGA55" s="3078"/>
      <c r="BGB55" s="3078"/>
      <c r="BGC55" s="3075" t="s">
        <v>55</v>
      </c>
      <c r="BGD55" s="3078"/>
      <c r="BGE55" s="3078"/>
      <c r="BGF55" s="3078"/>
      <c r="BGG55" s="3078"/>
      <c r="BGH55" s="3078"/>
      <c r="BGI55" s="3078"/>
      <c r="BGJ55" s="3078"/>
      <c r="BGK55" s="3075" t="s">
        <v>55</v>
      </c>
      <c r="BGL55" s="3078"/>
      <c r="BGM55" s="3078"/>
      <c r="BGN55" s="3078"/>
      <c r="BGO55" s="3078"/>
      <c r="BGP55" s="3078"/>
      <c r="BGQ55" s="3078"/>
      <c r="BGR55" s="3078"/>
      <c r="BGS55" s="3075" t="s">
        <v>55</v>
      </c>
      <c r="BGT55" s="3078"/>
      <c r="BGU55" s="3078"/>
      <c r="BGV55" s="3078"/>
      <c r="BGW55" s="3078"/>
      <c r="BGX55" s="3078"/>
      <c r="BGY55" s="3078"/>
      <c r="BGZ55" s="3078"/>
      <c r="BHA55" s="3075" t="s">
        <v>55</v>
      </c>
      <c r="BHB55" s="3078"/>
      <c r="BHC55" s="3078"/>
      <c r="BHD55" s="3078"/>
      <c r="BHE55" s="3078"/>
      <c r="BHF55" s="3078"/>
      <c r="BHG55" s="3078"/>
      <c r="BHH55" s="3078"/>
      <c r="BHI55" s="3075" t="s">
        <v>55</v>
      </c>
      <c r="BHJ55" s="3078"/>
      <c r="BHK55" s="3078"/>
      <c r="BHL55" s="3078"/>
      <c r="BHM55" s="3078"/>
      <c r="BHN55" s="3078"/>
      <c r="BHO55" s="3078"/>
      <c r="BHP55" s="3078"/>
      <c r="BHQ55" s="3075" t="s">
        <v>55</v>
      </c>
      <c r="BHR55" s="3078"/>
      <c r="BHS55" s="3078"/>
      <c r="BHT55" s="3078"/>
      <c r="BHU55" s="3078"/>
      <c r="BHV55" s="3078"/>
      <c r="BHW55" s="3078"/>
      <c r="BHX55" s="3078"/>
      <c r="BHY55" s="3075" t="s">
        <v>55</v>
      </c>
      <c r="BHZ55" s="3078"/>
      <c r="BIA55" s="3078"/>
      <c r="BIB55" s="3078"/>
      <c r="BIC55" s="3078"/>
      <c r="BID55" s="3078"/>
      <c r="BIE55" s="3078"/>
      <c r="BIF55" s="3078"/>
      <c r="BIG55" s="3075" t="s">
        <v>55</v>
      </c>
      <c r="BIH55" s="3078"/>
      <c r="BII55" s="3078"/>
      <c r="BIJ55" s="3078"/>
      <c r="BIK55" s="3078"/>
      <c r="BIL55" s="3078"/>
      <c r="BIM55" s="3078"/>
      <c r="BIN55" s="3078"/>
      <c r="BIO55" s="3075" t="s">
        <v>55</v>
      </c>
      <c r="BIP55" s="3078"/>
      <c r="BIQ55" s="3078"/>
      <c r="BIR55" s="3078"/>
      <c r="BIS55" s="3078"/>
      <c r="BIT55" s="3078"/>
      <c r="BIU55" s="3078"/>
      <c r="BIV55" s="3078"/>
      <c r="BIW55" s="3075" t="s">
        <v>55</v>
      </c>
      <c r="BIX55" s="3078"/>
      <c r="BIY55" s="3078"/>
      <c r="BIZ55" s="3078"/>
      <c r="BJA55" s="3078"/>
      <c r="BJB55" s="3078"/>
      <c r="BJC55" s="3078"/>
      <c r="BJD55" s="3078"/>
      <c r="BJE55" s="3075" t="s">
        <v>55</v>
      </c>
      <c r="BJF55" s="3078"/>
      <c r="BJG55" s="3078"/>
      <c r="BJH55" s="3078"/>
      <c r="BJI55" s="3078"/>
      <c r="BJJ55" s="3078"/>
      <c r="BJK55" s="3078"/>
      <c r="BJL55" s="3078"/>
      <c r="BJM55" s="3075" t="s">
        <v>55</v>
      </c>
      <c r="BJN55" s="3078"/>
      <c r="BJO55" s="3078"/>
      <c r="BJP55" s="3078"/>
      <c r="BJQ55" s="3078"/>
      <c r="BJR55" s="3078"/>
      <c r="BJS55" s="3078"/>
      <c r="BJT55" s="3078"/>
      <c r="BJU55" s="3075" t="s">
        <v>55</v>
      </c>
      <c r="BJV55" s="3078"/>
      <c r="BJW55" s="3078"/>
      <c r="BJX55" s="3078"/>
      <c r="BJY55" s="3078"/>
      <c r="BJZ55" s="3078"/>
      <c r="BKA55" s="3078"/>
      <c r="BKB55" s="3078"/>
      <c r="BKC55" s="3075" t="s">
        <v>55</v>
      </c>
      <c r="BKD55" s="3078"/>
      <c r="BKE55" s="3078"/>
      <c r="BKF55" s="3078"/>
      <c r="BKG55" s="3078"/>
      <c r="BKH55" s="3078"/>
      <c r="BKI55" s="3078"/>
      <c r="BKJ55" s="3078"/>
      <c r="BKK55" s="3075" t="s">
        <v>55</v>
      </c>
      <c r="BKL55" s="3078"/>
      <c r="BKM55" s="3078"/>
      <c r="BKN55" s="3078"/>
      <c r="BKO55" s="3078"/>
      <c r="BKP55" s="3078"/>
      <c r="BKQ55" s="3078"/>
      <c r="BKR55" s="3078"/>
      <c r="BKS55" s="3075" t="s">
        <v>55</v>
      </c>
      <c r="BKT55" s="3078"/>
      <c r="BKU55" s="3078"/>
      <c r="BKV55" s="3078"/>
      <c r="BKW55" s="3078"/>
      <c r="BKX55" s="3078"/>
      <c r="BKY55" s="3078"/>
      <c r="BKZ55" s="3078"/>
      <c r="BLA55" s="3075" t="s">
        <v>55</v>
      </c>
      <c r="BLB55" s="3078"/>
      <c r="BLC55" s="3078"/>
      <c r="BLD55" s="3078"/>
      <c r="BLE55" s="3078"/>
      <c r="BLF55" s="3078"/>
      <c r="BLG55" s="3078"/>
      <c r="BLH55" s="3078"/>
      <c r="BLI55" s="3075" t="s">
        <v>55</v>
      </c>
      <c r="BLJ55" s="3078"/>
      <c r="BLK55" s="3078"/>
      <c r="BLL55" s="3078"/>
      <c r="BLM55" s="3078"/>
      <c r="BLN55" s="3078"/>
      <c r="BLO55" s="3078"/>
      <c r="BLP55" s="3078"/>
      <c r="BLQ55" s="3075" t="s">
        <v>55</v>
      </c>
      <c r="BLR55" s="3078"/>
      <c r="BLS55" s="3078"/>
      <c r="BLT55" s="3078"/>
      <c r="BLU55" s="3078"/>
      <c r="BLV55" s="3078"/>
      <c r="BLW55" s="3078"/>
      <c r="BLX55" s="3078"/>
      <c r="BLY55" s="3075" t="s">
        <v>55</v>
      </c>
      <c r="BLZ55" s="3078"/>
      <c r="BMA55" s="3078"/>
      <c r="BMB55" s="3078"/>
      <c r="BMC55" s="3078"/>
      <c r="BMD55" s="3078"/>
      <c r="BME55" s="3078"/>
      <c r="BMF55" s="3078"/>
      <c r="BMG55" s="3075" t="s">
        <v>55</v>
      </c>
      <c r="BMH55" s="3078"/>
      <c r="BMI55" s="3078"/>
      <c r="BMJ55" s="3078"/>
      <c r="BMK55" s="3078"/>
      <c r="BML55" s="3078"/>
      <c r="BMM55" s="3078"/>
      <c r="BMN55" s="3078"/>
      <c r="BMO55" s="3075" t="s">
        <v>55</v>
      </c>
      <c r="BMP55" s="3078"/>
      <c r="BMQ55" s="3078"/>
      <c r="BMR55" s="3078"/>
      <c r="BMS55" s="3078"/>
      <c r="BMT55" s="3078"/>
      <c r="BMU55" s="3078"/>
      <c r="BMV55" s="3078"/>
      <c r="BMW55" s="3075" t="s">
        <v>55</v>
      </c>
      <c r="BMX55" s="3078"/>
      <c r="BMY55" s="3078"/>
      <c r="BMZ55" s="3078"/>
      <c r="BNA55" s="3078"/>
      <c r="BNB55" s="3078"/>
      <c r="BNC55" s="3078"/>
      <c r="BND55" s="3078"/>
      <c r="BNE55" s="3075" t="s">
        <v>55</v>
      </c>
      <c r="BNF55" s="3078"/>
      <c r="BNG55" s="3078"/>
      <c r="BNH55" s="3078"/>
      <c r="BNI55" s="3078"/>
      <c r="BNJ55" s="3078"/>
      <c r="BNK55" s="3078"/>
      <c r="BNL55" s="3078"/>
      <c r="BNM55" s="3075" t="s">
        <v>55</v>
      </c>
      <c r="BNN55" s="3078"/>
      <c r="BNO55" s="3078"/>
      <c r="BNP55" s="3078"/>
      <c r="BNQ55" s="3078"/>
      <c r="BNR55" s="3078"/>
      <c r="BNS55" s="3078"/>
      <c r="BNT55" s="3078"/>
      <c r="BNU55" s="3075" t="s">
        <v>55</v>
      </c>
      <c r="BNV55" s="3078"/>
      <c r="BNW55" s="3078"/>
      <c r="BNX55" s="3078"/>
      <c r="BNY55" s="3078"/>
      <c r="BNZ55" s="3078"/>
      <c r="BOA55" s="3078"/>
      <c r="BOB55" s="3078"/>
      <c r="BOC55" s="3075" t="s">
        <v>55</v>
      </c>
      <c r="BOD55" s="3078"/>
      <c r="BOE55" s="3078"/>
      <c r="BOF55" s="3078"/>
      <c r="BOG55" s="3078"/>
      <c r="BOH55" s="3078"/>
      <c r="BOI55" s="3078"/>
      <c r="BOJ55" s="3078"/>
      <c r="BOK55" s="3075" t="s">
        <v>55</v>
      </c>
      <c r="BOL55" s="3078"/>
      <c r="BOM55" s="3078"/>
      <c r="BON55" s="3078"/>
      <c r="BOO55" s="3078"/>
      <c r="BOP55" s="3078"/>
      <c r="BOQ55" s="3078"/>
      <c r="BOR55" s="3078"/>
      <c r="BOS55" s="3075" t="s">
        <v>55</v>
      </c>
      <c r="BOT55" s="3078"/>
      <c r="BOU55" s="3078"/>
      <c r="BOV55" s="3078"/>
      <c r="BOW55" s="3078"/>
      <c r="BOX55" s="3078"/>
      <c r="BOY55" s="3078"/>
      <c r="BOZ55" s="3078"/>
      <c r="BPA55" s="3075" t="s">
        <v>55</v>
      </c>
      <c r="BPB55" s="3078"/>
      <c r="BPC55" s="3078"/>
      <c r="BPD55" s="3078"/>
      <c r="BPE55" s="3078"/>
      <c r="BPF55" s="3078"/>
      <c r="BPG55" s="3078"/>
      <c r="BPH55" s="3078"/>
      <c r="BPI55" s="3075" t="s">
        <v>55</v>
      </c>
      <c r="BPJ55" s="3078"/>
      <c r="BPK55" s="3078"/>
      <c r="BPL55" s="3078"/>
      <c r="BPM55" s="3078"/>
      <c r="BPN55" s="3078"/>
      <c r="BPO55" s="3078"/>
      <c r="BPP55" s="3078"/>
      <c r="BPQ55" s="3075" t="s">
        <v>55</v>
      </c>
      <c r="BPR55" s="3078"/>
      <c r="BPS55" s="3078"/>
      <c r="BPT55" s="3078"/>
      <c r="BPU55" s="3078"/>
      <c r="BPV55" s="3078"/>
      <c r="BPW55" s="3078"/>
      <c r="BPX55" s="3078"/>
      <c r="BPY55" s="3075" t="s">
        <v>55</v>
      </c>
      <c r="BPZ55" s="3078"/>
      <c r="BQA55" s="3078"/>
      <c r="BQB55" s="3078"/>
      <c r="BQC55" s="3078"/>
      <c r="BQD55" s="3078"/>
      <c r="BQE55" s="3078"/>
      <c r="BQF55" s="3078"/>
      <c r="BQG55" s="3075" t="s">
        <v>55</v>
      </c>
      <c r="BQH55" s="3078"/>
      <c r="BQI55" s="3078"/>
      <c r="BQJ55" s="3078"/>
      <c r="BQK55" s="3078"/>
      <c r="BQL55" s="3078"/>
      <c r="BQM55" s="3078"/>
      <c r="BQN55" s="3078"/>
      <c r="BQO55" s="3075" t="s">
        <v>55</v>
      </c>
      <c r="BQP55" s="3078"/>
      <c r="BQQ55" s="3078"/>
      <c r="BQR55" s="3078"/>
      <c r="BQS55" s="3078"/>
      <c r="BQT55" s="3078"/>
      <c r="BQU55" s="3078"/>
      <c r="BQV55" s="3078"/>
      <c r="BQW55" s="3075" t="s">
        <v>55</v>
      </c>
      <c r="BQX55" s="3078"/>
      <c r="BQY55" s="3078"/>
      <c r="BQZ55" s="3078"/>
      <c r="BRA55" s="3078"/>
      <c r="BRB55" s="3078"/>
      <c r="BRC55" s="3078"/>
      <c r="BRD55" s="3078"/>
      <c r="BRE55" s="3075" t="s">
        <v>55</v>
      </c>
      <c r="BRF55" s="3078"/>
      <c r="BRG55" s="3078"/>
      <c r="BRH55" s="3078"/>
      <c r="BRI55" s="3078"/>
      <c r="BRJ55" s="3078"/>
      <c r="BRK55" s="3078"/>
      <c r="BRL55" s="3078"/>
      <c r="BRM55" s="3075" t="s">
        <v>55</v>
      </c>
      <c r="BRN55" s="3078"/>
      <c r="BRO55" s="3078"/>
      <c r="BRP55" s="3078"/>
      <c r="BRQ55" s="3078"/>
      <c r="BRR55" s="3078"/>
      <c r="BRS55" s="3078"/>
      <c r="BRT55" s="3078"/>
      <c r="BRU55" s="3075" t="s">
        <v>55</v>
      </c>
      <c r="BRV55" s="3078"/>
      <c r="BRW55" s="3078"/>
      <c r="BRX55" s="3078"/>
      <c r="BRY55" s="3078"/>
      <c r="BRZ55" s="3078"/>
      <c r="BSA55" s="3078"/>
      <c r="BSB55" s="3078"/>
      <c r="BSC55" s="3075" t="s">
        <v>55</v>
      </c>
      <c r="BSD55" s="3078"/>
      <c r="BSE55" s="3078"/>
      <c r="BSF55" s="3078"/>
      <c r="BSG55" s="3078"/>
      <c r="BSH55" s="3078"/>
      <c r="BSI55" s="3078"/>
      <c r="BSJ55" s="3078"/>
      <c r="BSK55" s="3075" t="s">
        <v>55</v>
      </c>
      <c r="BSL55" s="3078"/>
      <c r="BSM55" s="3078"/>
      <c r="BSN55" s="3078"/>
      <c r="BSO55" s="3078"/>
      <c r="BSP55" s="3078"/>
      <c r="BSQ55" s="3078"/>
      <c r="BSR55" s="3078"/>
      <c r="BSS55" s="3075" t="s">
        <v>55</v>
      </c>
      <c r="BST55" s="3078"/>
      <c r="BSU55" s="3078"/>
      <c r="BSV55" s="3078"/>
      <c r="BSW55" s="3078"/>
      <c r="BSX55" s="3078"/>
      <c r="BSY55" s="3078"/>
      <c r="BSZ55" s="3078"/>
      <c r="BTA55" s="3075" t="s">
        <v>55</v>
      </c>
      <c r="BTB55" s="3078"/>
      <c r="BTC55" s="3078"/>
      <c r="BTD55" s="3078"/>
      <c r="BTE55" s="3078"/>
      <c r="BTF55" s="3078"/>
      <c r="BTG55" s="3078"/>
      <c r="BTH55" s="3078"/>
      <c r="BTI55" s="3075" t="s">
        <v>55</v>
      </c>
      <c r="BTJ55" s="3078"/>
      <c r="BTK55" s="3078"/>
      <c r="BTL55" s="3078"/>
      <c r="BTM55" s="3078"/>
      <c r="BTN55" s="3078"/>
      <c r="BTO55" s="3078"/>
      <c r="BTP55" s="3078"/>
      <c r="BTQ55" s="3075" t="s">
        <v>55</v>
      </c>
      <c r="BTR55" s="3078"/>
      <c r="BTS55" s="3078"/>
      <c r="BTT55" s="3078"/>
      <c r="BTU55" s="3078"/>
      <c r="BTV55" s="3078"/>
      <c r="BTW55" s="3078"/>
      <c r="BTX55" s="3078"/>
      <c r="BTY55" s="3075" t="s">
        <v>55</v>
      </c>
      <c r="BTZ55" s="3078"/>
      <c r="BUA55" s="3078"/>
      <c r="BUB55" s="3078"/>
      <c r="BUC55" s="3078"/>
      <c r="BUD55" s="3078"/>
      <c r="BUE55" s="3078"/>
      <c r="BUF55" s="3078"/>
      <c r="BUG55" s="3075" t="s">
        <v>55</v>
      </c>
      <c r="BUH55" s="3078"/>
      <c r="BUI55" s="3078"/>
      <c r="BUJ55" s="3078"/>
      <c r="BUK55" s="3078"/>
      <c r="BUL55" s="3078"/>
      <c r="BUM55" s="3078"/>
      <c r="BUN55" s="3078"/>
      <c r="BUO55" s="3075" t="s">
        <v>55</v>
      </c>
      <c r="BUP55" s="3078"/>
      <c r="BUQ55" s="3078"/>
      <c r="BUR55" s="3078"/>
      <c r="BUS55" s="3078"/>
      <c r="BUT55" s="3078"/>
      <c r="BUU55" s="3078"/>
      <c r="BUV55" s="3078"/>
      <c r="BUW55" s="3075" t="s">
        <v>55</v>
      </c>
      <c r="BUX55" s="3078"/>
      <c r="BUY55" s="3078"/>
      <c r="BUZ55" s="3078"/>
      <c r="BVA55" s="3078"/>
      <c r="BVB55" s="3078"/>
      <c r="BVC55" s="3078"/>
      <c r="BVD55" s="3078"/>
      <c r="BVE55" s="3075" t="s">
        <v>55</v>
      </c>
      <c r="BVF55" s="3078"/>
      <c r="BVG55" s="3078"/>
      <c r="BVH55" s="3078"/>
      <c r="BVI55" s="3078"/>
      <c r="BVJ55" s="3078"/>
      <c r="BVK55" s="3078"/>
      <c r="BVL55" s="3078"/>
      <c r="BVM55" s="3075" t="s">
        <v>55</v>
      </c>
      <c r="BVN55" s="3078"/>
      <c r="BVO55" s="3078"/>
      <c r="BVP55" s="3078"/>
      <c r="BVQ55" s="3078"/>
      <c r="BVR55" s="3078"/>
      <c r="BVS55" s="3078"/>
      <c r="BVT55" s="3078"/>
      <c r="BVU55" s="3075" t="s">
        <v>55</v>
      </c>
      <c r="BVV55" s="3078"/>
      <c r="BVW55" s="3078"/>
      <c r="BVX55" s="3078"/>
      <c r="BVY55" s="3078"/>
      <c r="BVZ55" s="3078"/>
      <c r="BWA55" s="3078"/>
      <c r="BWB55" s="3078"/>
      <c r="BWC55" s="3075" t="s">
        <v>55</v>
      </c>
      <c r="BWD55" s="3078"/>
      <c r="BWE55" s="3078"/>
      <c r="BWF55" s="3078"/>
      <c r="BWG55" s="3078"/>
      <c r="BWH55" s="3078"/>
      <c r="BWI55" s="3078"/>
      <c r="BWJ55" s="3078"/>
      <c r="BWK55" s="3075" t="s">
        <v>55</v>
      </c>
      <c r="BWL55" s="3078"/>
      <c r="BWM55" s="3078"/>
      <c r="BWN55" s="3078"/>
      <c r="BWO55" s="3078"/>
      <c r="BWP55" s="3078"/>
      <c r="BWQ55" s="3078"/>
      <c r="BWR55" s="3078"/>
      <c r="BWS55" s="3075" t="s">
        <v>55</v>
      </c>
      <c r="BWT55" s="3078"/>
      <c r="BWU55" s="3078"/>
      <c r="BWV55" s="3078"/>
      <c r="BWW55" s="3078"/>
      <c r="BWX55" s="3078"/>
      <c r="BWY55" s="3078"/>
      <c r="BWZ55" s="3078"/>
      <c r="BXA55" s="3075" t="s">
        <v>55</v>
      </c>
      <c r="BXB55" s="3078"/>
      <c r="BXC55" s="3078"/>
      <c r="BXD55" s="3078"/>
      <c r="BXE55" s="3078"/>
      <c r="BXF55" s="3078"/>
      <c r="BXG55" s="3078"/>
      <c r="BXH55" s="3078"/>
      <c r="BXI55" s="3075" t="s">
        <v>55</v>
      </c>
      <c r="BXJ55" s="3078"/>
      <c r="BXK55" s="3078"/>
      <c r="BXL55" s="3078"/>
      <c r="BXM55" s="3078"/>
      <c r="BXN55" s="3078"/>
      <c r="BXO55" s="3078"/>
      <c r="BXP55" s="3078"/>
      <c r="BXQ55" s="3075" t="s">
        <v>55</v>
      </c>
      <c r="BXR55" s="3078"/>
      <c r="BXS55" s="3078"/>
      <c r="BXT55" s="3078"/>
      <c r="BXU55" s="3078"/>
      <c r="BXV55" s="3078"/>
      <c r="BXW55" s="3078"/>
      <c r="BXX55" s="3078"/>
      <c r="BXY55" s="3075" t="s">
        <v>55</v>
      </c>
      <c r="BXZ55" s="3078"/>
      <c r="BYA55" s="3078"/>
      <c r="BYB55" s="3078"/>
      <c r="BYC55" s="3078"/>
      <c r="BYD55" s="3078"/>
      <c r="BYE55" s="3078"/>
      <c r="BYF55" s="3078"/>
      <c r="BYG55" s="3075" t="s">
        <v>55</v>
      </c>
      <c r="BYH55" s="3078"/>
      <c r="BYI55" s="3078"/>
      <c r="BYJ55" s="3078"/>
      <c r="BYK55" s="3078"/>
      <c r="BYL55" s="3078"/>
      <c r="BYM55" s="3078"/>
      <c r="BYN55" s="3078"/>
      <c r="BYO55" s="3075" t="s">
        <v>55</v>
      </c>
      <c r="BYP55" s="3078"/>
      <c r="BYQ55" s="3078"/>
      <c r="BYR55" s="3078"/>
      <c r="BYS55" s="3078"/>
      <c r="BYT55" s="3078"/>
      <c r="BYU55" s="3078"/>
      <c r="BYV55" s="3078"/>
      <c r="BYW55" s="3075" t="s">
        <v>55</v>
      </c>
      <c r="BYX55" s="3078"/>
      <c r="BYY55" s="3078"/>
      <c r="BYZ55" s="3078"/>
      <c r="BZA55" s="3078"/>
      <c r="BZB55" s="3078"/>
      <c r="BZC55" s="3078"/>
      <c r="BZD55" s="3078"/>
      <c r="BZE55" s="3075" t="s">
        <v>55</v>
      </c>
      <c r="BZF55" s="3078"/>
      <c r="BZG55" s="3078"/>
      <c r="BZH55" s="3078"/>
      <c r="BZI55" s="3078"/>
      <c r="BZJ55" s="3078"/>
      <c r="BZK55" s="3078"/>
      <c r="BZL55" s="3078"/>
      <c r="BZM55" s="3075" t="s">
        <v>55</v>
      </c>
      <c r="BZN55" s="3078"/>
      <c r="BZO55" s="3078"/>
      <c r="BZP55" s="3078"/>
      <c r="BZQ55" s="3078"/>
      <c r="BZR55" s="3078"/>
      <c r="BZS55" s="3078"/>
      <c r="BZT55" s="3078"/>
      <c r="BZU55" s="3075" t="s">
        <v>55</v>
      </c>
      <c r="BZV55" s="3078"/>
      <c r="BZW55" s="3078"/>
      <c r="BZX55" s="3078"/>
      <c r="BZY55" s="3078"/>
      <c r="BZZ55" s="3078"/>
      <c r="CAA55" s="3078"/>
      <c r="CAB55" s="3078"/>
      <c r="CAC55" s="3075" t="s">
        <v>55</v>
      </c>
      <c r="CAD55" s="3078"/>
      <c r="CAE55" s="3078"/>
      <c r="CAF55" s="3078"/>
      <c r="CAG55" s="3078"/>
      <c r="CAH55" s="3078"/>
      <c r="CAI55" s="3078"/>
      <c r="CAJ55" s="3078"/>
      <c r="CAK55" s="3075" t="s">
        <v>55</v>
      </c>
      <c r="CAL55" s="3078"/>
      <c r="CAM55" s="3078"/>
      <c r="CAN55" s="3078"/>
      <c r="CAO55" s="3078"/>
      <c r="CAP55" s="3078"/>
      <c r="CAQ55" s="3078"/>
      <c r="CAR55" s="3078"/>
      <c r="CAS55" s="3075" t="s">
        <v>55</v>
      </c>
      <c r="CAT55" s="3078"/>
      <c r="CAU55" s="3078"/>
      <c r="CAV55" s="3078"/>
      <c r="CAW55" s="3078"/>
      <c r="CAX55" s="3078"/>
      <c r="CAY55" s="3078"/>
      <c r="CAZ55" s="3078"/>
      <c r="CBA55" s="3075" t="s">
        <v>55</v>
      </c>
      <c r="CBB55" s="3078"/>
      <c r="CBC55" s="3078"/>
      <c r="CBD55" s="3078"/>
      <c r="CBE55" s="3078"/>
      <c r="CBF55" s="3078"/>
      <c r="CBG55" s="3078"/>
      <c r="CBH55" s="3078"/>
      <c r="CBI55" s="3075" t="s">
        <v>55</v>
      </c>
      <c r="CBJ55" s="3078"/>
      <c r="CBK55" s="3078"/>
      <c r="CBL55" s="3078"/>
      <c r="CBM55" s="3078"/>
      <c r="CBN55" s="3078"/>
      <c r="CBO55" s="3078"/>
      <c r="CBP55" s="3078"/>
      <c r="CBQ55" s="3075" t="s">
        <v>55</v>
      </c>
      <c r="CBR55" s="3078"/>
      <c r="CBS55" s="3078"/>
      <c r="CBT55" s="3078"/>
      <c r="CBU55" s="3078"/>
      <c r="CBV55" s="3078"/>
      <c r="CBW55" s="3078"/>
      <c r="CBX55" s="3078"/>
      <c r="CBY55" s="3075" t="s">
        <v>55</v>
      </c>
      <c r="CBZ55" s="3078"/>
      <c r="CCA55" s="3078"/>
      <c r="CCB55" s="3078"/>
      <c r="CCC55" s="3078"/>
      <c r="CCD55" s="3078"/>
      <c r="CCE55" s="3078"/>
      <c r="CCF55" s="3078"/>
      <c r="CCG55" s="3075" t="s">
        <v>55</v>
      </c>
      <c r="CCH55" s="3078"/>
      <c r="CCI55" s="3078"/>
      <c r="CCJ55" s="3078"/>
      <c r="CCK55" s="3078"/>
      <c r="CCL55" s="3078"/>
      <c r="CCM55" s="3078"/>
      <c r="CCN55" s="3078"/>
      <c r="CCO55" s="3075" t="s">
        <v>55</v>
      </c>
      <c r="CCP55" s="3078"/>
      <c r="CCQ55" s="3078"/>
      <c r="CCR55" s="3078"/>
      <c r="CCS55" s="3078"/>
      <c r="CCT55" s="3078"/>
      <c r="CCU55" s="3078"/>
      <c r="CCV55" s="3078"/>
      <c r="CCW55" s="3075" t="s">
        <v>55</v>
      </c>
      <c r="CCX55" s="3078"/>
      <c r="CCY55" s="3078"/>
      <c r="CCZ55" s="3078"/>
      <c r="CDA55" s="3078"/>
      <c r="CDB55" s="3078"/>
      <c r="CDC55" s="3078"/>
      <c r="CDD55" s="3078"/>
      <c r="CDE55" s="3075" t="s">
        <v>55</v>
      </c>
      <c r="CDF55" s="3078"/>
      <c r="CDG55" s="3078"/>
      <c r="CDH55" s="3078"/>
      <c r="CDI55" s="3078"/>
      <c r="CDJ55" s="3078"/>
      <c r="CDK55" s="3078"/>
      <c r="CDL55" s="3078"/>
      <c r="CDM55" s="3075" t="s">
        <v>55</v>
      </c>
      <c r="CDN55" s="3078"/>
      <c r="CDO55" s="3078"/>
      <c r="CDP55" s="3078"/>
      <c r="CDQ55" s="3078"/>
      <c r="CDR55" s="3078"/>
      <c r="CDS55" s="3078"/>
      <c r="CDT55" s="3078"/>
      <c r="CDU55" s="3075" t="s">
        <v>55</v>
      </c>
      <c r="CDV55" s="3078"/>
      <c r="CDW55" s="3078"/>
      <c r="CDX55" s="3078"/>
      <c r="CDY55" s="3078"/>
      <c r="CDZ55" s="3078"/>
      <c r="CEA55" s="3078"/>
      <c r="CEB55" s="3078"/>
      <c r="CEC55" s="3075" t="s">
        <v>55</v>
      </c>
      <c r="CED55" s="3078"/>
      <c r="CEE55" s="3078"/>
      <c r="CEF55" s="3078"/>
      <c r="CEG55" s="3078"/>
      <c r="CEH55" s="3078"/>
      <c r="CEI55" s="3078"/>
      <c r="CEJ55" s="3078"/>
      <c r="CEK55" s="3075" t="s">
        <v>55</v>
      </c>
      <c r="CEL55" s="3078"/>
      <c r="CEM55" s="3078"/>
      <c r="CEN55" s="3078"/>
      <c r="CEO55" s="3078"/>
      <c r="CEP55" s="3078"/>
      <c r="CEQ55" s="3078"/>
      <c r="CER55" s="3078"/>
      <c r="CES55" s="3075" t="s">
        <v>55</v>
      </c>
      <c r="CET55" s="3078"/>
      <c r="CEU55" s="3078"/>
      <c r="CEV55" s="3078"/>
      <c r="CEW55" s="3078"/>
      <c r="CEX55" s="3078"/>
      <c r="CEY55" s="3078"/>
      <c r="CEZ55" s="3078"/>
      <c r="CFA55" s="3075" t="s">
        <v>55</v>
      </c>
      <c r="CFB55" s="3078"/>
      <c r="CFC55" s="3078"/>
      <c r="CFD55" s="3078"/>
      <c r="CFE55" s="3078"/>
      <c r="CFF55" s="3078"/>
      <c r="CFG55" s="3078"/>
      <c r="CFH55" s="3078"/>
      <c r="CFI55" s="3075" t="s">
        <v>55</v>
      </c>
      <c r="CFJ55" s="3078"/>
      <c r="CFK55" s="3078"/>
      <c r="CFL55" s="3078"/>
      <c r="CFM55" s="3078"/>
      <c r="CFN55" s="3078"/>
      <c r="CFO55" s="3078"/>
      <c r="CFP55" s="3078"/>
      <c r="CFQ55" s="3075" t="s">
        <v>55</v>
      </c>
      <c r="CFR55" s="3078"/>
      <c r="CFS55" s="3078"/>
      <c r="CFT55" s="3078"/>
      <c r="CFU55" s="3078"/>
      <c r="CFV55" s="3078"/>
      <c r="CFW55" s="3078"/>
      <c r="CFX55" s="3078"/>
      <c r="CFY55" s="3075" t="s">
        <v>55</v>
      </c>
      <c r="CFZ55" s="3078"/>
      <c r="CGA55" s="3078"/>
      <c r="CGB55" s="3078"/>
      <c r="CGC55" s="3078"/>
      <c r="CGD55" s="3078"/>
      <c r="CGE55" s="3078"/>
      <c r="CGF55" s="3078"/>
      <c r="CGG55" s="3075" t="s">
        <v>55</v>
      </c>
      <c r="CGH55" s="3078"/>
      <c r="CGI55" s="3078"/>
      <c r="CGJ55" s="3078"/>
      <c r="CGK55" s="3078"/>
      <c r="CGL55" s="3078"/>
      <c r="CGM55" s="3078"/>
      <c r="CGN55" s="3078"/>
      <c r="CGO55" s="3075" t="s">
        <v>55</v>
      </c>
      <c r="CGP55" s="3078"/>
      <c r="CGQ55" s="3078"/>
      <c r="CGR55" s="3078"/>
      <c r="CGS55" s="3078"/>
      <c r="CGT55" s="3078"/>
      <c r="CGU55" s="3078"/>
      <c r="CGV55" s="3078"/>
      <c r="CGW55" s="3075" t="s">
        <v>55</v>
      </c>
      <c r="CGX55" s="3078"/>
      <c r="CGY55" s="3078"/>
      <c r="CGZ55" s="3078"/>
      <c r="CHA55" s="3078"/>
      <c r="CHB55" s="3078"/>
      <c r="CHC55" s="3078"/>
      <c r="CHD55" s="3078"/>
      <c r="CHE55" s="3075" t="s">
        <v>55</v>
      </c>
      <c r="CHF55" s="3078"/>
      <c r="CHG55" s="3078"/>
      <c r="CHH55" s="3078"/>
      <c r="CHI55" s="3078"/>
      <c r="CHJ55" s="3078"/>
      <c r="CHK55" s="3078"/>
      <c r="CHL55" s="3078"/>
      <c r="CHM55" s="3075" t="s">
        <v>55</v>
      </c>
      <c r="CHN55" s="3078"/>
      <c r="CHO55" s="3078"/>
      <c r="CHP55" s="3078"/>
      <c r="CHQ55" s="3078"/>
      <c r="CHR55" s="3078"/>
      <c r="CHS55" s="3078"/>
      <c r="CHT55" s="3078"/>
      <c r="CHU55" s="3075" t="s">
        <v>55</v>
      </c>
      <c r="CHV55" s="3078"/>
      <c r="CHW55" s="3078"/>
      <c r="CHX55" s="3078"/>
      <c r="CHY55" s="3078"/>
      <c r="CHZ55" s="3078"/>
      <c r="CIA55" s="3078"/>
      <c r="CIB55" s="3078"/>
      <c r="CIC55" s="3075" t="s">
        <v>55</v>
      </c>
      <c r="CID55" s="3078"/>
      <c r="CIE55" s="3078"/>
      <c r="CIF55" s="3078"/>
      <c r="CIG55" s="3078"/>
      <c r="CIH55" s="3078"/>
      <c r="CII55" s="3078"/>
      <c r="CIJ55" s="3078"/>
      <c r="CIK55" s="3075" t="s">
        <v>55</v>
      </c>
      <c r="CIL55" s="3078"/>
      <c r="CIM55" s="3078"/>
      <c r="CIN55" s="3078"/>
      <c r="CIO55" s="3078"/>
      <c r="CIP55" s="3078"/>
      <c r="CIQ55" s="3078"/>
      <c r="CIR55" s="3078"/>
      <c r="CIS55" s="3075" t="s">
        <v>55</v>
      </c>
      <c r="CIT55" s="3078"/>
      <c r="CIU55" s="3078"/>
      <c r="CIV55" s="3078"/>
      <c r="CIW55" s="3078"/>
      <c r="CIX55" s="3078"/>
      <c r="CIY55" s="3078"/>
      <c r="CIZ55" s="3078"/>
      <c r="CJA55" s="3075" t="s">
        <v>55</v>
      </c>
      <c r="CJB55" s="3078"/>
      <c r="CJC55" s="3078"/>
      <c r="CJD55" s="3078"/>
      <c r="CJE55" s="3078"/>
      <c r="CJF55" s="3078"/>
      <c r="CJG55" s="3078"/>
      <c r="CJH55" s="3078"/>
      <c r="CJI55" s="3075" t="s">
        <v>55</v>
      </c>
      <c r="CJJ55" s="3078"/>
      <c r="CJK55" s="3078"/>
      <c r="CJL55" s="3078"/>
      <c r="CJM55" s="3078"/>
      <c r="CJN55" s="3078"/>
      <c r="CJO55" s="3078"/>
      <c r="CJP55" s="3078"/>
      <c r="CJQ55" s="3075" t="s">
        <v>55</v>
      </c>
      <c r="CJR55" s="3078"/>
      <c r="CJS55" s="3078"/>
      <c r="CJT55" s="3078"/>
      <c r="CJU55" s="3078"/>
      <c r="CJV55" s="3078"/>
      <c r="CJW55" s="3078"/>
      <c r="CJX55" s="3078"/>
      <c r="CJY55" s="3075" t="s">
        <v>55</v>
      </c>
      <c r="CJZ55" s="3078"/>
      <c r="CKA55" s="3078"/>
      <c r="CKB55" s="3078"/>
      <c r="CKC55" s="3078"/>
      <c r="CKD55" s="3078"/>
      <c r="CKE55" s="3078"/>
      <c r="CKF55" s="3078"/>
      <c r="CKG55" s="3075" t="s">
        <v>55</v>
      </c>
      <c r="CKH55" s="3078"/>
      <c r="CKI55" s="3078"/>
      <c r="CKJ55" s="3078"/>
      <c r="CKK55" s="3078"/>
      <c r="CKL55" s="3078"/>
      <c r="CKM55" s="3078"/>
      <c r="CKN55" s="3078"/>
      <c r="CKO55" s="3075" t="s">
        <v>55</v>
      </c>
      <c r="CKP55" s="3078"/>
      <c r="CKQ55" s="3078"/>
      <c r="CKR55" s="3078"/>
      <c r="CKS55" s="3078"/>
      <c r="CKT55" s="3078"/>
      <c r="CKU55" s="3078"/>
      <c r="CKV55" s="3078"/>
      <c r="CKW55" s="3075" t="s">
        <v>55</v>
      </c>
      <c r="CKX55" s="3078"/>
      <c r="CKY55" s="3078"/>
      <c r="CKZ55" s="3078"/>
      <c r="CLA55" s="3078"/>
      <c r="CLB55" s="3078"/>
      <c r="CLC55" s="3078"/>
      <c r="CLD55" s="3078"/>
      <c r="CLE55" s="3075" t="s">
        <v>55</v>
      </c>
      <c r="CLF55" s="3078"/>
      <c r="CLG55" s="3078"/>
      <c r="CLH55" s="3078"/>
      <c r="CLI55" s="3078"/>
      <c r="CLJ55" s="3078"/>
      <c r="CLK55" s="3078"/>
      <c r="CLL55" s="3078"/>
      <c r="CLM55" s="3075" t="s">
        <v>55</v>
      </c>
      <c r="CLN55" s="3078"/>
      <c r="CLO55" s="3078"/>
      <c r="CLP55" s="3078"/>
      <c r="CLQ55" s="3078"/>
      <c r="CLR55" s="3078"/>
      <c r="CLS55" s="3078"/>
      <c r="CLT55" s="3078"/>
      <c r="CLU55" s="3075" t="s">
        <v>55</v>
      </c>
      <c r="CLV55" s="3078"/>
      <c r="CLW55" s="3078"/>
      <c r="CLX55" s="3078"/>
      <c r="CLY55" s="3078"/>
      <c r="CLZ55" s="3078"/>
      <c r="CMA55" s="3078"/>
      <c r="CMB55" s="3078"/>
      <c r="CMC55" s="3075" t="s">
        <v>55</v>
      </c>
      <c r="CMD55" s="3078"/>
      <c r="CME55" s="3078"/>
      <c r="CMF55" s="3078"/>
      <c r="CMG55" s="3078"/>
      <c r="CMH55" s="3078"/>
      <c r="CMI55" s="3078"/>
      <c r="CMJ55" s="3078"/>
      <c r="CMK55" s="3075" t="s">
        <v>55</v>
      </c>
      <c r="CML55" s="3078"/>
      <c r="CMM55" s="3078"/>
      <c r="CMN55" s="3078"/>
      <c r="CMO55" s="3078"/>
      <c r="CMP55" s="3078"/>
      <c r="CMQ55" s="3078"/>
      <c r="CMR55" s="3078"/>
      <c r="CMS55" s="3075" t="s">
        <v>55</v>
      </c>
      <c r="CMT55" s="3078"/>
      <c r="CMU55" s="3078"/>
      <c r="CMV55" s="3078"/>
      <c r="CMW55" s="3078"/>
      <c r="CMX55" s="3078"/>
      <c r="CMY55" s="3078"/>
      <c r="CMZ55" s="3078"/>
      <c r="CNA55" s="3075" t="s">
        <v>55</v>
      </c>
      <c r="CNB55" s="3078"/>
      <c r="CNC55" s="3078"/>
      <c r="CND55" s="3078"/>
      <c r="CNE55" s="3078"/>
      <c r="CNF55" s="3078"/>
      <c r="CNG55" s="3078"/>
      <c r="CNH55" s="3078"/>
      <c r="CNI55" s="3075" t="s">
        <v>55</v>
      </c>
      <c r="CNJ55" s="3078"/>
      <c r="CNK55" s="3078"/>
      <c r="CNL55" s="3078"/>
      <c r="CNM55" s="3078"/>
      <c r="CNN55" s="3078"/>
      <c r="CNO55" s="3078"/>
      <c r="CNP55" s="3078"/>
      <c r="CNQ55" s="3075" t="s">
        <v>55</v>
      </c>
      <c r="CNR55" s="3078"/>
      <c r="CNS55" s="3078"/>
      <c r="CNT55" s="3078"/>
      <c r="CNU55" s="3078"/>
      <c r="CNV55" s="3078"/>
      <c r="CNW55" s="3078"/>
      <c r="CNX55" s="3078"/>
      <c r="CNY55" s="3075" t="s">
        <v>55</v>
      </c>
      <c r="CNZ55" s="3078"/>
      <c r="COA55" s="3078"/>
      <c r="COB55" s="3078"/>
      <c r="COC55" s="3078"/>
      <c r="COD55" s="3078"/>
      <c r="COE55" s="3078"/>
      <c r="COF55" s="3078"/>
      <c r="COG55" s="3075" t="s">
        <v>55</v>
      </c>
      <c r="COH55" s="3078"/>
      <c r="COI55" s="3078"/>
      <c r="COJ55" s="3078"/>
      <c r="COK55" s="3078"/>
      <c r="COL55" s="3078"/>
      <c r="COM55" s="3078"/>
      <c r="CON55" s="3078"/>
      <c r="COO55" s="3075" t="s">
        <v>55</v>
      </c>
      <c r="COP55" s="3078"/>
      <c r="COQ55" s="3078"/>
      <c r="COR55" s="3078"/>
      <c r="COS55" s="3078"/>
      <c r="COT55" s="3078"/>
      <c r="COU55" s="3078"/>
      <c r="COV55" s="3078"/>
      <c r="COW55" s="3075" t="s">
        <v>55</v>
      </c>
      <c r="COX55" s="3078"/>
      <c r="COY55" s="3078"/>
      <c r="COZ55" s="3078"/>
      <c r="CPA55" s="3078"/>
      <c r="CPB55" s="3078"/>
      <c r="CPC55" s="3078"/>
      <c r="CPD55" s="3078"/>
      <c r="CPE55" s="3075" t="s">
        <v>55</v>
      </c>
      <c r="CPF55" s="3078"/>
      <c r="CPG55" s="3078"/>
      <c r="CPH55" s="3078"/>
      <c r="CPI55" s="3078"/>
      <c r="CPJ55" s="3078"/>
      <c r="CPK55" s="3078"/>
      <c r="CPL55" s="3078"/>
      <c r="CPM55" s="3075" t="s">
        <v>55</v>
      </c>
      <c r="CPN55" s="3078"/>
      <c r="CPO55" s="3078"/>
      <c r="CPP55" s="3078"/>
      <c r="CPQ55" s="3078"/>
      <c r="CPR55" s="3078"/>
      <c r="CPS55" s="3078"/>
      <c r="CPT55" s="3078"/>
      <c r="CPU55" s="3075" t="s">
        <v>55</v>
      </c>
      <c r="CPV55" s="3078"/>
      <c r="CPW55" s="3078"/>
      <c r="CPX55" s="3078"/>
      <c r="CPY55" s="3078"/>
      <c r="CPZ55" s="3078"/>
      <c r="CQA55" s="3078"/>
      <c r="CQB55" s="3078"/>
      <c r="CQC55" s="3075" t="s">
        <v>55</v>
      </c>
      <c r="CQD55" s="3078"/>
      <c r="CQE55" s="3078"/>
      <c r="CQF55" s="3078"/>
      <c r="CQG55" s="3078"/>
      <c r="CQH55" s="3078"/>
      <c r="CQI55" s="3078"/>
      <c r="CQJ55" s="3078"/>
      <c r="CQK55" s="3075" t="s">
        <v>55</v>
      </c>
      <c r="CQL55" s="3078"/>
      <c r="CQM55" s="3078"/>
      <c r="CQN55" s="3078"/>
      <c r="CQO55" s="3078"/>
      <c r="CQP55" s="3078"/>
      <c r="CQQ55" s="3078"/>
      <c r="CQR55" s="3078"/>
      <c r="CQS55" s="3075" t="s">
        <v>55</v>
      </c>
      <c r="CQT55" s="3078"/>
      <c r="CQU55" s="3078"/>
      <c r="CQV55" s="3078"/>
      <c r="CQW55" s="3078"/>
      <c r="CQX55" s="3078"/>
      <c r="CQY55" s="3078"/>
      <c r="CQZ55" s="3078"/>
      <c r="CRA55" s="3075" t="s">
        <v>55</v>
      </c>
      <c r="CRB55" s="3078"/>
      <c r="CRC55" s="3078"/>
      <c r="CRD55" s="3078"/>
      <c r="CRE55" s="3078"/>
      <c r="CRF55" s="3078"/>
      <c r="CRG55" s="3078"/>
      <c r="CRH55" s="3078"/>
      <c r="CRI55" s="3075" t="s">
        <v>55</v>
      </c>
      <c r="CRJ55" s="3078"/>
      <c r="CRK55" s="3078"/>
      <c r="CRL55" s="3078"/>
      <c r="CRM55" s="3078"/>
      <c r="CRN55" s="3078"/>
      <c r="CRO55" s="3078"/>
      <c r="CRP55" s="3078"/>
      <c r="CRQ55" s="3075" t="s">
        <v>55</v>
      </c>
      <c r="CRR55" s="3078"/>
      <c r="CRS55" s="3078"/>
      <c r="CRT55" s="3078"/>
      <c r="CRU55" s="3078"/>
      <c r="CRV55" s="3078"/>
      <c r="CRW55" s="3078"/>
      <c r="CRX55" s="3078"/>
      <c r="CRY55" s="3075" t="s">
        <v>55</v>
      </c>
      <c r="CRZ55" s="3078"/>
      <c r="CSA55" s="3078"/>
      <c r="CSB55" s="3078"/>
      <c r="CSC55" s="3078"/>
      <c r="CSD55" s="3078"/>
      <c r="CSE55" s="3078"/>
      <c r="CSF55" s="3078"/>
      <c r="CSG55" s="3075" t="s">
        <v>55</v>
      </c>
      <c r="CSH55" s="3078"/>
      <c r="CSI55" s="3078"/>
      <c r="CSJ55" s="3078"/>
      <c r="CSK55" s="3078"/>
      <c r="CSL55" s="3078"/>
      <c r="CSM55" s="3078"/>
      <c r="CSN55" s="3078"/>
      <c r="CSO55" s="3075" t="s">
        <v>55</v>
      </c>
      <c r="CSP55" s="3078"/>
      <c r="CSQ55" s="3078"/>
      <c r="CSR55" s="3078"/>
      <c r="CSS55" s="3078"/>
      <c r="CST55" s="3078"/>
      <c r="CSU55" s="3078"/>
      <c r="CSV55" s="3078"/>
      <c r="CSW55" s="3075" t="s">
        <v>55</v>
      </c>
      <c r="CSX55" s="3078"/>
      <c r="CSY55" s="3078"/>
      <c r="CSZ55" s="3078"/>
      <c r="CTA55" s="3078"/>
      <c r="CTB55" s="3078"/>
      <c r="CTC55" s="3078"/>
      <c r="CTD55" s="3078"/>
      <c r="CTE55" s="3075" t="s">
        <v>55</v>
      </c>
      <c r="CTF55" s="3078"/>
      <c r="CTG55" s="3078"/>
      <c r="CTH55" s="3078"/>
      <c r="CTI55" s="3078"/>
      <c r="CTJ55" s="3078"/>
      <c r="CTK55" s="3078"/>
      <c r="CTL55" s="3078"/>
      <c r="CTM55" s="3075" t="s">
        <v>55</v>
      </c>
      <c r="CTN55" s="3078"/>
      <c r="CTO55" s="3078"/>
      <c r="CTP55" s="3078"/>
      <c r="CTQ55" s="3078"/>
      <c r="CTR55" s="3078"/>
      <c r="CTS55" s="3078"/>
      <c r="CTT55" s="3078"/>
      <c r="CTU55" s="3075" t="s">
        <v>55</v>
      </c>
      <c r="CTV55" s="3078"/>
      <c r="CTW55" s="3078"/>
      <c r="CTX55" s="3078"/>
      <c r="CTY55" s="3078"/>
      <c r="CTZ55" s="3078"/>
      <c r="CUA55" s="3078"/>
      <c r="CUB55" s="3078"/>
      <c r="CUC55" s="3075" t="s">
        <v>55</v>
      </c>
      <c r="CUD55" s="3078"/>
      <c r="CUE55" s="3078"/>
      <c r="CUF55" s="3078"/>
      <c r="CUG55" s="3078"/>
      <c r="CUH55" s="3078"/>
      <c r="CUI55" s="3078"/>
      <c r="CUJ55" s="3078"/>
      <c r="CUK55" s="3075" t="s">
        <v>55</v>
      </c>
      <c r="CUL55" s="3078"/>
      <c r="CUM55" s="3078"/>
      <c r="CUN55" s="3078"/>
      <c r="CUO55" s="3078"/>
      <c r="CUP55" s="3078"/>
      <c r="CUQ55" s="3078"/>
      <c r="CUR55" s="3078"/>
      <c r="CUS55" s="3075" t="s">
        <v>55</v>
      </c>
      <c r="CUT55" s="3078"/>
      <c r="CUU55" s="3078"/>
      <c r="CUV55" s="3078"/>
      <c r="CUW55" s="3078"/>
      <c r="CUX55" s="3078"/>
      <c r="CUY55" s="3078"/>
      <c r="CUZ55" s="3078"/>
      <c r="CVA55" s="3075" t="s">
        <v>55</v>
      </c>
      <c r="CVB55" s="3078"/>
      <c r="CVC55" s="3078"/>
      <c r="CVD55" s="3078"/>
      <c r="CVE55" s="3078"/>
      <c r="CVF55" s="3078"/>
      <c r="CVG55" s="3078"/>
      <c r="CVH55" s="3078"/>
      <c r="CVI55" s="3075" t="s">
        <v>55</v>
      </c>
      <c r="CVJ55" s="3078"/>
      <c r="CVK55" s="3078"/>
      <c r="CVL55" s="3078"/>
      <c r="CVM55" s="3078"/>
      <c r="CVN55" s="3078"/>
      <c r="CVO55" s="3078"/>
      <c r="CVP55" s="3078"/>
      <c r="CVQ55" s="3075" t="s">
        <v>55</v>
      </c>
      <c r="CVR55" s="3078"/>
      <c r="CVS55" s="3078"/>
      <c r="CVT55" s="3078"/>
      <c r="CVU55" s="3078"/>
      <c r="CVV55" s="3078"/>
      <c r="CVW55" s="3078"/>
      <c r="CVX55" s="3078"/>
      <c r="CVY55" s="3075" t="s">
        <v>55</v>
      </c>
      <c r="CVZ55" s="3078"/>
      <c r="CWA55" s="3078"/>
      <c r="CWB55" s="3078"/>
      <c r="CWC55" s="3078"/>
      <c r="CWD55" s="3078"/>
      <c r="CWE55" s="3078"/>
      <c r="CWF55" s="3078"/>
      <c r="CWG55" s="3075" t="s">
        <v>55</v>
      </c>
      <c r="CWH55" s="3078"/>
      <c r="CWI55" s="3078"/>
      <c r="CWJ55" s="3078"/>
      <c r="CWK55" s="3078"/>
      <c r="CWL55" s="3078"/>
      <c r="CWM55" s="3078"/>
      <c r="CWN55" s="3078"/>
      <c r="CWO55" s="3075" t="s">
        <v>55</v>
      </c>
      <c r="CWP55" s="3078"/>
      <c r="CWQ55" s="3078"/>
      <c r="CWR55" s="3078"/>
      <c r="CWS55" s="3078"/>
      <c r="CWT55" s="3078"/>
      <c r="CWU55" s="3078"/>
      <c r="CWV55" s="3078"/>
      <c r="CWW55" s="3075" t="s">
        <v>55</v>
      </c>
      <c r="CWX55" s="3078"/>
      <c r="CWY55" s="3078"/>
      <c r="CWZ55" s="3078"/>
      <c r="CXA55" s="3078"/>
      <c r="CXB55" s="3078"/>
      <c r="CXC55" s="3078"/>
      <c r="CXD55" s="3078"/>
      <c r="CXE55" s="3075" t="s">
        <v>55</v>
      </c>
      <c r="CXF55" s="3078"/>
      <c r="CXG55" s="3078"/>
      <c r="CXH55" s="3078"/>
      <c r="CXI55" s="3078"/>
      <c r="CXJ55" s="3078"/>
      <c r="CXK55" s="3078"/>
      <c r="CXL55" s="3078"/>
      <c r="CXM55" s="3075" t="s">
        <v>55</v>
      </c>
      <c r="CXN55" s="3078"/>
      <c r="CXO55" s="3078"/>
      <c r="CXP55" s="3078"/>
      <c r="CXQ55" s="3078"/>
      <c r="CXR55" s="3078"/>
      <c r="CXS55" s="3078"/>
      <c r="CXT55" s="3078"/>
      <c r="CXU55" s="3075" t="s">
        <v>55</v>
      </c>
      <c r="CXV55" s="3078"/>
      <c r="CXW55" s="3078"/>
      <c r="CXX55" s="3078"/>
      <c r="CXY55" s="3078"/>
      <c r="CXZ55" s="3078"/>
      <c r="CYA55" s="3078"/>
      <c r="CYB55" s="3078"/>
      <c r="CYC55" s="3075" t="s">
        <v>55</v>
      </c>
      <c r="CYD55" s="3078"/>
      <c r="CYE55" s="3078"/>
      <c r="CYF55" s="3078"/>
      <c r="CYG55" s="3078"/>
      <c r="CYH55" s="3078"/>
      <c r="CYI55" s="3078"/>
      <c r="CYJ55" s="3078"/>
      <c r="CYK55" s="3075" t="s">
        <v>55</v>
      </c>
      <c r="CYL55" s="3078"/>
      <c r="CYM55" s="3078"/>
      <c r="CYN55" s="3078"/>
      <c r="CYO55" s="3078"/>
      <c r="CYP55" s="3078"/>
      <c r="CYQ55" s="3078"/>
      <c r="CYR55" s="3078"/>
      <c r="CYS55" s="3075" t="s">
        <v>55</v>
      </c>
      <c r="CYT55" s="3078"/>
      <c r="CYU55" s="3078"/>
      <c r="CYV55" s="3078"/>
      <c r="CYW55" s="3078"/>
      <c r="CYX55" s="3078"/>
      <c r="CYY55" s="3078"/>
      <c r="CYZ55" s="3078"/>
      <c r="CZA55" s="3075" t="s">
        <v>55</v>
      </c>
      <c r="CZB55" s="3078"/>
      <c r="CZC55" s="3078"/>
      <c r="CZD55" s="3078"/>
      <c r="CZE55" s="3078"/>
      <c r="CZF55" s="3078"/>
      <c r="CZG55" s="3078"/>
      <c r="CZH55" s="3078"/>
      <c r="CZI55" s="3075" t="s">
        <v>55</v>
      </c>
      <c r="CZJ55" s="3078"/>
      <c r="CZK55" s="3078"/>
      <c r="CZL55" s="3078"/>
      <c r="CZM55" s="3078"/>
      <c r="CZN55" s="3078"/>
      <c r="CZO55" s="3078"/>
      <c r="CZP55" s="3078"/>
      <c r="CZQ55" s="3075" t="s">
        <v>55</v>
      </c>
      <c r="CZR55" s="3078"/>
      <c r="CZS55" s="3078"/>
      <c r="CZT55" s="3078"/>
      <c r="CZU55" s="3078"/>
      <c r="CZV55" s="3078"/>
      <c r="CZW55" s="3078"/>
      <c r="CZX55" s="3078"/>
      <c r="CZY55" s="3075" t="s">
        <v>55</v>
      </c>
      <c r="CZZ55" s="3078"/>
      <c r="DAA55" s="3078"/>
      <c r="DAB55" s="3078"/>
      <c r="DAC55" s="3078"/>
      <c r="DAD55" s="3078"/>
      <c r="DAE55" s="3078"/>
      <c r="DAF55" s="3078"/>
      <c r="DAG55" s="3075" t="s">
        <v>55</v>
      </c>
      <c r="DAH55" s="3078"/>
      <c r="DAI55" s="3078"/>
      <c r="DAJ55" s="3078"/>
      <c r="DAK55" s="3078"/>
      <c r="DAL55" s="3078"/>
      <c r="DAM55" s="3078"/>
      <c r="DAN55" s="3078"/>
      <c r="DAO55" s="3075" t="s">
        <v>55</v>
      </c>
      <c r="DAP55" s="3078"/>
      <c r="DAQ55" s="3078"/>
      <c r="DAR55" s="3078"/>
      <c r="DAS55" s="3078"/>
      <c r="DAT55" s="3078"/>
      <c r="DAU55" s="3078"/>
      <c r="DAV55" s="3078"/>
      <c r="DAW55" s="3075" t="s">
        <v>55</v>
      </c>
      <c r="DAX55" s="3078"/>
      <c r="DAY55" s="3078"/>
      <c r="DAZ55" s="3078"/>
      <c r="DBA55" s="3078"/>
      <c r="DBB55" s="3078"/>
      <c r="DBC55" s="3078"/>
      <c r="DBD55" s="3078"/>
      <c r="DBE55" s="3075" t="s">
        <v>55</v>
      </c>
      <c r="DBF55" s="3078"/>
      <c r="DBG55" s="3078"/>
      <c r="DBH55" s="3078"/>
      <c r="DBI55" s="3078"/>
      <c r="DBJ55" s="3078"/>
      <c r="DBK55" s="3078"/>
      <c r="DBL55" s="3078"/>
      <c r="DBM55" s="3075" t="s">
        <v>55</v>
      </c>
      <c r="DBN55" s="3078"/>
      <c r="DBO55" s="3078"/>
      <c r="DBP55" s="3078"/>
      <c r="DBQ55" s="3078"/>
      <c r="DBR55" s="3078"/>
      <c r="DBS55" s="3078"/>
      <c r="DBT55" s="3078"/>
      <c r="DBU55" s="3075" t="s">
        <v>55</v>
      </c>
      <c r="DBV55" s="3078"/>
      <c r="DBW55" s="3078"/>
      <c r="DBX55" s="3078"/>
      <c r="DBY55" s="3078"/>
      <c r="DBZ55" s="3078"/>
      <c r="DCA55" s="3078"/>
      <c r="DCB55" s="3078"/>
      <c r="DCC55" s="3075" t="s">
        <v>55</v>
      </c>
      <c r="DCD55" s="3078"/>
      <c r="DCE55" s="3078"/>
      <c r="DCF55" s="3078"/>
      <c r="DCG55" s="3078"/>
      <c r="DCH55" s="3078"/>
      <c r="DCI55" s="3078"/>
      <c r="DCJ55" s="3078"/>
      <c r="DCK55" s="3075" t="s">
        <v>55</v>
      </c>
      <c r="DCL55" s="3078"/>
      <c r="DCM55" s="3078"/>
      <c r="DCN55" s="3078"/>
      <c r="DCO55" s="3078"/>
      <c r="DCP55" s="3078"/>
      <c r="DCQ55" s="3078"/>
      <c r="DCR55" s="3078"/>
      <c r="DCS55" s="3075" t="s">
        <v>55</v>
      </c>
      <c r="DCT55" s="3078"/>
      <c r="DCU55" s="3078"/>
      <c r="DCV55" s="3078"/>
      <c r="DCW55" s="3078"/>
      <c r="DCX55" s="3078"/>
      <c r="DCY55" s="3078"/>
      <c r="DCZ55" s="3078"/>
      <c r="DDA55" s="3075" t="s">
        <v>55</v>
      </c>
      <c r="DDB55" s="3078"/>
      <c r="DDC55" s="3078"/>
      <c r="DDD55" s="3078"/>
      <c r="DDE55" s="3078"/>
      <c r="DDF55" s="3078"/>
      <c r="DDG55" s="3078"/>
      <c r="DDH55" s="3078"/>
      <c r="DDI55" s="3075" t="s">
        <v>55</v>
      </c>
      <c r="DDJ55" s="3078"/>
      <c r="DDK55" s="3078"/>
      <c r="DDL55" s="3078"/>
      <c r="DDM55" s="3078"/>
      <c r="DDN55" s="3078"/>
      <c r="DDO55" s="3078"/>
      <c r="DDP55" s="3078"/>
      <c r="DDQ55" s="3075" t="s">
        <v>55</v>
      </c>
      <c r="DDR55" s="3078"/>
      <c r="DDS55" s="3078"/>
      <c r="DDT55" s="3078"/>
      <c r="DDU55" s="3078"/>
      <c r="DDV55" s="3078"/>
      <c r="DDW55" s="3078"/>
      <c r="DDX55" s="3078"/>
      <c r="DDY55" s="3075" t="s">
        <v>55</v>
      </c>
      <c r="DDZ55" s="3078"/>
      <c r="DEA55" s="3078"/>
      <c r="DEB55" s="3078"/>
      <c r="DEC55" s="3078"/>
      <c r="DED55" s="3078"/>
      <c r="DEE55" s="3078"/>
      <c r="DEF55" s="3078"/>
      <c r="DEG55" s="3075" t="s">
        <v>55</v>
      </c>
      <c r="DEH55" s="3078"/>
      <c r="DEI55" s="3078"/>
      <c r="DEJ55" s="3078"/>
      <c r="DEK55" s="3078"/>
      <c r="DEL55" s="3078"/>
      <c r="DEM55" s="3078"/>
      <c r="DEN55" s="3078"/>
      <c r="DEO55" s="3075" t="s">
        <v>55</v>
      </c>
      <c r="DEP55" s="3078"/>
      <c r="DEQ55" s="3078"/>
      <c r="DER55" s="3078"/>
      <c r="DES55" s="3078"/>
      <c r="DET55" s="3078"/>
      <c r="DEU55" s="3078"/>
      <c r="DEV55" s="3078"/>
      <c r="DEW55" s="3075" t="s">
        <v>55</v>
      </c>
      <c r="DEX55" s="3078"/>
      <c r="DEY55" s="3078"/>
      <c r="DEZ55" s="3078"/>
      <c r="DFA55" s="3078"/>
      <c r="DFB55" s="3078"/>
      <c r="DFC55" s="3078"/>
      <c r="DFD55" s="3078"/>
      <c r="DFE55" s="3075" t="s">
        <v>55</v>
      </c>
      <c r="DFF55" s="3078"/>
      <c r="DFG55" s="3078"/>
      <c r="DFH55" s="3078"/>
      <c r="DFI55" s="3078"/>
      <c r="DFJ55" s="3078"/>
      <c r="DFK55" s="3078"/>
      <c r="DFL55" s="3078"/>
      <c r="DFM55" s="3075" t="s">
        <v>55</v>
      </c>
      <c r="DFN55" s="3078"/>
      <c r="DFO55" s="3078"/>
      <c r="DFP55" s="3078"/>
      <c r="DFQ55" s="3078"/>
      <c r="DFR55" s="3078"/>
      <c r="DFS55" s="3078"/>
      <c r="DFT55" s="3078"/>
      <c r="DFU55" s="3075" t="s">
        <v>55</v>
      </c>
      <c r="DFV55" s="3078"/>
      <c r="DFW55" s="3078"/>
      <c r="DFX55" s="3078"/>
      <c r="DFY55" s="3078"/>
      <c r="DFZ55" s="3078"/>
      <c r="DGA55" s="3078"/>
      <c r="DGB55" s="3078"/>
      <c r="DGC55" s="3075" t="s">
        <v>55</v>
      </c>
      <c r="DGD55" s="3078"/>
      <c r="DGE55" s="3078"/>
      <c r="DGF55" s="3078"/>
      <c r="DGG55" s="3078"/>
      <c r="DGH55" s="3078"/>
      <c r="DGI55" s="3078"/>
      <c r="DGJ55" s="3078"/>
      <c r="DGK55" s="3075" t="s">
        <v>55</v>
      </c>
      <c r="DGL55" s="3078"/>
      <c r="DGM55" s="3078"/>
      <c r="DGN55" s="3078"/>
      <c r="DGO55" s="3078"/>
      <c r="DGP55" s="3078"/>
      <c r="DGQ55" s="3078"/>
      <c r="DGR55" s="3078"/>
      <c r="DGS55" s="3075" t="s">
        <v>55</v>
      </c>
      <c r="DGT55" s="3078"/>
      <c r="DGU55" s="3078"/>
      <c r="DGV55" s="3078"/>
      <c r="DGW55" s="3078"/>
      <c r="DGX55" s="3078"/>
      <c r="DGY55" s="3078"/>
      <c r="DGZ55" s="3078"/>
      <c r="DHA55" s="3075" t="s">
        <v>55</v>
      </c>
      <c r="DHB55" s="3078"/>
      <c r="DHC55" s="3078"/>
      <c r="DHD55" s="3078"/>
      <c r="DHE55" s="3078"/>
      <c r="DHF55" s="3078"/>
      <c r="DHG55" s="3078"/>
      <c r="DHH55" s="3078"/>
      <c r="DHI55" s="3075" t="s">
        <v>55</v>
      </c>
      <c r="DHJ55" s="3078"/>
      <c r="DHK55" s="3078"/>
      <c r="DHL55" s="3078"/>
      <c r="DHM55" s="3078"/>
      <c r="DHN55" s="3078"/>
      <c r="DHO55" s="3078"/>
      <c r="DHP55" s="3078"/>
      <c r="DHQ55" s="3075" t="s">
        <v>55</v>
      </c>
      <c r="DHR55" s="3078"/>
      <c r="DHS55" s="3078"/>
      <c r="DHT55" s="3078"/>
      <c r="DHU55" s="3078"/>
      <c r="DHV55" s="3078"/>
      <c r="DHW55" s="3078"/>
      <c r="DHX55" s="3078"/>
      <c r="DHY55" s="3075" t="s">
        <v>55</v>
      </c>
      <c r="DHZ55" s="3078"/>
      <c r="DIA55" s="3078"/>
      <c r="DIB55" s="3078"/>
      <c r="DIC55" s="3078"/>
      <c r="DID55" s="3078"/>
      <c r="DIE55" s="3078"/>
      <c r="DIF55" s="3078"/>
      <c r="DIG55" s="3075" t="s">
        <v>55</v>
      </c>
      <c r="DIH55" s="3078"/>
      <c r="DII55" s="3078"/>
      <c r="DIJ55" s="3078"/>
      <c r="DIK55" s="3078"/>
      <c r="DIL55" s="3078"/>
      <c r="DIM55" s="3078"/>
      <c r="DIN55" s="3078"/>
      <c r="DIO55" s="3075" t="s">
        <v>55</v>
      </c>
      <c r="DIP55" s="3078"/>
      <c r="DIQ55" s="3078"/>
      <c r="DIR55" s="3078"/>
      <c r="DIS55" s="3078"/>
      <c r="DIT55" s="3078"/>
      <c r="DIU55" s="3078"/>
      <c r="DIV55" s="3078"/>
      <c r="DIW55" s="3075" t="s">
        <v>55</v>
      </c>
      <c r="DIX55" s="3078"/>
      <c r="DIY55" s="3078"/>
      <c r="DIZ55" s="3078"/>
      <c r="DJA55" s="3078"/>
      <c r="DJB55" s="3078"/>
      <c r="DJC55" s="3078"/>
      <c r="DJD55" s="3078"/>
      <c r="DJE55" s="3075" t="s">
        <v>55</v>
      </c>
      <c r="DJF55" s="3078"/>
      <c r="DJG55" s="3078"/>
      <c r="DJH55" s="3078"/>
      <c r="DJI55" s="3078"/>
      <c r="DJJ55" s="3078"/>
      <c r="DJK55" s="3078"/>
      <c r="DJL55" s="3078"/>
      <c r="DJM55" s="3075" t="s">
        <v>55</v>
      </c>
      <c r="DJN55" s="3078"/>
      <c r="DJO55" s="3078"/>
      <c r="DJP55" s="3078"/>
      <c r="DJQ55" s="3078"/>
      <c r="DJR55" s="3078"/>
      <c r="DJS55" s="3078"/>
      <c r="DJT55" s="3078"/>
      <c r="DJU55" s="3075" t="s">
        <v>55</v>
      </c>
      <c r="DJV55" s="3078"/>
      <c r="DJW55" s="3078"/>
      <c r="DJX55" s="3078"/>
      <c r="DJY55" s="3078"/>
      <c r="DJZ55" s="3078"/>
      <c r="DKA55" s="3078"/>
      <c r="DKB55" s="3078"/>
      <c r="DKC55" s="3075" t="s">
        <v>55</v>
      </c>
      <c r="DKD55" s="3078"/>
      <c r="DKE55" s="3078"/>
      <c r="DKF55" s="3078"/>
      <c r="DKG55" s="3078"/>
      <c r="DKH55" s="3078"/>
      <c r="DKI55" s="3078"/>
      <c r="DKJ55" s="3078"/>
      <c r="DKK55" s="3075" t="s">
        <v>55</v>
      </c>
      <c r="DKL55" s="3078"/>
      <c r="DKM55" s="3078"/>
      <c r="DKN55" s="3078"/>
      <c r="DKO55" s="3078"/>
      <c r="DKP55" s="3078"/>
      <c r="DKQ55" s="3078"/>
      <c r="DKR55" s="3078"/>
      <c r="DKS55" s="3075" t="s">
        <v>55</v>
      </c>
      <c r="DKT55" s="3078"/>
      <c r="DKU55" s="3078"/>
      <c r="DKV55" s="3078"/>
      <c r="DKW55" s="3078"/>
      <c r="DKX55" s="3078"/>
      <c r="DKY55" s="3078"/>
      <c r="DKZ55" s="3078"/>
      <c r="DLA55" s="3075" t="s">
        <v>55</v>
      </c>
      <c r="DLB55" s="3078"/>
      <c r="DLC55" s="3078"/>
      <c r="DLD55" s="3078"/>
      <c r="DLE55" s="3078"/>
      <c r="DLF55" s="3078"/>
      <c r="DLG55" s="3078"/>
      <c r="DLH55" s="3078"/>
      <c r="DLI55" s="3075" t="s">
        <v>55</v>
      </c>
      <c r="DLJ55" s="3078"/>
      <c r="DLK55" s="3078"/>
      <c r="DLL55" s="3078"/>
      <c r="DLM55" s="3078"/>
      <c r="DLN55" s="3078"/>
      <c r="DLO55" s="3078"/>
      <c r="DLP55" s="3078"/>
      <c r="DLQ55" s="3075" t="s">
        <v>55</v>
      </c>
      <c r="DLR55" s="3078"/>
      <c r="DLS55" s="3078"/>
      <c r="DLT55" s="3078"/>
      <c r="DLU55" s="3078"/>
      <c r="DLV55" s="3078"/>
      <c r="DLW55" s="3078"/>
      <c r="DLX55" s="3078"/>
      <c r="DLY55" s="3075" t="s">
        <v>55</v>
      </c>
      <c r="DLZ55" s="3078"/>
      <c r="DMA55" s="3078"/>
      <c r="DMB55" s="3078"/>
      <c r="DMC55" s="3078"/>
      <c r="DMD55" s="3078"/>
      <c r="DME55" s="3078"/>
      <c r="DMF55" s="3078"/>
      <c r="DMG55" s="3075" t="s">
        <v>55</v>
      </c>
      <c r="DMH55" s="3078"/>
      <c r="DMI55" s="3078"/>
      <c r="DMJ55" s="3078"/>
      <c r="DMK55" s="3078"/>
      <c r="DML55" s="3078"/>
      <c r="DMM55" s="3078"/>
      <c r="DMN55" s="3078"/>
      <c r="DMO55" s="3075" t="s">
        <v>55</v>
      </c>
      <c r="DMP55" s="3078"/>
      <c r="DMQ55" s="3078"/>
      <c r="DMR55" s="3078"/>
      <c r="DMS55" s="3078"/>
      <c r="DMT55" s="3078"/>
      <c r="DMU55" s="3078"/>
      <c r="DMV55" s="3078"/>
      <c r="DMW55" s="3075" t="s">
        <v>55</v>
      </c>
      <c r="DMX55" s="3078"/>
      <c r="DMY55" s="3078"/>
      <c r="DMZ55" s="3078"/>
      <c r="DNA55" s="3078"/>
      <c r="DNB55" s="3078"/>
      <c r="DNC55" s="3078"/>
      <c r="DND55" s="3078"/>
      <c r="DNE55" s="3075" t="s">
        <v>55</v>
      </c>
      <c r="DNF55" s="3078"/>
      <c r="DNG55" s="3078"/>
      <c r="DNH55" s="3078"/>
      <c r="DNI55" s="3078"/>
      <c r="DNJ55" s="3078"/>
      <c r="DNK55" s="3078"/>
      <c r="DNL55" s="3078"/>
      <c r="DNM55" s="3075" t="s">
        <v>55</v>
      </c>
      <c r="DNN55" s="3078"/>
      <c r="DNO55" s="3078"/>
      <c r="DNP55" s="3078"/>
      <c r="DNQ55" s="3078"/>
      <c r="DNR55" s="3078"/>
      <c r="DNS55" s="3078"/>
      <c r="DNT55" s="3078"/>
      <c r="DNU55" s="3075" t="s">
        <v>55</v>
      </c>
      <c r="DNV55" s="3078"/>
      <c r="DNW55" s="3078"/>
      <c r="DNX55" s="3078"/>
      <c r="DNY55" s="3078"/>
      <c r="DNZ55" s="3078"/>
      <c r="DOA55" s="3078"/>
      <c r="DOB55" s="3078"/>
      <c r="DOC55" s="3075" t="s">
        <v>55</v>
      </c>
      <c r="DOD55" s="3078"/>
      <c r="DOE55" s="3078"/>
      <c r="DOF55" s="3078"/>
      <c r="DOG55" s="3078"/>
      <c r="DOH55" s="3078"/>
      <c r="DOI55" s="3078"/>
      <c r="DOJ55" s="3078"/>
      <c r="DOK55" s="3075" t="s">
        <v>55</v>
      </c>
      <c r="DOL55" s="3078"/>
      <c r="DOM55" s="3078"/>
      <c r="DON55" s="3078"/>
      <c r="DOO55" s="3078"/>
      <c r="DOP55" s="3078"/>
      <c r="DOQ55" s="3078"/>
      <c r="DOR55" s="3078"/>
      <c r="DOS55" s="3075" t="s">
        <v>55</v>
      </c>
      <c r="DOT55" s="3078"/>
      <c r="DOU55" s="3078"/>
      <c r="DOV55" s="3078"/>
      <c r="DOW55" s="3078"/>
      <c r="DOX55" s="3078"/>
      <c r="DOY55" s="3078"/>
      <c r="DOZ55" s="3078"/>
      <c r="DPA55" s="3075" t="s">
        <v>55</v>
      </c>
      <c r="DPB55" s="3078"/>
      <c r="DPC55" s="3078"/>
      <c r="DPD55" s="3078"/>
      <c r="DPE55" s="3078"/>
      <c r="DPF55" s="3078"/>
      <c r="DPG55" s="3078"/>
      <c r="DPH55" s="3078"/>
      <c r="DPI55" s="3075" t="s">
        <v>55</v>
      </c>
      <c r="DPJ55" s="3078"/>
      <c r="DPK55" s="3078"/>
      <c r="DPL55" s="3078"/>
      <c r="DPM55" s="3078"/>
      <c r="DPN55" s="3078"/>
      <c r="DPO55" s="3078"/>
      <c r="DPP55" s="3078"/>
      <c r="DPQ55" s="3075" t="s">
        <v>55</v>
      </c>
      <c r="DPR55" s="3078"/>
      <c r="DPS55" s="3078"/>
      <c r="DPT55" s="3078"/>
      <c r="DPU55" s="3078"/>
      <c r="DPV55" s="3078"/>
      <c r="DPW55" s="3078"/>
      <c r="DPX55" s="3078"/>
      <c r="DPY55" s="3075" t="s">
        <v>55</v>
      </c>
      <c r="DPZ55" s="3078"/>
      <c r="DQA55" s="3078"/>
      <c r="DQB55" s="3078"/>
      <c r="DQC55" s="3078"/>
      <c r="DQD55" s="3078"/>
      <c r="DQE55" s="3078"/>
      <c r="DQF55" s="3078"/>
      <c r="DQG55" s="3075" t="s">
        <v>55</v>
      </c>
      <c r="DQH55" s="3078"/>
      <c r="DQI55" s="3078"/>
      <c r="DQJ55" s="3078"/>
      <c r="DQK55" s="3078"/>
      <c r="DQL55" s="3078"/>
      <c r="DQM55" s="3078"/>
      <c r="DQN55" s="3078"/>
      <c r="DQO55" s="3075" t="s">
        <v>55</v>
      </c>
      <c r="DQP55" s="3078"/>
      <c r="DQQ55" s="3078"/>
      <c r="DQR55" s="3078"/>
      <c r="DQS55" s="3078"/>
      <c r="DQT55" s="3078"/>
      <c r="DQU55" s="3078"/>
      <c r="DQV55" s="3078"/>
      <c r="DQW55" s="3075" t="s">
        <v>55</v>
      </c>
      <c r="DQX55" s="3078"/>
      <c r="DQY55" s="3078"/>
      <c r="DQZ55" s="3078"/>
      <c r="DRA55" s="3078"/>
      <c r="DRB55" s="3078"/>
      <c r="DRC55" s="3078"/>
      <c r="DRD55" s="3078"/>
      <c r="DRE55" s="3075" t="s">
        <v>55</v>
      </c>
      <c r="DRF55" s="3078"/>
      <c r="DRG55" s="3078"/>
      <c r="DRH55" s="3078"/>
      <c r="DRI55" s="3078"/>
      <c r="DRJ55" s="3078"/>
      <c r="DRK55" s="3078"/>
      <c r="DRL55" s="3078"/>
      <c r="DRM55" s="3075" t="s">
        <v>55</v>
      </c>
      <c r="DRN55" s="3078"/>
      <c r="DRO55" s="3078"/>
      <c r="DRP55" s="3078"/>
      <c r="DRQ55" s="3078"/>
      <c r="DRR55" s="3078"/>
      <c r="DRS55" s="3078"/>
      <c r="DRT55" s="3078"/>
      <c r="DRU55" s="3075" t="s">
        <v>55</v>
      </c>
      <c r="DRV55" s="3078"/>
      <c r="DRW55" s="3078"/>
      <c r="DRX55" s="3078"/>
      <c r="DRY55" s="3078"/>
      <c r="DRZ55" s="3078"/>
      <c r="DSA55" s="3078"/>
      <c r="DSB55" s="3078"/>
      <c r="DSC55" s="3075" t="s">
        <v>55</v>
      </c>
      <c r="DSD55" s="3078"/>
      <c r="DSE55" s="3078"/>
      <c r="DSF55" s="3078"/>
      <c r="DSG55" s="3078"/>
      <c r="DSH55" s="3078"/>
      <c r="DSI55" s="3078"/>
      <c r="DSJ55" s="3078"/>
      <c r="DSK55" s="3075" t="s">
        <v>55</v>
      </c>
      <c r="DSL55" s="3078"/>
      <c r="DSM55" s="3078"/>
      <c r="DSN55" s="3078"/>
      <c r="DSO55" s="3078"/>
      <c r="DSP55" s="3078"/>
      <c r="DSQ55" s="3078"/>
      <c r="DSR55" s="3078"/>
      <c r="DSS55" s="3075" t="s">
        <v>55</v>
      </c>
      <c r="DST55" s="3078"/>
      <c r="DSU55" s="3078"/>
      <c r="DSV55" s="3078"/>
      <c r="DSW55" s="3078"/>
      <c r="DSX55" s="3078"/>
      <c r="DSY55" s="3078"/>
      <c r="DSZ55" s="3078"/>
      <c r="DTA55" s="3075" t="s">
        <v>55</v>
      </c>
      <c r="DTB55" s="3078"/>
      <c r="DTC55" s="3078"/>
      <c r="DTD55" s="3078"/>
      <c r="DTE55" s="3078"/>
      <c r="DTF55" s="3078"/>
      <c r="DTG55" s="3078"/>
      <c r="DTH55" s="3078"/>
      <c r="DTI55" s="3075" t="s">
        <v>55</v>
      </c>
      <c r="DTJ55" s="3078"/>
      <c r="DTK55" s="3078"/>
      <c r="DTL55" s="3078"/>
      <c r="DTM55" s="3078"/>
      <c r="DTN55" s="3078"/>
      <c r="DTO55" s="3078"/>
      <c r="DTP55" s="3078"/>
      <c r="DTQ55" s="3075" t="s">
        <v>55</v>
      </c>
      <c r="DTR55" s="3078"/>
      <c r="DTS55" s="3078"/>
      <c r="DTT55" s="3078"/>
      <c r="DTU55" s="3078"/>
      <c r="DTV55" s="3078"/>
      <c r="DTW55" s="3078"/>
      <c r="DTX55" s="3078"/>
      <c r="DTY55" s="3075" t="s">
        <v>55</v>
      </c>
      <c r="DTZ55" s="3078"/>
      <c r="DUA55" s="3078"/>
      <c r="DUB55" s="3078"/>
      <c r="DUC55" s="3078"/>
      <c r="DUD55" s="3078"/>
      <c r="DUE55" s="3078"/>
      <c r="DUF55" s="3078"/>
      <c r="DUG55" s="3075" t="s">
        <v>55</v>
      </c>
      <c r="DUH55" s="3078"/>
      <c r="DUI55" s="3078"/>
      <c r="DUJ55" s="3078"/>
      <c r="DUK55" s="3078"/>
      <c r="DUL55" s="3078"/>
      <c r="DUM55" s="3078"/>
      <c r="DUN55" s="3078"/>
      <c r="DUO55" s="3075" t="s">
        <v>55</v>
      </c>
      <c r="DUP55" s="3078"/>
      <c r="DUQ55" s="3078"/>
      <c r="DUR55" s="3078"/>
      <c r="DUS55" s="3078"/>
      <c r="DUT55" s="3078"/>
      <c r="DUU55" s="3078"/>
      <c r="DUV55" s="3078"/>
      <c r="DUW55" s="3075" t="s">
        <v>55</v>
      </c>
      <c r="DUX55" s="3078"/>
      <c r="DUY55" s="3078"/>
      <c r="DUZ55" s="3078"/>
      <c r="DVA55" s="3078"/>
      <c r="DVB55" s="3078"/>
      <c r="DVC55" s="3078"/>
      <c r="DVD55" s="3078"/>
      <c r="DVE55" s="3075" t="s">
        <v>55</v>
      </c>
      <c r="DVF55" s="3078"/>
      <c r="DVG55" s="3078"/>
      <c r="DVH55" s="3078"/>
      <c r="DVI55" s="3078"/>
      <c r="DVJ55" s="3078"/>
      <c r="DVK55" s="3078"/>
      <c r="DVL55" s="3078"/>
      <c r="DVM55" s="3075" t="s">
        <v>55</v>
      </c>
      <c r="DVN55" s="3078"/>
      <c r="DVO55" s="3078"/>
      <c r="DVP55" s="3078"/>
      <c r="DVQ55" s="3078"/>
      <c r="DVR55" s="3078"/>
      <c r="DVS55" s="3078"/>
      <c r="DVT55" s="3078"/>
      <c r="DVU55" s="3075" t="s">
        <v>55</v>
      </c>
      <c r="DVV55" s="3078"/>
      <c r="DVW55" s="3078"/>
      <c r="DVX55" s="3078"/>
      <c r="DVY55" s="3078"/>
      <c r="DVZ55" s="3078"/>
      <c r="DWA55" s="3078"/>
      <c r="DWB55" s="3078"/>
      <c r="DWC55" s="3075" t="s">
        <v>55</v>
      </c>
      <c r="DWD55" s="3078"/>
      <c r="DWE55" s="3078"/>
      <c r="DWF55" s="3078"/>
      <c r="DWG55" s="3078"/>
      <c r="DWH55" s="3078"/>
      <c r="DWI55" s="3078"/>
      <c r="DWJ55" s="3078"/>
      <c r="DWK55" s="3075" t="s">
        <v>55</v>
      </c>
      <c r="DWL55" s="3078"/>
      <c r="DWM55" s="3078"/>
      <c r="DWN55" s="3078"/>
      <c r="DWO55" s="3078"/>
      <c r="DWP55" s="3078"/>
      <c r="DWQ55" s="3078"/>
      <c r="DWR55" s="3078"/>
      <c r="DWS55" s="3075" t="s">
        <v>55</v>
      </c>
      <c r="DWT55" s="3078"/>
      <c r="DWU55" s="3078"/>
      <c r="DWV55" s="3078"/>
      <c r="DWW55" s="3078"/>
      <c r="DWX55" s="3078"/>
      <c r="DWY55" s="3078"/>
      <c r="DWZ55" s="3078"/>
      <c r="DXA55" s="3075" t="s">
        <v>55</v>
      </c>
      <c r="DXB55" s="3078"/>
      <c r="DXC55" s="3078"/>
      <c r="DXD55" s="3078"/>
      <c r="DXE55" s="3078"/>
      <c r="DXF55" s="3078"/>
      <c r="DXG55" s="3078"/>
      <c r="DXH55" s="3078"/>
      <c r="DXI55" s="3075" t="s">
        <v>55</v>
      </c>
      <c r="DXJ55" s="3078"/>
      <c r="DXK55" s="3078"/>
      <c r="DXL55" s="3078"/>
      <c r="DXM55" s="3078"/>
      <c r="DXN55" s="3078"/>
      <c r="DXO55" s="3078"/>
      <c r="DXP55" s="3078"/>
      <c r="DXQ55" s="3075" t="s">
        <v>55</v>
      </c>
      <c r="DXR55" s="3078"/>
      <c r="DXS55" s="3078"/>
      <c r="DXT55" s="3078"/>
      <c r="DXU55" s="3078"/>
      <c r="DXV55" s="3078"/>
      <c r="DXW55" s="3078"/>
      <c r="DXX55" s="3078"/>
      <c r="DXY55" s="3075" t="s">
        <v>55</v>
      </c>
      <c r="DXZ55" s="3078"/>
      <c r="DYA55" s="3078"/>
      <c r="DYB55" s="3078"/>
      <c r="DYC55" s="3078"/>
      <c r="DYD55" s="3078"/>
      <c r="DYE55" s="3078"/>
      <c r="DYF55" s="3078"/>
      <c r="DYG55" s="3075" t="s">
        <v>55</v>
      </c>
      <c r="DYH55" s="3078"/>
      <c r="DYI55" s="3078"/>
      <c r="DYJ55" s="3078"/>
      <c r="DYK55" s="3078"/>
      <c r="DYL55" s="3078"/>
      <c r="DYM55" s="3078"/>
      <c r="DYN55" s="3078"/>
      <c r="DYO55" s="3075" t="s">
        <v>55</v>
      </c>
      <c r="DYP55" s="3078"/>
      <c r="DYQ55" s="3078"/>
      <c r="DYR55" s="3078"/>
      <c r="DYS55" s="3078"/>
      <c r="DYT55" s="3078"/>
      <c r="DYU55" s="3078"/>
      <c r="DYV55" s="3078"/>
      <c r="DYW55" s="3075" t="s">
        <v>55</v>
      </c>
      <c r="DYX55" s="3078"/>
      <c r="DYY55" s="3078"/>
      <c r="DYZ55" s="3078"/>
      <c r="DZA55" s="3078"/>
      <c r="DZB55" s="3078"/>
      <c r="DZC55" s="3078"/>
      <c r="DZD55" s="3078"/>
      <c r="DZE55" s="3075" t="s">
        <v>55</v>
      </c>
      <c r="DZF55" s="3078"/>
      <c r="DZG55" s="3078"/>
      <c r="DZH55" s="3078"/>
      <c r="DZI55" s="3078"/>
      <c r="DZJ55" s="3078"/>
      <c r="DZK55" s="3078"/>
      <c r="DZL55" s="3078"/>
      <c r="DZM55" s="3075" t="s">
        <v>55</v>
      </c>
      <c r="DZN55" s="3078"/>
      <c r="DZO55" s="3078"/>
      <c r="DZP55" s="3078"/>
      <c r="DZQ55" s="3078"/>
      <c r="DZR55" s="3078"/>
      <c r="DZS55" s="3078"/>
      <c r="DZT55" s="3078"/>
      <c r="DZU55" s="3075" t="s">
        <v>55</v>
      </c>
      <c r="DZV55" s="3078"/>
      <c r="DZW55" s="3078"/>
      <c r="DZX55" s="3078"/>
      <c r="DZY55" s="3078"/>
      <c r="DZZ55" s="3078"/>
      <c r="EAA55" s="3078"/>
      <c r="EAB55" s="3078"/>
      <c r="EAC55" s="3075" t="s">
        <v>55</v>
      </c>
      <c r="EAD55" s="3078"/>
      <c r="EAE55" s="3078"/>
      <c r="EAF55" s="3078"/>
      <c r="EAG55" s="3078"/>
      <c r="EAH55" s="3078"/>
      <c r="EAI55" s="3078"/>
      <c r="EAJ55" s="3078"/>
      <c r="EAK55" s="3075" t="s">
        <v>55</v>
      </c>
      <c r="EAL55" s="3078"/>
      <c r="EAM55" s="3078"/>
      <c r="EAN55" s="3078"/>
      <c r="EAO55" s="3078"/>
      <c r="EAP55" s="3078"/>
      <c r="EAQ55" s="3078"/>
      <c r="EAR55" s="3078"/>
      <c r="EAS55" s="3075" t="s">
        <v>55</v>
      </c>
      <c r="EAT55" s="3078"/>
      <c r="EAU55" s="3078"/>
      <c r="EAV55" s="3078"/>
      <c r="EAW55" s="3078"/>
      <c r="EAX55" s="3078"/>
      <c r="EAY55" s="3078"/>
      <c r="EAZ55" s="3078"/>
      <c r="EBA55" s="3075" t="s">
        <v>55</v>
      </c>
      <c r="EBB55" s="3078"/>
      <c r="EBC55" s="3078"/>
      <c r="EBD55" s="3078"/>
      <c r="EBE55" s="3078"/>
      <c r="EBF55" s="3078"/>
      <c r="EBG55" s="3078"/>
      <c r="EBH55" s="3078"/>
      <c r="EBI55" s="3075" t="s">
        <v>55</v>
      </c>
      <c r="EBJ55" s="3078"/>
      <c r="EBK55" s="3078"/>
      <c r="EBL55" s="3078"/>
      <c r="EBM55" s="3078"/>
      <c r="EBN55" s="3078"/>
      <c r="EBO55" s="3078"/>
      <c r="EBP55" s="3078"/>
      <c r="EBQ55" s="3075" t="s">
        <v>55</v>
      </c>
      <c r="EBR55" s="3078"/>
      <c r="EBS55" s="3078"/>
      <c r="EBT55" s="3078"/>
      <c r="EBU55" s="3078"/>
      <c r="EBV55" s="3078"/>
      <c r="EBW55" s="3078"/>
      <c r="EBX55" s="3078"/>
      <c r="EBY55" s="3075" t="s">
        <v>55</v>
      </c>
      <c r="EBZ55" s="3078"/>
      <c r="ECA55" s="3078"/>
      <c r="ECB55" s="3078"/>
      <c r="ECC55" s="3078"/>
      <c r="ECD55" s="3078"/>
      <c r="ECE55" s="3078"/>
      <c r="ECF55" s="3078"/>
      <c r="ECG55" s="3075" t="s">
        <v>55</v>
      </c>
      <c r="ECH55" s="3078"/>
      <c r="ECI55" s="3078"/>
      <c r="ECJ55" s="3078"/>
      <c r="ECK55" s="3078"/>
      <c r="ECL55" s="3078"/>
      <c r="ECM55" s="3078"/>
      <c r="ECN55" s="3078"/>
      <c r="ECO55" s="3075" t="s">
        <v>55</v>
      </c>
      <c r="ECP55" s="3078"/>
      <c r="ECQ55" s="3078"/>
      <c r="ECR55" s="3078"/>
      <c r="ECS55" s="3078"/>
      <c r="ECT55" s="3078"/>
      <c r="ECU55" s="3078"/>
      <c r="ECV55" s="3078"/>
      <c r="ECW55" s="3075" t="s">
        <v>55</v>
      </c>
      <c r="ECX55" s="3078"/>
      <c r="ECY55" s="3078"/>
      <c r="ECZ55" s="3078"/>
      <c r="EDA55" s="3078"/>
      <c r="EDB55" s="3078"/>
      <c r="EDC55" s="3078"/>
      <c r="EDD55" s="3078"/>
      <c r="EDE55" s="3075" t="s">
        <v>55</v>
      </c>
      <c r="EDF55" s="3078"/>
      <c r="EDG55" s="3078"/>
      <c r="EDH55" s="3078"/>
      <c r="EDI55" s="3078"/>
      <c r="EDJ55" s="3078"/>
      <c r="EDK55" s="3078"/>
      <c r="EDL55" s="3078"/>
      <c r="EDM55" s="3075" t="s">
        <v>55</v>
      </c>
      <c r="EDN55" s="3078"/>
      <c r="EDO55" s="3078"/>
      <c r="EDP55" s="3078"/>
      <c r="EDQ55" s="3078"/>
      <c r="EDR55" s="3078"/>
      <c r="EDS55" s="3078"/>
      <c r="EDT55" s="3078"/>
      <c r="EDU55" s="3075" t="s">
        <v>55</v>
      </c>
      <c r="EDV55" s="3078"/>
      <c r="EDW55" s="3078"/>
      <c r="EDX55" s="3078"/>
      <c r="EDY55" s="3078"/>
      <c r="EDZ55" s="3078"/>
      <c r="EEA55" s="3078"/>
      <c r="EEB55" s="3078"/>
      <c r="EEC55" s="3075" t="s">
        <v>55</v>
      </c>
      <c r="EED55" s="3078"/>
      <c r="EEE55" s="3078"/>
      <c r="EEF55" s="3078"/>
      <c r="EEG55" s="3078"/>
      <c r="EEH55" s="3078"/>
      <c r="EEI55" s="3078"/>
      <c r="EEJ55" s="3078"/>
      <c r="EEK55" s="3075" t="s">
        <v>55</v>
      </c>
      <c r="EEL55" s="3078"/>
      <c r="EEM55" s="3078"/>
      <c r="EEN55" s="3078"/>
      <c r="EEO55" s="3078"/>
      <c r="EEP55" s="3078"/>
      <c r="EEQ55" s="3078"/>
      <c r="EER55" s="3078"/>
      <c r="EES55" s="3075" t="s">
        <v>55</v>
      </c>
      <c r="EET55" s="3078"/>
      <c r="EEU55" s="3078"/>
      <c r="EEV55" s="3078"/>
      <c r="EEW55" s="3078"/>
      <c r="EEX55" s="3078"/>
      <c r="EEY55" s="3078"/>
      <c r="EEZ55" s="3078"/>
      <c r="EFA55" s="3075" t="s">
        <v>55</v>
      </c>
      <c r="EFB55" s="3078"/>
      <c r="EFC55" s="3078"/>
      <c r="EFD55" s="3078"/>
      <c r="EFE55" s="3078"/>
      <c r="EFF55" s="3078"/>
      <c r="EFG55" s="3078"/>
      <c r="EFH55" s="3078"/>
      <c r="EFI55" s="3075" t="s">
        <v>55</v>
      </c>
      <c r="EFJ55" s="3078"/>
      <c r="EFK55" s="3078"/>
      <c r="EFL55" s="3078"/>
      <c r="EFM55" s="3078"/>
      <c r="EFN55" s="3078"/>
      <c r="EFO55" s="3078"/>
      <c r="EFP55" s="3078"/>
      <c r="EFQ55" s="3075" t="s">
        <v>55</v>
      </c>
      <c r="EFR55" s="3078"/>
      <c r="EFS55" s="3078"/>
      <c r="EFT55" s="3078"/>
      <c r="EFU55" s="3078"/>
      <c r="EFV55" s="3078"/>
      <c r="EFW55" s="3078"/>
      <c r="EFX55" s="3078"/>
      <c r="EFY55" s="3075" t="s">
        <v>55</v>
      </c>
      <c r="EFZ55" s="3078"/>
      <c r="EGA55" s="3078"/>
      <c r="EGB55" s="3078"/>
      <c r="EGC55" s="3078"/>
      <c r="EGD55" s="3078"/>
      <c r="EGE55" s="3078"/>
      <c r="EGF55" s="3078"/>
      <c r="EGG55" s="3075" t="s">
        <v>55</v>
      </c>
      <c r="EGH55" s="3078"/>
      <c r="EGI55" s="3078"/>
      <c r="EGJ55" s="3078"/>
      <c r="EGK55" s="3078"/>
      <c r="EGL55" s="3078"/>
      <c r="EGM55" s="3078"/>
      <c r="EGN55" s="3078"/>
      <c r="EGO55" s="3075" t="s">
        <v>55</v>
      </c>
      <c r="EGP55" s="3078"/>
      <c r="EGQ55" s="3078"/>
      <c r="EGR55" s="3078"/>
      <c r="EGS55" s="3078"/>
      <c r="EGT55" s="3078"/>
      <c r="EGU55" s="3078"/>
      <c r="EGV55" s="3078"/>
      <c r="EGW55" s="3075" t="s">
        <v>55</v>
      </c>
      <c r="EGX55" s="3078"/>
      <c r="EGY55" s="3078"/>
      <c r="EGZ55" s="3078"/>
      <c r="EHA55" s="3078"/>
      <c r="EHB55" s="3078"/>
      <c r="EHC55" s="3078"/>
      <c r="EHD55" s="3078"/>
      <c r="EHE55" s="3075" t="s">
        <v>55</v>
      </c>
      <c r="EHF55" s="3078"/>
      <c r="EHG55" s="3078"/>
      <c r="EHH55" s="3078"/>
      <c r="EHI55" s="3078"/>
      <c r="EHJ55" s="3078"/>
      <c r="EHK55" s="3078"/>
      <c r="EHL55" s="3078"/>
      <c r="EHM55" s="3075" t="s">
        <v>55</v>
      </c>
      <c r="EHN55" s="3078"/>
      <c r="EHO55" s="3078"/>
      <c r="EHP55" s="3078"/>
      <c r="EHQ55" s="3078"/>
      <c r="EHR55" s="3078"/>
      <c r="EHS55" s="3078"/>
      <c r="EHT55" s="3078"/>
      <c r="EHU55" s="3075" t="s">
        <v>55</v>
      </c>
      <c r="EHV55" s="3078"/>
      <c r="EHW55" s="3078"/>
      <c r="EHX55" s="3078"/>
      <c r="EHY55" s="3078"/>
      <c r="EHZ55" s="3078"/>
      <c r="EIA55" s="3078"/>
      <c r="EIB55" s="3078"/>
      <c r="EIC55" s="3075" t="s">
        <v>55</v>
      </c>
      <c r="EID55" s="3078"/>
      <c r="EIE55" s="3078"/>
      <c r="EIF55" s="3078"/>
      <c r="EIG55" s="3078"/>
      <c r="EIH55" s="3078"/>
      <c r="EII55" s="3078"/>
      <c r="EIJ55" s="3078"/>
      <c r="EIK55" s="3075" t="s">
        <v>55</v>
      </c>
      <c r="EIL55" s="3078"/>
      <c r="EIM55" s="3078"/>
      <c r="EIN55" s="3078"/>
      <c r="EIO55" s="3078"/>
      <c r="EIP55" s="3078"/>
      <c r="EIQ55" s="3078"/>
      <c r="EIR55" s="3078"/>
      <c r="EIS55" s="3075" t="s">
        <v>55</v>
      </c>
      <c r="EIT55" s="3078"/>
      <c r="EIU55" s="3078"/>
      <c r="EIV55" s="3078"/>
      <c r="EIW55" s="3078"/>
      <c r="EIX55" s="3078"/>
      <c r="EIY55" s="3078"/>
      <c r="EIZ55" s="3078"/>
      <c r="EJA55" s="3075" t="s">
        <v>55</v>
      </c>
      <c r="EJB55" s="3078"/>
      <c r="EJC55" s="3078"/>
      <c r="EJD55" s="3078"/>
      <c r="EJE55" s="3078"/>
      <c r="EJF55" s="3078"/>
      <c r="EJG55" s="3078"/>
      <c r="EJH55" s="3078"/>
      <c r="EJI55" s="3075" t="s">
        <v>55</v>
      </c>
      <c r="EJJ55" s="3078"/>
      <c r="EJK55" s="3078"/>
      <c r="EJL55" s="3078"/>
      <c r="EJM55" s="3078"/>
      <c r="EJN55" s="3078"/>
      <c r="EJO55" s="3078"/>
      <c r="EJP55" s="3078"/>
      <c r="EJQ55" s="3075" t="s">
        <v>55</v>
      </c>
      <c r="EJR55" s="3078"/>
      <c r="EJS55" s="3078"/>
      <c r="EJT55" s="3078"/>
      <c r="EJU55" s="3078"/>
      <c r="EJV55" s="3078"/>
      <c r="EJW55" s="3078"/>
      <c r="EJX55" s="3078"/>
      <c r="EJY55" s="3075" t="s">
        <v>55</v>
      </c>
      <c r="EJZ55" s="3078"/>
      <c r="EKA55" s="3078"/>
      <c r="EKB55" s="3078"/>
      <c r="EKC55" s="3078"/>
      <c r="EKD55" s="3078"/>
      <c r="EKE55" s="3078"/>
      <c r="EKF55" s="3078"/>
      <c r="EKG55" s="3075" t="s">
        <v>55</v>
      </c>
      <c r="EKH55" s="3078"/>
      <c r="EKI55" s="3078"/>
      <c r="EKJ55" s="3078"/>
      <c r="EKK55" s="3078"/>
      <c r="EKL55" s="3078"/>
      <c r="EKM55" s="3078"/>
      <c r="EKN55" s="3078"/>
      <c r="EKO55" s="3075" t="s">
        <v>55</v>
      </c>
      <c r="EKP55" s="3078"/>
      <c r="EKQ55" s="3078"/>
      <c r="EKR55" s="3078"/>
      <c r="EKS55" s="3078"/>
      <c r="EKT55" s="3078"/>
      <c r="EKU55" s="3078"/>
      <c r="EKV55" s="3078"/>
      <c r="EKW55" s="3075" t="s">
        <v>55</v>
      </c>
      <c r="EKX55" s="3078"/>
      <c r="EKY55" s="3078"/>
      <c r="EKZ55" s="3078"/>
      <c r="ELA55" s="3078"/>
      <c r="ELB55" s="3078"/>
      <c r="ELC55" s="3078"/>
      <c r="ELD55" s="3078"/>
      <c r="ELE55" s="3075" t="s">
        <v>55</v>
      </c>
      <c r="ELF55" s="3078"/>
      <c r="ELG55" s="3078"/>
      <c r="ELH55" s="3078"/>
      <c r="ELI55" s="3078"/>
      <c r="ELJ55" s="3078"/>
      <c r="ELK55" s="3078"/>
      <c r="ELL55" s="3078"/>
      <c r="ELM55" s="3075" t="s">
        <v>55</v>
      </c>
      <c r="ELN55" s="3078"/>
      <c r="ELO55" s="3078"/>
      <c r="ELP55" s="3078"/>
      <c r="ELQ55" s="3078"/>
      <c r="ELR55" s="3078"/>
      <c r="ELS55" s="3078"/>
      <c r="ELT55" s="3078"/>
      <c r="ELU55" s="3075" t="s">
        <v>55</v>
      </c>
      <c r="ELV55" s="3078"/>
      <c r="ELW55" s="3078"/>
      <c r="ELX55" s="3078"/>
      <c r="ELY55" s="3078"/>
      <c r="ELZ55" s="3078"/>
      <c r="EMA55" s="3078"/>
      <c r="EMB55" s="3078"/>
      <c r="EMC55" s="3075" t="s">
        <v>55</v>
      </c>
      <c r="EMD55" s="3078"/>
      <c r="EME55" s="3078"/>
      <c r="EMF55" s="3078"/>
      <c r="EMG55" s="3078"/>
      <c r="EMH55" s="3078"/>
      <c r="EMI55" s="3078"/>
      <c r="EMJ55" s="3078"/>
      <c r="EMK55" s="3075" t="s">
        <v>55</v>
      </c>
      <c r="EML55" s="3078"/>
      <c r="EMM55" s="3078"/>
      <c r="EMN55" s="3078"/>
      <c r="EMO55" s="3078"/>
      <c r="EMP55" s="3078"/>
      <c r="EMQ55" s="3078"/>
      <c r="EMR55" s="3078"/>
      <c r="EMS55" s="3075" t="s">
        <v>55</v>
      </c>
      <c r="EMT55" s="3078"/>
      <c r="EMU55" s="3078"/>
      <c r="EMV55" s="3078"/>
      <c r="EMW55" s="3078"/>
      <c r="EMX55" s="3078"/>
      <c r="EMY55" s="3078"/>
      <c r="EMZ55" s="3078"/>
      <c r="ENA55" s="3075" t="s">
        <v>55</v>
      </c>
      <c r="ENB55" s="3078"/>
      <c r="ENC55" s="3078"/>
      <c r="END55" s="3078"/>
      <c r="ENE55" s="3078"/>
      <c r="ENF55" s="3078"/>
      <c r="ENG55" s="3078"/>
      <c r="ENH55" s="3078"/>
      <c r="ENI55" s="3075" t="s">
        <v>55</v>
      </c>
      <c r="ENJ55" s="3078"/>
      <c r="ENK55" s="3078"/>
      <c r="ENL55" s="3078"/>
      <c r="ENM55" s="3078"/>
      <c r="ENN55" s="3078"/>
      <c r="ENO55" s="3078"/>
      <c r="ENP55" s="3078"/>
      <c r="ENQ55" s="3075" t="s">
        <v>55</v>
      </c>
      <c r="ENR55" s="3078"/>
      <c r="ENS55" s="3078"/>
      <c r="ENT55" s="3078"/>
      <c r="ENU55" s="3078"/>
      <c r="ENV55" s="3078"/>
      <c r="ENW55" s="3078"/>
      <c r="ENX55" s="3078"/>
      <c r="ENY55" s="3075" t="s">
        <v>55</v>
      </c>
      <c r="ENZ55" s="3078"/>
      <c r="EOA55" s="3078"/>
      <c r="EOB55" s="3078"/>
      <c r="EOC55" s="3078"/>
      <c r="EOD55" s="3078"/>
      <c r="EOE55" s="3078"/>
      <c r="EOF55" s="3078"/>
      <c r="EOG55" s="3075" t="s">
        <v>55</v>
      </c>
      <c r="EOH55" s="3078"/>
      <c r="EOI55" s="3078"/>
      <c r="EOJ55" s="3078"/>
      <c r="EOK55" s="3078"/>
      <c r="EOL55" s="3078"/>
      <c r="EOM55" s="3078"/>
      <c r="EON55" s="3078"/>
      <c r="EOO55" s="3075" t="s">
        <v>55</v>
      </c>
      <c r="EOP55" s="3078"/>
      <c r="EOQ55" s="3078"/>
      <c r="EOR55" s="3078"/>
      <c r="EOS55" s="3078"/>
      <c r="EOT55" s="3078"/>
      <c r="EOU55" s="3078"/>
      <c r="EOV55" s="3078"/>
      <c r="EOW55" s="3075" t="s">
        <v>55</v>
      </c>
      <c r="EOX55" s="3078"/>
      <c r="EOY55" s="3078"/>
      <c r="EOZ55" s="3078"/>
      <c r="EPA55" s="3078"/>
      <c r="EPB55" s="3078"/>
      <c r="EPC55" s="3078"/>
      <c r="EPD55" s="3078"/>
      <c r="EPE55" s="3075" t="s">
        <v>55</v>
      </c>
      <c r="EPF55" s="3078"/>
      <c r="EPG55" s="3078"/>
      <c r="EPH55" s="3078"/>
      <c r="EPI55" s="3078"/>
      <c r="EPJ55" s="3078"/>
      <c r="EPK55" s="3078"/>
      <c r="EPL55" s="3078"/>
      <c r="EPM55" s="3075" t="s">
        <v>55</v>
      </c>
      <c r="EPN55" s="3078"/>
      <c r="EPO55" s="3078"/>
      <c r="EPP55" s="3078"/>
      <c r="EPQ55" s="3078"/>
      <c r="EPR55" s="3078"/>
      <c r="EPS55" s="3078"/>
      <c r="EPT55" s="3078"/>
      <c r="EPU55" s="3075" t="s">
        <v>55</v>
      </c>
      <c r="EPV55" s="3078"/>
      <c r="EPW55" s="3078"/>
      <c r="EPX55" s="3078"/>
      <c r="EPY55" s="3078"/>
      <c r="EPZ55" s="3078"/>
      <c r="EQA55" s="3078"/>
      <c r="EQB55" s="3078"/>
      <c r="EQC55" s="3075" t="s">
        <v>55</v>
      </c>
      <c r="EQD55" s="3078"/>
      <c r="EQE55" s="3078"/>
      <c r="EQF55" s="3078"/>
      <c r="EQG55" s="3078"/>
      <c r="EQH55" s="3078"/>
      <c r="EQI55" s="3078"/>
      <c r="EQJ55" s="3078"/>
      <c r="EQK55" s="3075" t="s">
        <v>55</v>
      </c>
      <c r="EQL55" s="3078"/>
      <c r="EQM55" s="3078"/>
      <c r="EQN55" s="3078"/>
      <c r="EQO55" s="3078"/>
      <c r="EQP55" s="3078"/>
      <c r="EQQ55" s="3078"/>
      <c r="EQR55" s="3078"/>
      <c r="EQS55" s="3075" t="s">
        <v>55</v>
      </c>
      <c r="EQT55" s="3078"/>
      <c r="EQU55" s="3078"/>
      <c r="EQV55" s="3078"/>
      <c r="EQW55" s="3078"/>
      <c r="EQX55" s="3078"/>
      <c r="EQY55" s="3078"/>
      <c r="EQZ55" s="3078"/>
      <c r="ERA55" s="3075" t="s">
        <v>55</v>
      </c>
      <c r="ERB55" s="3078"/>
      <c r="ERC55" s="3078"/>
      <c r="ERD55" s="3078"/>
      <c r="ERE55" s="3078"/>
      <c r="ERF55" s="3078"/>
      <c r="ERG55" s="3078"/>
      <c r="ERH55" s="3078"/>
      <c r="ERI55" s="3075" t="s">
        <v>55</v>
      </c>
      <c r="ERJ55" s="3078"/>
      <c r="ERK55" s="3078"/>
      <c r="ERL55" s="3078"/>
      <c r="ERM55" s="3078"/>
      <c r="ERN55" s="3078"/>
      <c r="ERO55" s="3078"/>
      <c r="ERP55" s="3078"/>
      <c r="ERQ55" s="3075" t="s">
        <v>55</v>
      </c>
      <c r="ERR55" s="3078"/>
      <c r="ERS55" s="3078"/>
      <c r="ERT55" s="3078"/>
      <c r="ERU55" s="3078"/>
      <c r="ERV55" s="3078"/>
      <c r="ERW55" s="3078"/>
      <c r="ERX55" s="3078"/>
      <c r="ERY55" s="3075" t="s">
        <v>55</v>
      </c>
      <c r="ERZ55" s="3078"/>
      <c r="ESA55" s="3078"/>
      <c r="ESB55" s="3078"/>
      <c r="ESC55" s="3078"/>
      <c r="ESD55" s="3078"/>
      <c r="ESE55" s="3078"/>
      <c r="ESF55" s="3078"/>
      <c r="ESG55" s="3075" t="s">
        <v>55</v>
      </c>
      <c r="ESH55" s="3078"/>
      <c r="ESI55" s="3078"/>
      <c r="ESJ55" s="3078"/>
      <c r="ESK55" s="3078"/>
      <c r="ESL55" s="3078"/>
      <c r="ESM55" s="3078"/>
      <c r="ESN55" s="3078"/>
      <c r="ESO55" s="3075" t="s">
        <v>55</v>
      </c>
      <c r="ESP55" s="3078"/>
      <c r="ESQ55" s="3078"/>
      <c r="ESR55" s="3078"/>
      <c r="ESS55" s="3078"/>
      <c r="EST55" s="3078"/>
      <c r="ESU55" s="3078"/>
      <c r="ESV55" s="3078"/>
      <c r="ESW55" s="3075" t="s">
        <v>55</v>
      </c>
      <c r="ESX55" s="3078"/>
      <c r="ESY55" s="3078"/>
      <c r="ESZ55" s="3078"/>
      <c r="ETA55" s="3078"/>
      <c r="ETB55" s="3078"/>
      <c r="ETC55" s="3078"/>
      <c r="ETD55" s="3078"/>
      <c r="ETE55" s="3075" t="s">
        <v>55</v>
      </c>
      <c r="ETF55" s="3078"/>
      <c r="ETG55" s="3078"/>
      <c r="ETH55" s="3078"/>
      <c r="ETI55" s="3078"/>
      <c r="ETJ55" s="3078"/>
      <c r="ETK55" s="3078"/>
      <c r="ETL55" s="3078"/>
      <c r="ETM55" s="3075" t="s">
        <v>55</v>
      </c>
      <c r="ETN55" s="3078"/>
      <c r="ETO55" s="3078"/>
      <c r="ETP55" s="3078"/>
      <c r="ETQ55" s="3078"/>
      <c r="ETR55" s="3078"/>
      <c r="ETS55" s="3078"/>
      <c r="ETT55" s="3078"/>
      <c r="ETU55" s="3075" t="s">
        <v>55</v>
      </c>
      <c r="ETV55" s="3078"/>
      <c r="ETW55" s="3078"/>
      <c r="ETX55" s="3078"/>
      <c r="ETY55" s="3078"/>
      <c r="ETZ55" s="3078"/>
      <c r="EUA55" s="3078"/>
      <c r="EUB55" s="3078"/>
      <c r="EUC55" s="3075" t="s">
        <v>55</v>
      </c>
      <c r="EUD55" s="3078"/>
      <c r="EUE55" s="3078"/>
      <c r="EUF55" s="3078"/>
      <c r="EUG55" s="3078"/>
      <c r="EUH55" s="3078"/>
      <c r="EUI55" s="3078"/>
      <c r="EUJ55" s="3078"/>
      <c r="EUK55" s="3075" t="s">
        <v>55</v>
      </c>
      <c r="EUL55" s="3078"/>
      <c r="EUM55" s="3078"/>
      <c r="EUN55" s="3078"/>
      <c r="EUO55" s="3078"/>
      <c r="EUP55" s="3078"/>
      <c r="EUQ55" s="3078"/>
      <c r="EUR55" s="3078"/>
      <c r="EUS55" s="3075" t="s">
        <v>55</v>
      </c>
      <c r="EUT55" s="3078"/>
      <c r="EUU55" s="3078"/>
      <c r="EUV55" s="3078"/>
      <c r="EUW55" s="3078"/>
      <c r="EUX55" s="3078"/>
      <c r="EUY55" s="3078"/>
      <c r="EUZ55" s="3078"/>
      <c r="EVA55" s="3075" t="s">
        <v>55</v>
      </c>
      <c r="EVB55" s="3078"/>
      <c r="EVC55" s="3078"/>
      <c r="EVD55" s="3078"/>
      <c r="EVE55" s="3078"/>
      <c r="EVF55" s="3078"/>
      <c r="EVG55" s="3078"/>
      <c r="EVH55" s="3078"/>
      <c r="EVI55" s="3075" t="s">
        <v>55</v>
      </c>
      <c r="EVJ55" s="3078"/>
      <c r="EVK55" s="3078"/>
      <c r="EVL55" s="3078"/>
      <c r="EVM55" s="3078"/>
      <c r="EVN55" s="3078"/>
      <c r="EVO55" s="3078"/>
      <c r="EVP55" s="3078"/>
      <c r="EVQ55" s="3075" t="s">
        <v>55</v>
      </c>
      <c r="EVR55" s="3078"/>
      <c r="EVS55" s="3078"/>
      <c r="EVT55" s="3078"/>
      <c r="EVU55" s="3078"/>
      <c r="EVV55" s="3078"/>
      <c r="EVW55" s="3078"/>
      <c r="EVX55" s="3078"/>
      <c r="EVY55" s="3075" t="s">
        <v>55</v>
      </c>
      <c r="EVZ55" s="3078"/>
      <c r="EWA55" s="3078"/>
      <c r="EWB55" s="3078"/>
      <c r="EWC55" s="3078"/>
      <c r="EWD55" s="3078"/>
      <c r="EWE55" s="3078"/>
      <c r="EWF55" s="3078"/>
      <c r="EWG55" s="3075" t="s">
        <v>55</v>
      </c>
      <c r="EWH55" s="3078"/>
      <c r="EWI55" s="3078"/>
      <c r="EWJ55" s="3078"/>
      <c r="EWK55" s="3078"/>
      <c r="EWL55" s="3078"/>
      <c r="EWM55" s="3078"/>
      <c r="EWN55" s="3078"/>
      <c r="EWO55" s="3075" t="s">
        <v>55</v>
      </c>
      <c r="EWP55" s="3078"/>
      <c r="EWQ55" s="3078"/>
      <c r="EWR55" s="3078"/>
      <c r="EWS55" s="3078"/>
      <c r="EWT55" s="3078"/>
      <c r="EWU55" s="3078"/>
      <c r="EWV55" s="3078"/>
      <c r="EWW55" s="3075" t="s">
        <v>55</v>
      </c>
      <c r="EWX55" s="3078"/>
      <c r="EWY55" s="3078"/>
      <c r="EWZ55" s="3078"/>
      <c r="EXA55" s="3078"/>
      <c r="EXB55" s="3078"/>
      <c r="EXC55" s="3078"/>
      <c r="EXD55" s="3078"/>
      <c r="EXE55" s="3075" t="s">
        <v>55</v>
      </c>
      <c r="EXF55" s="3078"/>
      <c r="EXG55" s="3078"/>
      <c r="EXH55" s="3078"/>
      <c r="EXI55" s="3078"/>
      <c r="EXJ55" s="3078"/>
      <c r="EXK55" s="3078"/>
      <c r="EXL55" s="3078"/>
      <c r="EXM55" s="3075" t="s">
        <v>55</v>
      </c>
      <c r="EXN55" s="3078"/>
      <c r="EXO55" s="3078"/>
      <c r="EXP55" s="3078"/>
      <c r="EXQ55" s="3078"/>
      <c r="EXR55" s="3078"/>
      <c r="EXS55" s="3078"/>
      <c r="EXT55" s="3078"/>
      <c r="EXU55" s="3075" t="s">
        <v>55</v>
      </c>
      <c r="EXV55" s="3078"/>
      <c r="EXW55" s="3078"/>
      <c r="EXX55" s="3078"/>
      <c r="EXY55" s="3078"/>
      <c r="EXZ55" s="3078"/>
      <c r="EYA55" s="3078"/>
      <c r="EYB55" s="3078"/>
      <c r="EYC55" s="3075" t="s">
        <v>55</v>
      </c>
      <c r="EYD55" s="3078"/>
      <c r="EYE55" s="3078"/>
      <c r="EYF55" s="3078"/>
      <c r="EYG55" s="3078"/>
      <c r="EYH55" s="3078"/>
      <c r="EYI55" s="3078"/>
      <c r="EYJ55" s="3078"/>
      <c r="EYK55" s="3075" t="s">
        <v>55</v>
      </c>
      <c r="EYL55" s="3078"/>
      <c r="EYM55" s="3078"/>
      <c r="EYN55" s="3078"/>
      <c r="EYO55" s="3078"/>
      <c r="EYP55" s="3078"/>
      <c r="EYQ55" s="3078"/>
      <c r="EYR55" s="3078"/>
      <c r="EYS55" s="3075" t="s">
        <v>55</v>
      </c>
      <c r="EYT55" s="3078"/>
      <c r="EYU55" s="3078"/>
      <c r="EYV55" s="3078"/>
      <c r="EYW55" s="3078"/>
      <c r="EYX55" s="3078"/>
      <c r="EYY55" s="3078"/>
      <c r="EYZ55" s="3078"/>
      <c r="EZA55" s="3075" t="s">
        <v>55</v>
      </c>
      <c r="EZB55" s="3078"/>
      <c r="EZC55" s="3078"/>
      <c r="EZD55" s="3078"/>
      <c r="EZE55" s="3078"/>
      <c r="EZF55" s="3078"/>
      <c r="EZG55" s="3078"/>
      <c r="EZH55" s="3078"/>
      <c r="EZI55" s="3075" t="s">
        <v>55</v>
      </c>
      <c r="EZJ55" s="3078"/>
      <c r="EZK55" s="3078"/>
      <c r="EZL55" s="3078"/>
      <c r="EZM55" s="3078"/>
      <c r="EZN55" s="3078"/>
      <c r="EZO55" s="3078"/>
      <c r="EZP55" s="3078"/>
      <c r="EZQ55" s="3075" t="s">
        <v>55</v>
      </c>
      <c r="EZR55" s="3078"/>
      <c r="EZS55" s="3078"/>
      <c r="EZT55" s="3078"/>
      <c r="EZU55" s="3078"/>
      <c r="EZV55" s="3078"/>
      <c r="EZW55" s="3078"/>
      <c r="EZX55" s="3078"/>
      <c r="EZY55" s="3075" t="s">
        <v>55</v>
      </c>
      <c r="EZZ55" s="3078"/>
      <c r="FAA55" s="3078"/>
      <c r="FAB55" s="3078"/>
      <c r="FAC55" s="3078"/>
      <c r="FAD55" s="3078"/>
      <c r="FAE55" s="3078"/>
      <c r="FAF55" s="3078"/>
      <c r="FAG55" s="3075" t="s">
        <v>55</v>
      </c>
      <c r="FAH55" s="3078"/>
      <c r="FAI55" s="3078"/>
      <c r="FAJ55" s="3078"/>
      <c r="FAK55" s="3078"/>
      <c r="FAL55" s="3078"/>
      <c r="FAM55" s="3078"/>
      <c r="FAN55" s="3078"/>
      <c r="FAO55" s="3075" t="s">
        <v>55</v>
      </c>
      <c r="FAP55" s="3078"/>
      <c r="FAQ55" s="3078"/>
      <c r="FAR55" s="3078"/>
      <c r="FAS55" s="3078"/>
      <c r="FAT55" s="3078"/>
      <c r="FAU55" s="3078"/>
      <c r="FAV55" s="3078"/>
      <c r="FAW55" s="3075" t="s">
        <v>55</v>
      </c>
      <c r="FAX55" s="3078"/>
      <c r="FAY55" s="3078"/>
      <c r="FAZ55" s="3078"/>
      <c r="FBA55" s="3078"/>
      <c r="FBB55" s="3078"/>
      <c r="FBC55" s="3078"/>
      <c r="FBD55" s="3078"/>
      <c r="FBE55" s="3075" t="s">
        <v>55</v>
      </c>
      <c r="FBF55" s="3078"/>
      <c r="FBG55" s="3078"/>
      <c r="FBH55" s="3078"/>
      <c r="FBI55" s="3078"/>
      <c r="FBJ55" s="3078"/>
      <c r="FBK55" s="3078"/>
      <c r="FBL55" s="3078"/>
      <c r="FBM55" s="3075" t="s">
        <v>55</v>
      </c>
      <c r="FBN55" s="3078"/>
      <c r="FBO55" s="3078"/>
      <c r="FBP55" s="3078"/>
      <c r="FBQ55" s="3078"/>
      <c r="FBR55" s="3078"/>
      <c r="FBS55" s="3078"/>
      <c r="FBT55" s="3078"/>
      <c r="FBU55" s="3075" t="s">
        <v>55</v>
      </c>
      <c r="FBV55" s="3078"/>
      <c r="FBW55" s="3078"/>
      <c r="FBX55" s="3078"/>
      <c r="FBY55" s="3078"/>
      <c r="FBZ55" s="3078"/>
      <c r="FCA55" s="3078"/>
      <c r="FCB55" s="3078"/>
      <c r="FCC55" s="3075" t="s">
        <v>55</v>
      </c>
      <c r="FCD55" s="3078"/>
      <c r="FCE55" s="3078"/>
      <c r="FCF55" s="3078"/>
      <c r="FCG55" s="3078"/>
      <c r="FCH55" s="3078"/>
      <c r="FCI55" s="3078"/>
      <c r="FCJ55" s="3078"/>
      <c r="FCK55" s="3075" t="s">
        <v>55</v>
      </c>
      <c r="FCL55" s="3078"/>
      <c r="FCM55" s="3078"/>
      <c r="FCN55" s="3078"/>
      <c r="FCO55" s="3078"/>
      <c r="FCP55" s="3078"/>
      <c r="FCQ55" s="3078"/>
      <c r="FCR55" s="3078"/>
      <c r="FCS55" s="3075" t="s">
        <v>55</v>
      </c>
      <c r="FCT55" s="3078"/>
      <c r="FCU55" s="3078"/>
      <c r="FCV55" s="3078"/>
      <c r="FCW55" s="3078"/>
      <c r="FCX55" s="3078"/>
      <c r="FCY55" s="3078"/>
      <c r="FCZ55" s="3078"/>
      <c r="FDA55" s="3075" t="s">
        <v>55</v>
      </c>
      <c r="FDB55" s="3078"/>
      <c r="FDC55" s="3078"/>
      <c r="FDD55" s="3078"/>
      <c r="FDE55" s="3078"/>
      <c r="FDF55" s="3078"/>
      <c r="FDG55" s="3078"/>
      <c r="FDH55" s="3078"/>
      <c r="FDI55" s="3075" t="s">
        <v>55</v>
      </c>
      <c r="FDJ55" s="3078"/>
      <c r="FDK55" s="3078"/>
      <c r="FDL55" s="3078"/>
      <c r="FDM55" s="3078"/>
      <c r="FDN55" s="3078"/>
      <c r="FDO55" s="3078"/>
      <c r="FDP55" s="3078"/>
      <c r="FDQ55" s="3075" t="s">
        <v>55</v>
      </c>
      <c r="FDR55" s="3078"/>
      <c r="FDS55" s="3078"/>
      <c r="FDT55" s="3078"/>
      <c r="FDU55" s="3078"/>
      <c r="FDV55" s="3078"/>
      <c r="FDW55" s="3078"/>
      <c r="FDX55" s="3078"/>
      <c r="FDY55" s="3075" t="s">
        <v>55</v>
      </c>
      <c r="FDZ55" s="3078"/>
      <c r="FEA55" s="3078"/>
      <c r="FEB55" s="3078"/>
      <c r="FEC55" s="3078"/>
      <c r="FED55" s="3078"/>
      <c r="FEE55" s="3078"/>
      <c r="FEF55" s="3078"/>
      <c r="FEG55" s="3075" t="s">
        <v>55</v>
      </c>
      <c r="FEH55" s="3078"/>
      <c r="FEI55" s="3078"/>
      <c r="FEJ55" s="3078"/>
      <c r="FEK55" s="3078"/>
      <c r="FEL55" s="3078"/>
      <c r="FEM55" s="3078"/>
      <c r="FEN55" s="3078"/>
      <c r="FEO55" s="3075" t="s">
        <v>55</v>
      </c>
      <c r="FEP55" s="3078"/>
      <c r="FEQ55" s="3078"/>
      <c r="FER55" s="3078"/>
      <c r="FES55" s="3078"/>
      <c r="FET55" s="3078"/>
      <c r="FEU55" s="3078"/>
      <c r="FEV55" s="3078"/>
      <c r="FEW55" s="3075" t="s">
        <v>55</v>
      </c>
      <c r="FEX55" s="3078"/>
      <c r="FEY55" s="3078"/>
      <c r="FEZ55" s="3078"/>
      <c r="FFA55" s="3078"/>
      <c r="FFB55" s="3078"/>
      <c r="FFC55" s="3078"/>
      <c r="FFD55" s="3078"/>
      <c r="FFE55" s="3075" t="s">
        <v>55</v>
      </c>
      <c r="FFF55" s="3078"/>
      <c r="FFG55" s="3078"/>
      <c r="FFH55" s="3078"/>
      <c r="FFI55" s="3078"/>
      <c r="FFJ55" s="3078"/>
      <c r="FFK55" s="3078"/>
      <c r="FFL55" s="3078"/>
      <c r="FFM55" s="3075" t="s">
        <v>55</v>
      </c>
      <c r="FFN55" s="3078"/>
      <c r="FFO55" s="3078"/>
      <c r="FFP55" s="3078"/>
      <c r="FFQ55" s="3078"/>
      <c r="FFR55" s="3078"/>
      <c r="FFS55" s="3078"/>
      <c r="FFT55" s="3078"/>
      <c r="FFU55" s="3075" t="s">
        <v>55</v>
      </c>
      <c r="FFV55" s="3078"/>
      <c r="FFW55" s="3078"/>
      <c r="FFX55" s="3078"/>
      <c r="FFY55" s="3078"/>
      <c r="FFZ55" s="3078"/>
      <c r="FGA55" s="3078"/>
      <c r="FGB55" s="3078"/>
      <c r="FGC55" s="3075" t="s">
        <v>55</v>
      </c>
      <c r="FGD55" s="3078"/>
      <c r="FGE55" s="3078"/>
      <c r="FGF55" s="3078"/>
      <c r="FGG55" s="3078"/>
      <c r="FGH55" s="3078"/>
      <c r="FGI55" s="3078"/>
      <c r="FGJ55" s="3078"/>
      <c r="FGK55" s="3075" t="s">
        <v>55</v>
      </c>
      <c r="FGL55" s="3078"/>
      <c r="FGM55" s="3078"/>
      <c r="FGN55" s="3078"/>
      <c r="FGO55" s="3078"/>
      <c r="FGP55" s="3078"/>
      <c r="FGQ55" s="3078"/>
      <c r="FGR55" s="3078"/>
      <c r="FGS55" s="3075" t="s">
        <v>55</v>
      </c>
      <c r="FGT55" s="3078"/>
      <c r="FGU55" s="3078"/>
      <c r="FGV55" s="3078"/>
      <c r="FGW55" s="3078"/>
      <c r="FGX55" s="3078"/>
      <c r="FGY55" s="3078"/>
      <c r="FGZ55" s="3078"/>
      <c r="FHA55" s="3075" t="s">
        <v>55</v>
      </c>
      <c r="FHB55" s="3078"/>
      <c r="FHC55" s="3078"/>
      <c r="FHD55" s="3078"/>
      <c r="FHE55" s="3078"/>
      <c r="FHF55" s="3078"/>
      <c r="FHG55" s="3078"/>
      <c r="FHH55" s="3078"/>
      <c r="FHI55" s="3075" t="s">
        <v>55</v>
      </c>
      <c r="FHJ55" s="3078"/>
      <c r="FHK55" s="3078"/>
      <c r="FHL55" s="3078"/>
      <c r="FHM55" s="3078"/>
      <c r="FHN55" s="3078"/>
      <c r="FHO55" s="3078"/>
      <c r="FHP55" s="3078"/>
      <c r="FHQ55" s="3075" t="s">
        <v>55</v>
      </c>
      <c r="FHR55" s="3078"/>
      <c r="FHS55" s="3078"/>
      <c r="FHT55" s="3078"/>
      <c r="FHU55" s="3078"/>
      <c r="FHV55" s="3078"/>
      <c r="FHW55" s="3078"/>
      <c r="FHX55" s="3078"/>
      <c r="FHY55" s="3075" t="s">
        <v>55</v>
      </c>
      <c r="FHZ55" s="3078"/>
      <c r="FIA55" s="3078"/>
      <c r="FIB55" s="3078"/>
      <c r="FIC55" s="3078"/>
      <c r="FID55" s="3078"/>
      <c r="FIE55" s="3078"/>
      <c r="FIF55" s="3078"/>
      <c r="FIG55" s="3075" t="s">
        <v>55</v>
      </c>
      <c r="FIH55" s="3078"/>
      <c r="FII55" s="3078"/>
      <c r="FIJ55" s="3078"/>
      <c r="FIK55" s="3078"/>
      <c r="FIL55" s="3078"/>
      <c r="FIM55" s="3078"/>
      <c r="FIN55" s="3078"/>
      <c r="FIO55" s="3075" t="s">
        <v>55</v>
      </c>
      <c r="FIP55" s="3078"/>
      <c r="FIQ55" s="3078"/>
      <c r="FIR55" s="3078"/>
      <c r="FIS55" s="3078"/>
      <c r="FIT55" s="3078"/>
      <c r="FIU55" s="3078"/>
      <c r="FIV55" s="3078"/>
      <c r="FIW55" s="3075" t="s">
        <v>55</v>
      </c>
      <c r="FIX55" s="3078"/>
      <c r="FIY55" s="3078"/>
      <c r="FIZ55" s="3078"/>
      <c r="FJA55" s="3078"/>
      <c r="FJB55" s="3078"/>
      <c r="FJC55" s="3078"/>
      <c r="FJD55" s="3078"/>
      <c r="FJE55" s="3075" t="s">
        <v>55</v>
      </c>
      <c r="FJF55" s="3078"/>
      <c r="FJG55" s="3078"/>
      <c r="FJH55" s="3078"/>
      <c r="FJI55" s="3078"/>
      <c r="FJJ55" s="3078"/>
      <c r="FJK55" s="3078"/>
      <c r="FJL55" s="3078"/>
      <c r="FJM55" s="3075" t="s">
        <v>55</v>
      </c>
      <c r="FJN55" s="3078"/>
      <c r="FJO55" s="3078"/>
      <c r="FJP55" s="3078"/>
      <c r="FJQ55" s="3078"/>
      <c r="FJR55" s="3078"/>
      <c r="FJS55" s="3078"/>
      <c r="FJT55" s="3078"/>
      <c r="FJU55" s="3075" t="s">
        <v>55</v>
      </c>
      <c r="FJV55" s="3078"/>
      <c r="FJW55" s="3078"/>
      <c r="FJX55" s="3078"/>
      <c r="FJY55" s="3078"/>
      <c r="FJZ55" s="3078"/>
      <c r="FKA55" s="3078"/>
      <c r="FKB55" s="3078"/>
      <c r="FKC55" s="3075" t="s">
        <v>55</v>
      </c>
      <c r="FKD55" s="3078"/>
      <c r="FKE55" s="3078"/>
      <c r="FKF55" s="3078"/>
      <c r="FKG55" s="3078"/>
      <c r="FKH55" s="3078"/>
      <c r="FKI55" s="3078"/>
      <c r="FKJ55" s="3078"/>
      <c r="FKK55" s="3075" t="s">
        <v>55</v>
      </c>
      <c r="FKL55" s="3078"/>
      <c r="FKM55" s="3078"/>
      <c r="FKN55" s="3078"/>
      <c r="FKO55" s="3078"/>
      <c r="FKP55" s="3078"/>
      <c r="FKQ55" s="3078"/>
      <c r="FKR55" s="3078"/>
      <c r="FKS55" s="3075" t="s">
        <v>55</v>
      </c>
      <c r="FKT55" s="3078"/>
      <c r="FKU55" s="3078"/>
      <c r="FKV55" s="3078"/>
      <c r="FKW55" s="3078"/>
      <c r="FKX55" s="3078"/>
      <c r="FKY55" s="3078"/>
      <c r="FKZ55" s="3078"/>
      <c r="FLA55" s="3075" t="s">
        <v>55</v>
      </c>
      <c r="FLB55" s="3078"/>
      <c r="FLC55" s="3078"/>
      <c r="FLD55" s="3078"/>
      <c r="FLE55" s="3078"/>
      <c r="FLF55" s="3078"/>
      <c r="FLG55" s="3078"/>
      <c r="FLH55" s="3078"/>
      <c r="FLI55" s="3075" t="s">
        <v>55</v>
      </c>
      <c r="FLJ55" s="3078"/>
      <c r="FLK55" s="3078"/>
      <c r="FLL55" s="3078"/>
      <c r="FLM55" s="3078"/>
      <c r="FLN55" s="3078"/>
      <c r="FLO55" s="3078"/>
      <c r="FLP55" s="3078"/>
      <c r="FLQ55" s="3075" t="s">
        <v>55</v>
      </c>
      <c r="FLR55" s="3078"/>
      <c r="FLS55" s="3078"/>
      <c r="FLT55" s="3078"/>
      <c r="FLU55" s="3078"/>
      <c r="FLV55" s="3078"/>
      <c r="FLW55" s="3078"/>
      <c r="FLX55" s="3078"/>
      <c r="FLY55" s="3075" t="s">
        <v>55</v>
      </c>
      <c r="FLZ55" s="3078"/>
      <c r="FMA55" s="3078"/>
      <c r="FMB55" s="3078"/>
      <c r="FMC55" s="3078"/>
      <c r="FMD55" s="3078"/>
      <c r="FME55" s="3078"/>
      <c r="FMF55" s="3078"/>
      <c r="FMG55" s="3075" t="s">
        <v>55</v>
      </c>
      <c r="FMH55" s="3078"/>
      <c r="FMI55" s="3078"/>
      <c r="FMJ55" s="3078"/>
      <c r="FMK55" s="3078"/>
      <c r="FML55" s="3078"/>
      <c r="FMM55" s="3078"/>
      <c r="FMN55" s="3078"/>
      <c r="FMO55" s="3075" t="s">
        <v>55</v>
      </c>
      <c r="FMP55" s="3078"/>
      <c r="FMQ55" s="3078"/>
      <c r="FMR55" s="3078"/>
      <c r="FMS55" s="3078"/>
      <c r="FMT55" s="3078"/>
      <c r="FMU55" s="3078"/>
      <c r="FMV55" s="3078"/>
      <c r="FMW55" s="3075" t="s">
        <v>55</v>
      </c>
      <c r="FMX55" s="3078"/>
      <c r="FMY55" s="3078"/>
      <c r="FMZ55" s="3078"/>
      <c r="FNA55" s="3078"/>
      <c r="FNB55" s="3078"/>
      <c r="FNC55" s="3078"/>
      <c r="FND55" s="3078"/>
      <c r="FNE55" s="3075" t="s">
        <v>55</v>
      </c>
      <c r="FNF55" s="3078"/>
      <c r="FNG55" s="3078"/>
      <c r="FNH55" s="3078"/>
      <c r="FNI55" s="3078"/>
      <c r="FNJ55" s="3078"/>
      <c r="FNK55" s="3078"/>
      <c r="FNL55" s="3078"/>
      <c r="FNM55" s="3075" t="s">
        <v>55</v>
      </c>
      <c r="FNN55" s="3078"/>
      <c r="FNO55" s="3078"/>
      <c r="FNP55" s="3078"/>
      <c r="FNQ55" s="3078"/>
      <c r="FNR55" s="3078"/>
      <c r="FNS55" s="3078"/>
      <c r="FNT55" s="3078"/>
      <c r="FNU55" s="3075" t="s">
        <v>55</v>
      </c>
      <c r="FNV55" s="3078"/>
      <c r="FNW55" s="3078"/>
      <c r="FNX55" s="3078"/>
      <c r="FNY55" s="3078"/>
      <c r="FNZ55" s="3078"/>
      <c r="FOA55" s="3078"/>
      <c r="FOB55" s="3078"/>
      <c r="FOC55" s="3075" t="s">
        <v>55</v>
      </c>
      <c r="FOD55" s="3078"/>
      <c r="FOE55" s="3078"/>
      <c r="FOF55" s="3078"/>
      <c r="FOG55" s="3078"/>
      <c r="FOH55" s="3078"/>
      <c r="FOI55" s="3078"/>
      <c r="FOJ55" s="3078"/>
      <c r="FOK55" s="3075" t="s">
        <v>55</v>
      </c>
      <c r="FOL55" s="3078"/>
      <c r="FOM55" s="3078"/>
      <c r="FON55" s="3078"/>
      <c r="FOO55" s="3078"/>
      <c r="FOP55" s="3078"/>
      <c r="FOQ55" s="3078"/>
      <c r="FOR55" s="3078"/>
      <c r="FOS55" s="3075" t="s">
        <v>55</v>
      </c>
      <c r="FOT55" s="3078"/>
      <c r="FOU55" s="3078"/>
      <c r="FOV55" s="3078"/>
      <c r="FOW55" s="3078"/>
      <c r="FOX55" s="3078"/>
      <c r="FOY55" s="3078"/>
      <c r="FOZ55" s="3078"/>
      <c r="FPA55" s="3075" t="s">
        <v>55</v>
      </c>
      <c r="FPB55" s="3078"/>
      <c r="FPC55" s="3078"/>
      <c r="FPD55" s="3078"/>
      <c r="FPE55" s="3078"/>
      <c r="FPF55" s="3078"/>
      <c r="FPG55" s="3078"/>
      <c r="FPH55" s="3078"/>
      <c r="FPI55" s="3075" t="s">
        <v>55</v>
      </c>
      <c r="FPJ55" s="3078"/>
      <c r="FPK55" s="3078"/>
      <c r="FPL55" s="3078"/>
      <c r="FPM55" s="3078"/>
      <c r="FPN55" s="3078"/>
      <c r="FPO55" s="3078"/>
      <c r="FPP55" s="3078"/>
      <c r="FPQ55" s="3075" t="s">
        <v>55</v>
      </c>
      <c r="FPR55" s="3078"/>
      <c r="FPS55" s="3078"/>
      <c r="FPT55" s="3078"/>
      <c r="FPU55" s="3078"/>
      <c r="FPV55" s="3078"/>
      <c r="FPW55" s="3078"/>
      <c r="FPX55" s="3078"/>
      <c r="FPY55" s="3075" t="s">
        <v>55</v>
      </c>
      <c r="FPZ55" s="3078"/>
      <c r="FQA55" s="3078"/>
      <c r="FQB55" s="3078"/>
      <c r="FQC55" s="3078"/>
      <c r="FQD55" s="3078"/>
      <c r="FQE55" s="3078"/>
      <c r="FQF55" s="3078"/>
      <c r="FQG55" s="3075" t="s">
        <v>55</v>
      </c>
      <c r="FQH55" s="3078"/>
      <c r="FQI55" s="3078"/>
      <c r="FQJ55" s="3078"/>
      <c r="FQK55" s="3078"/>
      <c r="FQL55" s="3078"/>
      <c r="FQM55" s="3078"/>
      <c r="FQN55" s="3078"/>
      <c r="FQO55" s="3075" t="s">
        <v>55</v>
      </c>
      <c r="FQP55" s="3078"/>
      <c r="FQQ55" s="3078"/>
      <c r="FQR55" s="3078"/>
      <c r="FQS55" s="3078"/>
      <c r="FQT55" s="3078"/>
      <c r="FQU55" s="3078"/>
      <c r="FQV55" s="3078"/>
      <c r="FQW55" s="3075" t="s">
        <v>55</v>
      </c>
      <c r="FQX55" s="3078"/>
      <c r="FQY55" s="3078"/>
      <c r="FQZ55" s="3078"/>
      <c r="FRA55" s="3078"/>
      <c r="FRB55" s="3078"/>
      <c r="FRC55" s="3078"/>
      <c r="FRD55" s="3078"/>
      <c r="FRE55" s="3075" t="s">
        <v>55</v>
      </c>
      <c r="FRF55" s="3078"/>
      <c r="FRG55" s="3078"/>
      <c r="FRH55" s="3078"/>
      <c r="FRI55" s="3078"/>
      <c r="FRJ55" s="3078"/>
      <c r="FRK55" s="3078"/>
      <c r="FRL55" s="3078"/>
      <c r="FRM55" s="3075" t="s">
        <v>55</v>
      </c>
      <c r="FRN55" s="3078"/>
      <c r="FRO55" s="3078"/>
      <c r="FRP55" s="3078"/>
      <c r="FRQ55" s="3078"/>
      <c r="FRR55" s="3078"/>
      <c r="FRS55" s="3078"/>
      <c r="FRT55" s="3078"/>
      <c r="FRU55" s="3075" t="s">
        <v>55</v>
      </c>
      <c r="FRV55" s="3078"/>
      <c r="FRW55" s="3078"/>
      <c r="FRX55" s="3078"/>
      <c r="FRY55" s="3078"/>
      <c r="FRZ55" s="3078"/>
      <c r="FSA55" s="3078"/>
      <c r="FSB55" s="3078"/>
      <c r="FSC55" s="3075" t="s">
        <v>55</v>
      </c>
      <c r="FSD55" s="3078"/>
      <c r="FSE55" s="3078"/>
      <c r="FSF55" s="3078"/>
      <c r="FSG55" s="3078"/>
      <c r="FSH55" s="3078"/>
      <c r="FSI55" s="3078"/>
      <c r="FSJ55" s="3078"/>
      <c r="FSK55" s="3075" t="s">
        <v>55</v>
      </c>
      <c r="FSL55" s="3078"/>
      <c r="FSM55" s="3078"/>
      <c r="FSN55" s="3078"/>
      <c r="FSO55" s="3078"/>
      <c r="FSP55" s="3078"/>
      <c r="FSQ55" s="3078"/>
      <c r="FSR55" s="3078"/>
      <c r="FSS55" s="3075" t="s">
        <v>55</v>
      </c>
      <c r="FST55" s="3078"/>
      <c r="FSU55" s="3078"/>
      <c r="FSV55" s="3078"/>
      <c r="FSW55" s="3078"/>
      <c r="FSX55" s="3078"/>
      <c r="FSY55" s="3078"/>
      <c r="FSZ55" s="3078"/>
      <c r="FTA55" s="3075" t="s">
        <v>55</v>
      </c>
      <c r="FTB55" s="3078"/>
      <c r="FTC55" s="3078"/>
      <c r="FTD55" s="3078"/>
      <c r="FTE55" s="3078"/>
      <c r="FTF55" s="3078"/>
      <c r="FTG55" s="3078"/>
      <c r="FTH55" s="3078"/>
      <c r="FTI55" s="3075" t="s">
        <v>55</v>
      </c>
      <c r="FTJ55" s="3078"/>
      <c r="FTK55" s="3078"/>
      <c r="FTL55" s="3078"/>
      <c r="FTM55" s="3078"/>
      <c r="FTN55" s="3078"/>
      <c r="FTO55" s="3078"/>
      <c r="FTP55" s="3078"/>
      <c r="FTQ55" s="3075" t="s">
        <v>55</v>
      </c>
      <c r="FTR55" s="3078"/>
      <c r="FTS55" s="3078"/>
      <c r="FTT55" s="3078"/>
      <c r="FTU55" s="3078"/>
      <c r="FTV55" s="3078"/>
      <c r="FTW55" s="3078"/>
      <c r="FTX55" s="3078"/>
      <c r="FTY55" s="3075" t="s">
        <v>55</v>
      </c>
      <c r="FTZ55" s="3078"/>
      <c r="FUA55" s="3078"/>
      <c r="FUB55" s="3078"/>
      <c r="FUC55" s="3078"/>
      <c r="FUD55" s="3078"/>
      <c r="FUE55" s="3078"/>
      <c r="FUF55" s="3078"/>
      <c r="FUG55" s="3075" t="s">
        <v>55</v>
      </c>
      <c r="FUH55" s="3078"/>
      <c r="FUI55" s="3078"/>
      <c r="FUJ55" s="3078"/>
      <c r="FUK55" s="3078"/>
      <c r="FUL55" s="3078"/>
      <c r="FUM55" s="3078"/>
      <c r="FUN55" s="3078"/>
      <c r="FUO55" s="3075" t="s">
        <v>55</v>
      </c>
      <c r="FUP55" s="3078"/>
      <c r="FUQ55" s="3078"/>
      <c r="FUR55" s="3078"/>
      <c r="FUS55" s="3078"/>
      <c r="FUT55" s="3078"/>
      <c r="FUU55" s="3078"/>
      <c r="FUV55" s="3078"/>
      <c r="FUW55" s="3075" t="s">
        <v>55</v>
      </c>
      <c r="FUX55" s="3078"/>
      <c r="FUY55" s="3078"/>
      <c r="FUZ55" s="3078"/>
      <c r="FVA55" s="3078"/>
      <c r="FVB55" s="3078"/>
      <c r="FVC55" s="3078"/>
      <c r="FVD55" s="3078"/>
      <c r="FVE55" s="3075" t="s">
        <v>55</v>
      </c>
      <c r="FVF55" s="3078"/>
      <c r="FVG55" s="3078"/>
      <c r="FVH55" s="3078"/>
      <c r="FVI55" s="3078"/>
      <c r="FVJ55" s="3078"/>
      <c r="FVK55" s="3078"/>
      <c r="FVL55" s="3078"/>
      <c r="FVM55" s="3075" t="s">
        <v>55</v>
      </c>
      <c r="FVN55" s="3078"/>
      <c r="FVO55" s="3078"/>
      <c r="FVP55" s="3078"/>
      <c r="FVQ55" s="3078"/>
      <c r="FVR55" s="3078"/>
      <c r="FVS55" s="3078"/>
      <c r="FVT55" s="3078"/>
      <c r="FVU55" s="3075" t="s">
        <v>55</v>
      </c>
      <c r="FVV55" s="3078"/>
      <c r="FVW55" s="3078"/>
      <c r="FVX55" s="3078"/>
      <c r="FVY55" s="3078"/>
      <c r="FVZ55" s="3078"/>
      <c r="FWA55" s="3078"/>
      <c r="FWB55" s="3078"/>
      <c r="FWC55" s="3075" t="s">
        <v>55</v>
      </c>
      <c r="FWD55" s="3078"/>
      <c r="FWE55" s="3078"/>
      <c r="FWF55" s="3078"/>
      <c r="FWG55" s="3078"/>
      <c r="FWH55" s="3078"/>
      <c r="FWI55" s="3078"/>
      <c r="FWJ55" s="3078"/>
      <c r="FWK55" s="3075" t="s">
        <v>55</v>
      </c>
      <c r="FWL55" s="3078"/>
      <c r="FWM55" s="3078"/>
      <c r="FWN55" s="3078"/>
      <c r="FWO55" s="3078"/>
      <c r="FWP55" s="3078"/>
      <c r="FWQ55" s="3078"/>
      <c r="FWR55" s="3078"/>
      <c r="FWS55" s="3075" t="s">
        <v>55</v>
      </c>
      <c r="FWT55" s="3078"/>
      <c r="FWU55" s="3078"/>
      <c r="FWV55" s="3078"/>
      <c r="FWW55" s="3078"/>
      <c r="FWX55" s="3078"/>
      <c r="FWY55" s="3078"/>
      <c r="FWZ55" s="3078"/>
      <c r="FXA55" s="3075" t="s">
        <v>55</v>
      </c>
      <c r="FXB55" s="3078"/>
      <c r="FXC55" s="3078"/>
      <c r="FXD55" s="3078"/>
      <c r="FXE55" s="3078"/>
      <c r="FXF55" s="3078"/>
      <c r="FXG55" s="3078"/>
      <c r="FXH55" s="3078"/>
      <c r="FXI55" s="3075" t="s">
        <v>55</v>
      </c>
      <c r="FXJ55" s="3078"/>
      <c r="FXK55" s="3078"/>
      <c r="FXL55" s="3078"/>
      <c r="FXM55" s="3078"/>
      <c r="FXN55" s="3078"/>
      <c r="FXO55" s="3078"/>
      <c r="FXP55" s="3078"/>
      <c r="FXQ55" s="3075" t="s">
        <v>55</v>
      </c>
      <c r="FXR55" s="3078"/>
      <c r="FXS55" s="3078"/>
      <c r="FXT55" s="3078"/>
      <c r="FXU55" s="3078"/>
      <c r="FXV55" s="3078"/>
      <c r="FXW55" s="3078"/>
      <c r="FXX55" s="3078"/>
      <c r="FXY55" s="3075" t="s">
        <v>55</v>
      </c>
      <c r="FXZ55" s="3078"/>
      <c r="FYA55" s="3078"/>
      <c r="FYB55" s="3078"/>
      <c r="FYC55" s="3078"/>
      <c r="FYD55" s="3078"/>
      <c r="FYE55" s="3078"/>
      <c r="FYF55" s="3078"/>
      <c r="FYG55" s="3075" t="s">
        <v>55</v>
      </c>
      <c r="FYH55" s="3078"/>
      <c r="FYI55" s="3078"/>
      <c r="FYJ55" s="3078"/>
      <c r="FYK55" s="3078"/>
      <c r="FYL55" s="3078"/>
      <c r="FYM55" s="3078"/>
      <c r="FYN55" s="3078"/>
      <c r="FYO55" s="3075" t="s">
        <v>55</v>
      </c>
      <c r="FYP55" s="3078"/>
      <c r="FYQ55" s="3078"/>
      <c r="FYR55" s="3078"/>
      <c r="FYS55" s="3078"/>
      <c r="FYT55" s="3078"/>
      <c r="FYU55" s="3078"/>
      <c r="FYV55" s="3078"/>
      <c r="FYW55" s="3075" t="s">
        <v>55</v>
      </c>
      <c r="FYX55" s="3078"/>
      <c r="FYY55" s="3078"/>
      <c r="FYZ55" s="3078"/>
      <c r="FZA55" s="3078"/>
      <c r="FZB55" s="3078"/>
      <c r="FZC55" s="3078"/>
      <c r="FZD55" s="3078"/>
      <c r="FZE55" s="3075" t="s">
        <v>55</v>
      </c>
      <c r="FZF55" s="3078"/>
      <c r="FZG55" s="3078"/>
      <c r="FZH55" s="3078"/>
      <c r="FZI55" s="3078"/>
      <c r="FZJ55" s="3078"/>
      <c r="FZK55" s="3078"/>
      <c r="FZL55" s="3078"/>
      <c r="FZM55" s="3075" t="s">
        <v>55</v>
      </c>
      <c r="FZN55" s="3078"/>
      <c r="FZO55" s="3078"/>
      <c r="FZP55" s="3078"/>
      <c r="FZQ55" s="3078"/>
      <c r="FZR55" s="3078"/>
      <c r="FZS55" s="3078"/>
      <c r="FZT55" s="3078"/>
      <c r="FZU55" s="3075" t="s">
        <v>55</v>
      </c>
      <c r="FZV55" s="3078"/>
      <c r="FZW55" s="3078"/>
      <c r="FZX55" s="3078"/>
      <c r="FZY55" s="3078"/>
      <c r="FZZ55" s="3078"/>
      <c r="GAA55" s="3078"/>
      <c r="GAB55" s="3078"/>
      <c r="GAC55" s="3075" t="s">
        <v>55</v>
      </c>
      <c r="GAD55" s="3078"/>
      <c r="GAE55" s="3078"/>
      <c r="GAF55" s="3078"/>
      <c r="GAG55" s="3078"/>
      <c r="GAH55" s="3078"/>
      <c r="GAI55" s="3078"/>
      <c r="GAJ55" s="3078"/>
      <c r="GAK55" s="3075" t="s">
        <v>55</v>
      </c>
      <c r="GAL55" s="3078"/>
      <c r="GAM55" s="3078"/>
      <c r="GAN55" s="3078"/>
      <c r="GAO55" s="3078"/>
      <c r="GAP55" s="3078"/>
      <c r="GAQ55" s="3078"/>
      <c r="GAR55" s="3078"/>
      <c r="GAS55" s="3075" t="s">
        <v>55</v>
      </c>
      <c r="GAT55" s="3078"/>
      <c r="GAU55" s="3078"/>
      <c r="GAV55" s="3078"/>
      <c r="GAW55" s="3078"/>
      <c r="GAX55" s="3078"/>
      <c r="GAY55" s="3078"/>
      <c r="GAZ55" s="3078"/>
      <c r="GBA55" s="3075" t="s">
        <v>55</v>
      </c>
      <c r="GBB55" s="3078"/>
      <c r="GBC55" s="3078"/>
      <c r="GBD55" s="3078"/>
      <c r="GBE55" s="3078"/>
      <c r="GBF55" s="3078"/>
      <c r="GBG55" s="3078"/>
      <c r="GBH55" s="3078"/>
      <c r="GBI55" s="3075" t="s">
        <v>55</v>
      </c>
      <c r="GBJ55" s="3078"/>
      <c r="GBK55" s="3078"/>
      <c r="GBL55" s="3078"/>
      <c r="GBM55" s="3078"/>
      <c r="GBN55" s="3078"/>
      <c r="GBO55" s="3078"/>
      <c r="GBP55" s="3078"/>
      <c r="GBQ55" s="3075" t="s">
        <v>55</v>
      </c>
      <c r="GBR55" s="3078"/>
      <c r="GBS55" s="3078"/>
      <c r="GBT55" s="3078"/>
      <c r="GBU55" s="3078"/>
      <c r="GBV55" s="3078"/>
      <c r="GBW55" s="3078"/>
      <c r="GBX55" s="3078"/>
      <c r="GBY55" s="3075" t="s">
        <v>55</v>
      </c>
      <c r="GBZ55" s="3078"/>
      <c r="GCA55" s="3078"/>
      <c r="GCB55" s="3078"/>
      <c r="GCC55" s="3078"/>
      <c r="GCD55" s="3078"/>
      <c r="GCE55" s="3078"/>
      <c r="GCF55" s="3078"/>
      <c r="GCG55" s="3075" t="s">
        <v>55</v>
      </c>
      <c r="GCH55" s="3078"/>
      <c r="GCI55" s="3078"/>
      <c r="GCJ55" s="3078"/>
      <c r="GCK55" s="3078"/>
      <c r="GCL55" s="3078"/>
      <c r="GCM55" s="3078"/>
      <c r="GCN55" s="3078"/>
      <c r="GCO55" s="3075" t="s">
        <v>55</v>
      </c>
      <c r="GCP55" s="3078"/>
      <c r="GCQ55" s="3078"/>
      <c r="GCR55" s="3078"/>
      <c r="GCS55" s="3078"/>
      <c r="GCT55" s="3078"/>
      <c r="GCU55" s="3078"/>
      <c r="GCV55" s="3078"/>
      <c r="GCW55" s="3075" t="s">
        <v>55</v>
      </c>
      <c r="GCX55" s="3078"/>
      <c r="GCY55" s="3078"/>
      <c r="GCZ55" s="3078"/>
      <c r="GDA55" s="3078"/>
      <c r="GDB55" s="3078"/>
      <c r="GDC55" s="3078"/>
      <c r="GDD55" s="3078"/>
      <c r="GDE55" s="3075" t="s">
        <v>55</v>
      </c>
      <c r="GDF55" s="3078"/>
      <c r="GDG55" s="3078"/>
      <c r="GDH55" s="3078"/>
      <c r="GDI55" s="3078"/>
      <c r="GDJ55" s="3078"/>
      <c r="GDK55" s="3078"/>
      <c r="GDL55" s="3078"/>
      <c r="GDM55" s="3075" t="s">
        <v>55</v>
      </c>
      <c r="GDN55" s="3078"/>
      <c r="GDO55" s="3078"/>
      <c r="GDP55" s="3078"/>
      <c r="GDQ55" s="3078"/>
      <c r="GDR55" s="3078"/>
      <c r="GDS55" s="3078"/>
      <c r="GDT55" s="3078"/>
      <c r="GDU55" s="3075" t="s">
        <v>55</v>
      </c>
      <c r="GDV55" s="3078"/>
      <c r="GDW55" s="3078"/>
      <c r="GDX55" s="3078"/>
      <c r="GDY55" s="3078"/>
      <c r="GDZ55" s="3078"/>
      <c r="GEA55" s="3078"/>
      <c r="GEB55" s="3078"/>
      <c r="GEC55" s="3075" t="s">
        <v>55</v>
      </c>
      <c r="GED55" s="3078"/>
      <c r="GEE55" s="3078"/>
      <c r="GEF55" s="3078"/>
      <c r="GEG55" s="3078"/>
      <c r="GEH55" s="3078"/>
      <c r="GEI55" s="3078"/>
      <c r="GEJ55" s="3078"/>
      <c r="GEK55" s="3075" t="s">
        <v>55</v>
      </c>
      <c r="GEL55" s="3078"/>
      <c r="GEM55" s="3078"/>
      <c r="GEN55" s="3078"/>
      <c r="GEO55" s="3078"/>
      <c r="GEP55" s="3078"/>
      <c r="GEQ55" s="3078"/>
      <c r="GER55" s="3078"/>
      <c r="GES55" s="3075" t="s">
        <v>55</v>
      </c>
      <c r="GET55" s="3078"/>
      <c r="GEU55" s="3078"/>
      <c r="GEV55" s="3078"/>
      <c r="GEW55" s="3078"/>
      <c r="GEX55" s="3078"/>
      <c r="GEY55" s="3078"/>
      <c r="GEZ55" s="3078"/>
      <c r="GFA55" s="3075" t="s">
        <v>55</v>
      </c>
      <c r="GFB55" s="3078"/>
      <c r="GFC55" s="3078"/>
      <c r="GFD55" s="3078"/>
      <c r="GFE55" s="3078"/>
      <c r="GFF55" s="3078"/>
      <c r="GFG55" s="3078"/>
      <c r="GFH55" s="3078"/>
      <c r="GFI55" s="3075" t="s">
        <v>55</v>
      </c>
      <c r="GFJ55" s="3078"/>
      <c r="GFK55" s="3078"/>
      <c r="GFL55" s="3078"/>
      <c r="GFM55" s="3078"/>
      <c r="GFN55" s="3078"/>
      <c r="GFO55" s="3078"/>
      <c r="GFP55" s="3078"/>
      <c r="GFQ55" s="3075" t="s">
        <v>55</v>
      </c>
      <c r="GFR55" s="3078"/>
      <c r="GFS55" s="3078"/>
      <c r="GFT55" s="3078"/>
      <c r="GFU55" s="3078"/>
      <c r="GFV55" s="3078"/>
      <c r="GFW55" s="3078"/>
      <c r="GFX55" s="3078"/>
      <c r="GFY55" s="3075" t="s">
        <v>55</v>
      </c>
      <c r="GFZ55" s="3078"/>
      <c r="GGA55" s="3078"/>
      <c r="GGB55" s="3078"/>
      <c r="GGC55" s="3078"/>
      <c r="GGD55" s="3078"/>
      <c r="GGE55" s="3078"/>
      <c r="GGF55" s="3078"/>
      <c r="GGG55" s="3075" t="s">
        <v>55</v>
      </c>
      <c r="GGH55" s="3078"/>
      <c r="GGI55" s="3078"/>
      <c r="GGJ55" s="3078"/>
      <c r="GGK55" s="3078"/>
      <c r="GGL55" s="3078"/>
      <c r="GGM55" s="3078"/>
      <c r="GGN55" s="3078"/>
      <c r="GGO55" s="3075" t="s">
        <v>55</v>
      </c>
      <c r="GGP55" s="3078"/>
      <c r="GGQ55" s="3078"/>
      <c r="GGR55" s="3078"/>
      <c r="GGS55" s="3078"/>
      <c r="GGT55" s="3078"/>
      <c r="GGU55" s="3078"/>
      <c r="GGV55" s="3078"/>
      <c r="GGW55" s="3075" t="s">
        <v>55</v>
      </c>
      <c r="GGX55" s="3078"/>
      <c r="GGY55" s="3078"/>
      <c r="GGZ55" s="3078"/>
      <c r="GHA55" s="3078"/>
      <c r="GHB55" s="3078"/>
      <c r="GHC55" s="3078"/>
      <c r="GHD55" s="3078"/>
      <c r="GHE55" s="3075" t="s">
        <v>55</v>
      </c>
      <c r="GHF55" s="3078"/>
      <c r="GHG55" s="3078"/>
      <c r="GHH55" s="3078"/>
      <c r="GHI55" s="3078"/>
      <c r="GHJ55" s="3078"/>
      <c r="GHK55" s="3078"/>
      <c r="GHL55" s="3078"/>
      <c r="GHM55" s="3075" t="s">
        <v>55</v>
      </c>
      <c r="GHN55" s="3078"/>
      <c r="GHO55" s="3078"/>
      <c r="GHP55" s="3078"/>
      <c r="GHQ55" s="3078"/>
      <c r="GHR55" s="3078"/>
      <c r="GHS55" s="3078"/>
      <c r="GHT55" s="3078"/>
      <c r="GHU55" s="3075" t="s">
        <v>55</v>
      </c>
      <c r="GHV55" s="3078"/>
      <c r="GHW55" s="3078"/>
      <c r="GHX55" s="3078"/>
      <c r="GHY55" s="3078"/>
      <c r="GHZ55" s="3078"/>
      <c r="GIA55" s="3078"/>
      <c r="GIB55" s="3078"/>
      <c r="GIC55" s="3075" t="s">
        <v>55</v>
      </c>
      <c r="GID55" s="3078"/>
      <c r="GIE55" s="3078"/>
      <c r="GIF55" s="3078"/>
      <c r="GIG55" s="3078"/>
      <c r="GIH55" s="3078"/>
      <c r="GII55" s="3078"/>
      <c r="GIJ55" s="3078"/>
      <c r="GIK55" s="3075" t="s">
        <v>55</v>
      </c>
      <c r="GIL55" s="3078"/>
      <c r="GIM55" s="3078"/>
      <c r="GIN55" s="3078"/>
      <c r="GIO55" s="3078"/>
      <c r="GIP55" s="3078"/>
      <c r="GIQ55" s="3078"/>
      <c r="GIR55" s="3078"/>
      <c r="GIS55" s="3075" t="s">
        <v>55</v>
      </c>
      <c r="GIT55" s="3078"/>
      <c r="GIU55" s="3078"/>
      <c r="GIV55" s="3078"/>
      <c r="GIW55" s="3078"/>
      <c r="GIX55" s="3078"/>
      <c r="GIY55" s="3078"/>
      <c r="GIZ55" s="3078"/>
      <c r="GJA55" s="3075" t="s">
        <v>55</v>
      </c>
      <c r="GJB55" s="3078"/>
      <c r="GJC55" s="3078"/>
      <c r="GJD55" s="3078"/>
      <c r="GJE55" s="3078"/>
      <c r="GJF55" s="3078"/>
      <c r="GJG55" s="3078"/>
      <c r="GJH55" s="3078"/>
      <c r="GJI55" s="3075" t="s">
        <v>55</v>
      </c>
      <c r="GJJ55" s="3078"/>
      <c r="GJK55" s="3078"/>
      <c r="GJL55" s="3078"/>
      <c r="GJM55" s="3078"/>
      <c r="GJN55" s="3078"/>
      <c r="GJO55" s="3078"/>
      <c r="GJP55" s="3078"/>
      <c r="GJQ55" s="3075" t="s">
        <v>55</v>
      </c>
      <c r="GJR55" s="3078"/>
      <c r="GJS55" s="3078"/>
      <c r="GJT55" s="3078"/>
      <c r="GJU55" s="3078"/>
      <c r="GJV55" s="3078"/>
      <c r="GJW55" s="3078"/>
      <c r="GJX55" s="3078"/>
      <c r="GJY55" s="3075" t="s">
        <v>55</v>
      </c>
      <c r="GJZ55" s="3078"/>
      <c r="GKA55" s="3078"/>
      <c r="GKB55" s="3078"/>
      <c r="GKC55" s="3078"/>
      <c r="GKD55" s="3078"/>
      <c r="GKE55" s="3078"/>
      <c r="GKF55" s="3078"/>
      <c r="GKG55" s="3075" t="s">
        <v>55</v>
      </c>
      <c r="GKH55" s="3078"/>
      <c r="GKI55" s="3078"/>
      <c r="GKJ55" s="3078"/>
      <c r="GKK55" s="3078"/>
      <c r="GKL55" s="3078"/>
      <c r="GKM55" s="3078"/>
      <c r="GKN55" s="3078"/>
      <c r="GKO55" s="3075" t="s">
        <v>55</v>
      </c>
      <c r="GKP55" s="3078"/>
      <c r="GKQ55" s="3078"/>
      <c r="GKR55" s="3078"/>
      <c r="GKS55" s="3078"/>
      <c r="GKT55" s="3078"/>
      <c r="GKU55" s="3078"/>
      <c r="GKV55" s="3078"/>
      <c r="GKW55" s="3075" t="s">
        <v>55</v>
      </c>
      <c r="GKX55" s="3078"/>
      <c r="GKY55" s="3078"/>
      <c r="GKZ55" s="3078"/>
      <c r="GLA55" s="3078"/>
      <c r="GLB55" s="3078"/>
      <c r="GLC55" s="3078"/>
      <c r="GLD55" s="3078"/>
      <c r="GLE55" s="3075" t="s">
        <v>55</v>
      </c>
      <c r="GLF55" s="3078"/>
      <c r="GLG55" s="3078"/>
      <c r="GLH55" s="3078"/>
      <c r="GLI55" s="3078"/>
      <c r="GLJ55" s="3078"/>
      <c r="GLK55" s="3078"/>
      <c r="GLL55" s="3078"/>
      <c r="GLM55" s="3075" t="s">
        <v>55</v>
      </c>
      <c r="GLN55" s="3078"/>
      <c r="GLO55" s="3078"/>
      <c r="GLP55" s="3078"/>
      <c r="GLQ55" s="3078"/>
      <c r="GLR55" s="3078"/>
      <c r="GLS55" s="3078"/>
      <c r="GLT55" s="3078"/>
      <c r="GLU55" s="3075" t="s">
        <v>55</v>
      </c>
      <c r="GLV55" s="3078"/>
      <c r="GLW55" s="3078"/>
      <c r="GLX55" s="3078"/>
      <c r="GLY55" s="3078"/>
      <c r="GLZ55" s="3078"/>
      <c r="GMA55" s="3078"/>
      <c r="GMB55" s="3078"/>
      <c r="GMC55" s="3075" t="s">
        <v>55</v>
      </c>
      <c r="GMD55" s="3078"/>
      <c r="GME55" s="3078"/>
      <c r="GMF55" s="3078"/>
      <c r="GMG55" s="3078"/>
      <c r="GMH55" s="3078"/>
      <c r="GMI55" s="3078"/>
      <c r="GMJ55" s="3078"/>
      <c r="GMK55" s="3075" t="s">
        <v>55</v>
      </c>
      <c r="GML55" s="3078"/>
      <c r="GMM55" s="3078"/>
      <c r="GMN55" s="3078"/>
      <c r="GMO55" s="3078"/>
      <c r="GMP55" s="3078"/>
      <c r="GMQ55" s="3078"/>
      <c r="GMR55" s="3078"/>
      <c r="GMS55" s="3075" t="s">
        <v>55</v>
      </c>
      <c r="GMT55" s="3078"/>
      <c r="GMU55" s="3078"/>
      <c r="GMV55" s="3078"/>
      <c r="GMW55" s="3078"/>
      <c r="GMX55" s="3078"/>
      <c r="GMY55" s="3078"/>
      <c r="GMZ55" s="3078"/>
      <c r="GNA55" s="3075" t="s">
        <v>55</v>
      </c>
      <c r="GNB55" s="3078"/>
      <c r="GNC55" s="3078"/>
      <c r="GND55" s="3078"/>
      <c r="GNE55" s="3078"/>
      <c r="GNF55" s="3078"/>
      <c r="GNG55" s="3078"/>
      <c r="GNH55" s="3078"/>
      <c r="GNI55" s="3075" t="s">
        <v>55</v>
      </c>
      <c r="GNJ55" s="3078"/>
      <c r="GNK55" s="3078"/>
      <c r="GNL55" s="3078"/>
      <c r="GNM55" s="3078"/>
      <c r="GNN55" s="3078"/>
      <c r="GNO55" s="3078"/>
      <c r="GNP55" s="3078"/>
      <c r="GNQ55" s="3075" t="s">
        <v>55</v>
      </c>
      <c r="GNR55" s="3078"/>
      <c r="GNS55" s="3078"/>
      <c r="GNT55" s="3078"/>
      <c r="GNU55" s="3078"/>
      <c r="GNV55" s="3078"/>
      <c r="GNW55" s="3078"/>
      <c r="GNX55" s="3078"/>
      <c r="GNY55" s="3075" t="s">
        <v>55</v>
      </c>
      <c r="GNZ55" s="3078"/>
      <c r="GOA55" s="3078"/>
      <c r="GOB55" s="3078"/>
      <c r="GOC55" s="3078"/>
      <c r="GOD55" s="3078"/>
      <c r="GOE55" s="3078"/>
      <c r="GOF55" s="3078"/>
      <c r="GOG55" s="3075" t="s">
        <v>55</v>
      </c>
      <c r="GOH55" s="3078"/>
      <c r="GOI55" s="3078"/>
      <c r="GOJ55" s="3078"/>
      <c r="GOK55" s="3078"/>
      <c r="GOL55" s="3078"/>
      <c r="GOM55" s="3078"/>
      <c r="GON55" s="3078"/>
      <c r="GOO55" s="3075" t="s">
        <v>55</v>
      </c>
      <c r="GOP55" s="3078"/>
      <c r="GOQ55" s="3078"/>
      <c r="GOR55" s="3078"/>
      <c r="GOS55" s="3078"/>
      <c r="GOT55" s="3078"/>
      <c r="GOU55" s="3078"/>
      <c r="GOV55" s="3078"/>
      <c r="GOW55" s="3075" t="s">
        <v>55</v>
      </c>
      <c r="GOX55" s="3078"/>
      <c r="GOY55" s="3078"/>
      <c r="GOZ55" s="3078"/>
      <c r="GPA55" s="3078"/>
      <c r="GPB55" s="3078"/>
      <c r="GPC55" s="3078"/>
      <c r="GPD55" s="3078"/>
      <c r="GPE55" s="3075" t="s">
        <v>55</v>
      </c>
      <c r="GPF55" s="3078"/>
      <c r="GPG55" s="3078"/>
      <c r="GPH55" s="3078"/>
      <c r="GPI55" s="3078"/>
      <c r="GPJ55" s="3078"/>
      <c r="GPK55" s="3078"/>
      <c r="GPL55" s="3078"/>
      <c r="GPM55" s="3075" t="s">
        <v>55</v>
      </c>
      <c r="GPN55" s="3078"/>
      <c r="GPO55" s="3078"/>
      <c r="GPP55" s="3078"/>
      <c r="GPQ55" s="3078"/>
      <c r="GPR55" s="3078"/>
      <c r="GPS55" s="3078"/>
      <c r="GPT55" s="3078"/>
      <c r="GPU55" s="3075" t="s">
        <v>55</v>
      </c>
      <c r="GPV55" s="3078"/>
      <c r="GPW55" s="3078"/>
      <c r="GPX55" s="3078"/>
      <c r="GPY55" s="3078"/>
      <c r="GPZ55" s="3078"/>
      <c r="GQA55" s="3078"/>
      <c r="GQB55" s="3078"/>
      <c r="GQC55" s="3075" t="s">
        <v>55</v>
      </c>
      <c r="GQD55" s="3078"/>
      <c r="GQE55" s="3078"/>
      <c r="GQF55" s="3078"/>
      <c r="GQG55" s="3078"/>
      <c r="GQH55" s="3078"/>
      <c r="GQI55" s="3078"/>
      <c r="GQJ55" s="3078"/>
      <c r="GQK55" s="3075" t="s">
        <v>55</v>
      </c>
      <c r="GQL55" s="3078"/>
      <c r="GQM55" s="3078"/>
      <c r="GQN55" s="3078"/>
      <c r="GQO55" s="3078"/>
      <c r="GQP55" s="3078"/>
      <c r="GQQ55" s="3078"/>
      <c r="GQR55" s="3078"/>
      <c r="GQS55" s="3075" t="s">
        <v>55</v>
      </c>
      <c r="GQT55" s="3078"/>
      <c r="GQU55" s="3078"/>
      <c r="GQV55" s="3078"/>
      <c r="GQW55" s="3078"/>
      <c r="GQX55" s="3078"/>
      <c r="GQY55" s="3078"/>
      <c r="GQZ55" s="3078"/>
      <c r="GRA55" s="3075" t="s">
        <v>55</v>
      </c>
      <c r="GRB55" s="3078"/>
      <c r="GRC55" s="3078"/>
      <c r="GRD55" s="3078"/>
      <c r="GRE55" s="3078"/>
      <c r="GRF55" s="3078"/>
      <c r="GRG55" s="3078"/>
      <c r="GRH55" s="3078"/>
      <c r="GRI55" s="3075" t="s">
        <v>55</v>
      </c>
      <c r="GRJ55" s="3078"/>
      <c r="GRK55" s="3078"/>
      <c r="GRL55" s="3078"/>
      <c r="GRM55" s="3078"/>
      <c r="GRN55" s="3078"/>
      <c r="GRO55" s="3078"/>
      <c r="GRP55" s="3078"/>
      <c r="GRQ55" s="3075" t="s">
        <v>55</v>
      </c>
      <c r="GRR55" s="3078"/>
      <c r="GRS55" s="3078"/>
      <c r="GRT55" s="3078"/>
      <c r="GRU55" s="3078"/>
      <c r="GRV55" s="3078"/>
      <c r="GRW55" s="3078"/>
      <c r="GRX55" s="3078"/>
      <c r="GRY55" s="3075" t="s">
        <v>55</v>
      </c>
      <c r="GRZ55" s="3078"/>
      <c r="GSA55" s="3078"/>
      <c r="GSB55" s="3078"/>
      <c r="GSC55" s="3078"/>
      <c r="GSD55" s="3078"/>
      <c r="GSE55" s="3078"/>
      <c r="GSF55" s="3078"/>
      <c r="GSG55" s="3075" t="s">
        <v>55</v>
      </c>
      <c r="GSH55" s="3078"/>
      <c r="GSI55" s="3078"/>
      <c r="GSJ55" s="3078"/>
      <c r="GSK55" s="3078"/>
      <c r="GSL55" s="3078"/>
      <c r="GSM55" s="3078"/>
      <c r="GSN55" s="3078"/>
      <c r="GSO55" s="3075" t="s">
        <v>55</v>
      </c>
      <c r="GSP55" s="3078"/>
      <c r="GSQ55" s="3078"/>
      <c r="GSR55" s="3078"/>
      <c r="GSS55" s="3078"/>
      <c r="GST55" s="3078"/>
      <c r="GSU55" s="3078"/>
      <c r="GSV55" s="3078"/>
      <c r="GSW55" s="3075" t="s">
        <v>55</v>
      </c>
      <c r="GSX55" s="3078"/>
      <c r="GSY55" s="3078"/>
      <c r="GSZ55" s="3078"/>
      <c r="GTA55" s="3078"/>
      <c r="GTB55" s="3078"/>
      <c r="GTC55" s="3078"/>
      <c r="GTD55" s="3078"/>
      <c r="GTE55" s="3075" t="s">
        <v>55</v>
      </c>
      <c r="GTF55" s="3078"/>
      <c r="GTG55" s="3078"/>
      <c r="GTH55" s="3078"/>
      <c r="GTI55" s="3078"/>
      <c r="GTJ55" s="3078"/>
      <c r="GTK55" s="3078"/>
      <c r="GTL55" s="3078"/>
      <c r="GTM55" s="3075" t="s">
        <v>55</v>
      </c>
      <c r="GTN55" s="3078"/>
      <c r="GTO55" s="3078"/>
      <c r="GTP55" s="3078"/>
      <c r="GTQ55" s="3078"/>
      <c r="GTR55" s="3078"/>
      <c r="GTS55" s="3078"/>
      <c r="GTT55" s="3078"/>
      <c r="GTU55" s="3075" t="s">
        <v>55</v>
      </c>
      <c r="GTV55" s="3078"/>
      <c r="GTW55" s="3078"/>
      <c r="GTX55" s="3078"/>
      <c r="GTY55" s="3078"/>
      <c r="GTZ55" s="3078"/>
      <c r="GUA55" s="3078"/>
      <c r="GUB55" s="3078"/>
      <c r="GUC55" s="3075" t="s">
        <v>55</v>
      </c>
      <c r="GUD55" s="3078"/>
      <c r="GUE55" s="3078"/>
      <c r="GUF55" s="3078"/>
      <c r="GUG55" s="3078"/>
      <c r="GUH55" s="3078"/>
      <c r="GUI55" s="3078"/>
      <c r="GUJ55" s="3078"/>
      <c r="GUK55" s="3075" t="s">
        <v>55</v>
      </c>
      <c r="GUL55" s="3078"/>
      <c r="GUM55" s="3078"/>
      <c r="GUN55" s="3078"/>
      <c r="GUO55" s="3078"/>
      <c r="GUP55" s="3078"/>
      <c r="GUQ55" s="3078"/>
      <c r="GUR55" s="3078"/>
      <c r="GUS55" s="3075" t="s">
        <v>55</v>
      </c>
      <c r="GUT55" s="3078"/>
      <c r="GUU55" s="3078"/>
      <c r="GUV55" s="3078"/>
      <c r="GUW55" s="3078"/>
      <c r="GUX55" s="3078"/>
      <c r="GUY55" s="3078"/>
      <c r="GUZ55" s="3078"/>
      <c r="GVA55" s="3075" t="s">
        <v>55</v>
      </c>
      <c r="GVB55" s="3078"/>
      <c r="GVC55" s="3078"/>
      <c r="GVD55" s="3078"/>
      <c r="GVE55" s="3078"/>
      <c r="GVF55" s="3078"/>
      <c r="GVG55" s="3078"/>
      <c r="GVH55" s="3078"/>
      <c r="GVI55" s="3075" t="s">
        <v>55</v>
      </c>
      <c r="GVJ55" s="3078"/>
      <c r="GVK55" s="3078"/>
      <c r="GVL55" s="3078"/>
      <c r="GVM55" s="3078"/>
      <c r="GVN55" s="3078"/>
      <c r="GVO55" s="3078"/>
      <c r="GVP55" s="3078"/>
      <c r="GVQ55" s="3075" t="s">
        <v>55</v>
      </c>
      <c r="GVR55" s="3078"/>
      <c r="GVS55" s="3078"/>
      <c r="GVT55" s="3078"/>
      <c r="GVU55" s="3078"/>
      <c r="GVV55" s="3078"/>
      <c r="GVW55" s="3078"/>
      <c r="GVX55" s="3078"/>
      <c r="GVY55" s="3075" t="s">
        <v>55</v>
      </c>
      <c r="GVZ55" s="3078"/>
      <c r="GWA55" s="3078"/>
      <c r="GWB55" s="3078"/>
      <c r="GWC55" s="3078"/>
      <c r="GWD55" s="3078"/>
      <c r="GWE55" s="3078"/>
      <c r="GWF55" s="3078"/>
      <c r="GWG55" s="3075" t="s">
        <v>55</v>
      </c>
      <c r="GWH55" s="3078"/>
      <c r="GWI55" s="3078"/>
      <c r="GWJ55" s="3078"/>
      <c r="GWK55" s="3078"/>
      <c r="GWL55" s="3078"/>
      <c r="GWM55" s="3078"/>
      <c r="GWN55" s="3078"/>
      <c r="GWO55" s="3075" t="s">
        <v>55</v>
      </c>
      <c r="GWP55" s="3078"/>
      <c r="GWQ55" s="3078"/>
      <c r="GWR55" s="3078"/>
      <c r="GWS55" s="3078"/>
      <c r="GWT55" s="3078"/>
      <c r="GWU55" s="3078"/>
      <c r="GWV55" s="3078"/>
      <c r="GWW55" s="3075" t="s">
        <v>55</v>
      </c>
      <c r="GWX55" s="3078"/>
      <c r="GWY55" s="3078"/>
      <c r="GWZ55" s="3078"/>
      <c r="GXA55" s="3078"/>
      <c r="GXB55" s="3078"/>
      <c r="GXC55" s="3078"/>
      <c r="GXD55" s="3078"/>
      <c r="GXE55" s="3075" t="s">
        <v>55</v>
      </c>
      <c r="GXF55" s="3078"/>
      <c r="GXG55" s="3078"/>
      <c r="GXH55" s="3078"/>
      <c r="GXI55" s="3078"/>
      <c r="GXJ55" s="3078"/>
      <c r="GXK55" s="3078"/>
      <c r="GXL55" s="3078"/>
      <c r="GXM55" s="3075" t="s">
        <v>55</v>
      </c>
      <c r="GXN55" s="3078"/>
      <c r="GXO55" s="3078"/>
      <c r="GXP55" s="3078"/>
      <c r="GXQ55" s="3078"/>
      <c r="GXR55" s="3078"/>
      <c r="GXS55" s="3078"/>
      <c r="GXT55" s="3078"/>
      <c r="GXU55" s="3075" t="s">
        <v>55</v>
      </c>
      <c r="GXV55" s="3078"/>
      <c r="GXW55" s="3078"/>
      <c r="GXX55" s="3078"/>
      <c r="GXY55" s="3078"/>
      <c r="GXZ55" s="3078"/>
      <c r="GYA55" s="3078"/>
      <c r="GYB55" s="3078"/>
      <c r="GYC55" s="3075" t="s">
        <v>55</v>
      </c>
      <c r="GYD55" s="3078"/>
      <c r="GYE55" s="3078"/>
      <c r="GYF55" s="3078"/>
      <c r="GYG55" s="3078"/>
      <c r="GYH55" s="3078"/>
      <c r="GYI55" s="3078"/>
      <c r="GYJ55" s="3078"/>
      <c r="GYK55" s="3075" t="s">
        <v>55</v>
      </c>
      <c r="GYL55" s="3078"/>
      <c r="GYM55" s="3078"/>
      <c r="GYN55" s="3078"/>
      <c r="GYO55" s="3078"/>
      <c r="GYP55" s="3078"/>
      <c r="GYQ55" s="3078"/>
      <c r="GYR55" s="3078"/>
      <c r="GYS55" s="3075" t="s">
        <v>55</v>
      </c>
      <c r="GYT55" s="3078"/>
      <c r="GYU55" s="3078"/>
      <c r="GYV55" s="3078"/>
      <c r="GYW55" s="3078"/>
      <c r="GYX55" s="3078"/>
      <c r="GYY55" s="3078"/>
      <c r="GYZ55" s="3078"/>
      <c r="GZA55" s="3075" t="s">
        <v>55</v>
      </c>
      <c r="GZB55" s="3078"/>
      <c r="GZC55" s="3078"/>
      <c r="GZD55" s="3078"/>
      <c r="GZE55" s="3078"/>
      <c r="GZF55" s="3078"/>
      <c r="GZG55" s="3078"/>
      <c r="GZH55" s="3078"/>
      <c r="GZI55" s="3075" t="s">
        <v>55</v>
      </c>
      <c r="GZJ55" s="3078"/>
      <c r="GZK55" s="3078"/>
      <c r="GZL55" s="3078"/>
      <c r="GZM55" s="3078"/>
      <c r="GZN55" s="3078"/>
      <c r="GZO55" s="3078"/>
      <c r="GZP55" s="3078"/>
      <c r="GZQ55" s="3075" t="s">
        <v>55</v>
      </c>
      <c r="GZR55" s="3078"/>
      <c r="GZS55" s="3078"/>
      <c r="GZT55" s="3078"/>
      <c r="GZU55" s="3078"/>
      <c r="GZV55" s="3078"/>
      <c r="GZW55" s="3078"/>
      <c r="GZX55" s="3078"/>
      <c r="GZY55" s="3075" t="s">
        <v>55</v>
      </c>
      <c r="GZZ55" s="3078"/>
      <c r="HAA55" s="3078"/>
      <c r="HAB55" s="3078"/>
      <c r="HAC55" s="3078"/>
      <c r="HAD55" s="3078"/>
      <c r="HAE55" s="3078"/>
      <c r="HAF55" s="3078"/>
      <c r="HAG55" s="3075" t="s">
        <v>55</v>
      </c>
      <c r="HAH55" s="3078"/>
      <c r="HAI55" s="3078"/>
      <c r="HAJ55" s="3078"/>
      <c r="HAK55" s="3078"/>
      <c r="HAL55" s="3078"/>
      <c r="HAM55" s="3078"/>
      <c r="HAN55" s="3078"/>
      <c r="HAO55" s="3075" t="s">
        <v>55</v>
      </c>
      <c r="HAP55" s="3078"/>
      <c r="HAQ55" s="3078"/>
      <c r="HAR55" s="3078"/>
      <c r="HAS55" s="3078"/>
      <c r="HAT55" s="3078"/>
      <c r="HAU55" s="3078"/>
      <c r="HAV55" s="3078"/>
      <c r="HAW55" s="3075" t="s">
        <v>55</v>
      </c>
      <c r="HAX55" s="3078"/>
      <c r="HAY55" s="3078"/>
      <c r="HAZ55" s="3078"/>
      <c r="HBA55" s="3078"/>
      <c r="HBB55" s="3078"/>
      <c r="HBC55" s="3078"/>
      <c r="HBD55" s="3078"/>
      <c r="HBE55" s="3075" t="s">
        <v>55</v>
      </c>
      <c r="HBF55" s="3078"/>
      <c r="HBG55" s="3078"/>
      <c r="HBH55" s="3078"/>
      <c r="HBI55" s="3078"/>
      <c r="HBJ55" s="3078"/>
      <c r="HBK55" s="3078"/>
      <c r="HBL55" s="3078"/>
      <c r="HBM55" s="3075" t="s">
        <v>55</v>
      </c>
      <c r="HBN55" s="3078"/>
      <c r="HBO55" s="3078"/>
      <c r="HBP55" s="3078"/>
      <c r="HBQ55" s="3078"/>
      <c r="HBR55" s="3078"/>
      <c r="HBS55" s="3078"/>
      <c r="HBT55" s="3078"/>
      <c r="HBU55" s="3075" t="s">
        <v>55</v>
      </c>
      <c r="HBV55" s="3078"/>
      <c r="HBW55" s="3078"/>
      <c r="HBX55" s="3078"/>
      <c r="HBY55" s="3078"/>
      <c r="HBZ55" s="3078"/>
      <c r="HCA55" s="3078"/>
      <c r="HCB55" s="3078"/>
      <c r="HCC55" s="3075" t="s">
        <v>55</v>
      </c>
      <c r="HCD55" s="3078"/>
      <c r="HCE55" s="3078"/>
      <c r="HCF55" s="3078"/>
      <c r="HCG55" s="3078"/>
      <c r="HCH55" s="3078"/>
      <c r="HCI55" s="3078"/>
      <c r="HCJ55" s="3078"/>
      <c r="HCK55" s="3075" t="s">
        <v>55</v>
      </c>
      <c r="HCL55" s="3078"/>
      <c r="HCM55" s="3078"/>
      <c r="HCN55" s="3078"/>
      <c r="HCO55" s="3078"/>
      <c r="HCP55" s="3078"/>
      <c r="HCQ55" s="3078"/>
      <c r="HCR55" s="3078"/>
      <c r="HCS55" s="3075" t="s">
        <v>55</v>
      </c>
      <c r="HCT55" s="3078"/>
      <c r="HCU55" s="3078"/>
      <c r="HCV55" s="3078"/>
      <c r="HCW55" s="3078"/>
      <c r="HCX55" s="3078"/>
      <c r="HCY55" s="3078"/>
      <c r="HCZ55" s="3078"/>
      <c r="HDA55" s="3075" t="s">
        <v>55</v>
      </c>
      <c r="HDB55" s="3078"/>
      <c r="HDC55" s="3078"/>
      <c r="HDD55" s="3078"/>
      <c r="HDE55" s="3078"/>
      <c r="HDF55" s="3078"/>
      <c r="HDG55" s="3078"/>
      <c r="HDH55" s="3078"/>
      <c r="HDI55" s="3075" t="s">
        <v>55</v>
      </c>
      <c r="HDJ55" s="3078"/>
      <c r="HDK55" s="3078"/>
      <c r="HDL55" s="3078"/>
      <c r="HDM55" s="3078"/>
      <c r="HDN55" s="3078"/>
      <c r="HDO55" s="3078"/>
      <c r="HDP55" s="3078"/>
      <c r="HDQ55" s="3075" t="s">
        <v>55</v>
      </c>
      <c r="HDR55" s="3078"/>
      <c r="HDS55" s="3078"/>
      <c r="HDT55" s="3078"/>
      <c r="HDU55" s="3078"/>
      <c r="HDV55" s="3078"/>
      <c r="HDW55" s="3078"/>
      <c r="HDX55" s="3078"/>
      <c r="HDY55" s="3075" t="s">
        <v>55</v>
      </c>
      <c r="HDZ55" s="3078"/>
      <c r="HEA55" s="3078"/>
      <c r="HEB55" s="3078"/>
      <c r="HEC55" s="3078"/>
      <c r="HED55" s="3078"/>
      <c r="HEE55" s="3078"/>
      <c r="HEF55" s="3078"/>
      <c r="HEG55" s="3075" t="s">
        <v>55</v>
      </c>
      <c r="HEH55" s="3078"/>
      <c r="HEI55" s="3078"/>
      <c r="HEJ55" s="3078"/>
      <c r="HEK55" s="3078"/>
      <c r="HEL55" s="3078"/>
      <c r="HEM55" s="3078"/>
      <c r="HEN55" s="3078"/>
      <c r="HEO55" s="3075" t="s">
        <v>55</v>
      </c>
      <c r="HEP55" s="3078"/>
      <c r="HEQ55" s="3078"/>
      <c r="HER55" s="3078"/>
      <c r="HES55" s="3078"/>
      <c r="HET55" s="3078"/>
      <c r="HEU55" s="3078"/>
      <c r="HEV55" s="3078"/>
      <c r="HEW55" s="3075" t="s">
        <v>55</v>
      </c>
      <c r="HEX55" s="3078"/>
      <c r="HEY55" s="3078"/>
      <c r="HEZ55" s="3078"/>
      <c r="HFA55" s="3078"/>
      <c r="HFB55" s="3078"/>
      <c r="HFC55" s="3078"/>
      <c r="HFD55" s="3078"/>
      <c r="HFE55" s="3075" t="s">
        <v>55</v>
      </c>
      <c r="HFF55" s="3078"/>
      <c r="HFG55" s="3078"/>
      <c r="HFH55" s="3078"/>
      <c r="HFI55" s="3078"/>
      <c r="HFJ55" s="3078"/>
      <c r="HFK55" s="3078"/>
      <c r="HFL55" s="3078"/>
      <c r="HFM55" s="3075" t="s">
        <v>55</v>
      </c>
      <c r="HFN55" s="3078"/>
      <c r="HFO55" s="3078"/>
      <c r="HFP55" s="3078"/>
      <c r="HFQ55" s="3078"/>
      <c r="HFR55" s="3078"/>
      <c r="HFS55" s="3078"/>
      <c r="HFT55" s="3078"/>
      <c r="HFU55" s="3075" t="s">
        <v>55</v>
      </c>
      <c r="HFV55" s="3078"/>
      <c r="HFW55" s="3078"/>
      <c r="HFX55" s="3078"/>
      <c r="HFY55" s="3078"/>
      <c r="HFZ55" s="3078"/>
      <c r="HGA55" s="3078"/>
      <c r="HGB55" s="3078"/>
      <c r="HGC55" s="3075" t="s">
        <v>55</v>
      </c>
      <c r="HGD55" s="3078"/>
      <c r="HGE55" s="3078"/>
      <c r="HGF55" s="3078"/>
      <c r="HGG55" s="3078"/>
      <c r="HGH55" s="3078"/>
      <c r="HGI55" s="3078"/>
      <c r="HGJ55" s="3078"/>
      <c r="HGK55" s="3075" t="s">
        <v>55</v>
      </c>
      <c r="HGL55" s="3078"/>
      <c r="HGM55" s="3078"/>
      <c r="HGN55" s="3078"/>
      <c r="HGO55" s="3078"/>
      <c r="HGP55" s="3078"/>
      <c r="HGQ55" s="3078"/>
      <c r="HGR55" s="3078"/>
      <c r="HGS55" s="3075" t="s">
        <v>55</v>
      </c>
      <c r="HGT55" s="3078"/>
      <c r="HGU55" s="3078"/>
      <c r="HGV55" s="3078"/>
      <c r="HGW55" s="3078"/>
      <c r="HGX55" s="3078"/>
      <c r="HGY55" s="3078"/>
      <c r="HGZ55" s="3078"/>
      <c r="HHA55" s="3075" t="s">
        <v>55</v>
      </c>
      <c r="HHB55" s="3078"/>
      <c r="HHC55" s="3078"/>
      <c r="HHD55" s="3078"/>
      <c r="HHE55" s="3078"/>
      <c r="HHF55" s="3078"/>
      <c r="HHG55" s="3078"/>
      <c r="HHH55" s="3078"/>
      <c r="HHI55" s="3075" t="s">
        <v>55</v>
      </c>
      <c r="HHJ55" s="3078"/>
      <c r="HHK55" s="3078"/>
      <c r="HHL55" s="3078"/>
      <c r="HHM55" s="3078"/>
      <c r="HHN55" s="3078"/>
      <c r="HHO55" s="3078"/>
      <c r="HHP55" s="3078"/>
      <c r="HHQ55" s="3075" t="s">
        <v>55</v>
      </c>
      <c r="HHR55" s="3078"/>
      <c r="HHS55" s="3078"/>
      <c r="HHT55" s="3078"/>
      <c r="HHU55" s="3078"/>
      <c r="HHV55" s="3078"/>
      <c r="HHW55" s="3078"/>
      <c r="HHX55" s="3078"/>
      <c r="HHY55" s="3075" t="s">
        <v>55</v>
      </c>
      <c r="HHZ55" s="3078"/>
      <c r="HIA55" s="3078"/>
      <c r="HIB55" s="3078"/>
      <c r="HIC55" s="3078"/>
      <c r="HID55" s="3078"/>
      <c r="HIE55" s="3078"/>
      <c r="HIF55" s="3078"/>
      <c r="HIG55" s="3075" t="s">
        <v>55</v>
      </c>
      <c r="HIH55" s="3078"/>
      <c r="HII55" s="3078"/>
      <c r="HIJ55" s="3078"/>
      <c r="HIK55" s="3078"/>
      <c r="HIL55" s="3078"/>
      <c r="HIM55" s="3078"/>
      <c r="HIN55" s="3078"/>
      <c r="HIO55" s="3075" t="s">
        <v>55</v>
      </c>
      <c r="HIP55" s="3078"/>
      <c r="HIQ55" s="3078"/>
      <c r="HIR55" s="3078"/>
      <c r="HIS55" s="3078"/>
      <c r="HIT55" s="3078"/>
      <c r="HIU55" s="3078"/>
      <c r="HIV55" s="3078"/>
      <c r="HIW55" s="3075" t="s">
        <v>55</v>
      </c>
      <c r="HIX55" s="3078"/>
      <c r="HIY55" s="3078"/>
      <c r="HIZ55" s="3078"/>
      <c r="HJA55" s="3078"/>
      <c r="HJB55" s="3078"/>
      <c r="HJC55" s="3078"/>
      <c r="HJD55" s="3078"/>
      <c r="HJE55" s="3075" t="s">
        <v>55</v>
      </c>
      <c r="HJF55" s="3078"/>
      <c r="HJG55" s="3078"/>
      <c r="HJH55" s="3078"/>
      <c r="HJI55" s="3078"/>
      <c r="HJJ55" s="3078"/>
      <c r="HJK55" s="3078"/>
      <c r="HJL55" s="3078"/>
      <c r="HJM55" s="3075" t="s">
        <v>55</v>
      </c>
      <c r="HJN55" s="3078"/>
      <c r="HJO55" s="3078"/>
      <c r="HJP55" s="3078"/>
      <c r="HJQ55" s="3078"/>
      <c r="HJR55" s="3078"/>
      <c r="HJS55" s="3078"/>
      <c r="HJT55" s="3078"/>
      <c r="HJU55" s="3075" t="s">
        <v>55</v>
      </c>
      <c r="HJV55" s="3078"/>
      <c r="HJW55" s="3078"/>
      <c r="HJX55" s="3078"/>
      <c r="HJY55" s="3078"/>
      <c r="HJZ55" s="3078"/>
      <c r="HKA55" s="3078"/>
      <c r="HKB55" s="3078"/>
      <c r="HKC55" s="3075" t="s">
        <v>55</v>
      </c>
      <c r="HKD55" s="3078"/>
      <c r="HKE55" s="3078"/>
      <c r="HKF55" s="3078"/>
      <c r="HKG55" s="3078"/>
      <c r="HKH55" s="3078"/>
      <c r="HKI55" s="3078"/>
      <c r="HKJ55" s="3078"/>
      <c r="HKK55" s="3075" t="s">
        <v>55</v>
      </c>
      <c r="HKL55" s="3078"/>
      <c r="HKM55" s="3078"/>
      <c r="HKN55" s="3078"/>
      <c r="HKO55" s="3078"/>
      <c r="HKP55" s="3078"/>
      <c r="HKQ55" s="3078"/>
      <c r="HKR55" s="3078"/>
      <c r="HKS55" s="3075" t="s">
        <v>55</v>
      </c>
      <c r="HKT55" s="3078"/>
      <c r="HKU55" s="3078"/>
      <c r="HKV55" s="3078"/>
      <c r="HKW55" s="3078"/>
      <c r="HKX55" s="3078"/>
      <c r="HKY55" s="3078"/>
      <c r="HKZ55" s="3078"/>
      <c r="HLA55" s="3075" t="s">
        <v>55</v>
      </c>
      <c r="HLB55" s="3078"/>
      <c r="HLC55" s="3078"/>
      <c r="HLD55" s="3078"/>
      <c r="HLE55" s="3078"/>
      <c r="HLF55" s="3078"/>
      <c r="HLG55" s="3078"/>
      <c r="HLH55" s="3078"/>
      <c r="HLI55" s="3075" t="s">
        <v>55</v>
      </c>
      <c r="HLJ55" s="3078"/>
      <c r="HLK55" s="3078"/>
      <c r="HLL55" s="3078"/>
      <c r="HLM55" s="3078"/>
      <c r="HLN55" s="3078"/>
      <c r="HLO55" s="3078"/>
      <c r="HLP55" s="3078"/>
      <c r="HLQ55" s="3075" t="s">
        <v>55</v>
      </c>
      <c r="HLR55" s="3078"/>
      <c r="HLS55" s="3078"/>
      <c r="HLT55" s="3078"/>
      <c r="HLU55" s="3078"/>
      <c r="HLV55" s="3078"/>
      <c r="HLW55" s="3078"/>
      <c r="HLX55" s="3078"/>
      <c r="HLY55" s="3075" t="s">
        <v>55</v>
      </c>
      <c r="HLZ55" s="3078"/>
      <c r="HMA55" s="3078"/>
      <c r="HMB55" s="3078"/>
      <c r="HMC55" s="3078"/>
      <c r="HMD55" s="3078"/>
      <c r="HME55" s="3078"/>
      <c r="HMF55" s="3078"/>
      <c r="HMG55" s="3075" t="s">
        <v>55</v>
      </c>
      <c r="HMH55" s="3078"/>
      <c r="HMI55" s="3078"/>
      <c r="HMJ55" s="3078"/>
      <c r="HMK55" s="3078"/>
      <c r="HML55" s="3078"/>
      <c r="HMM55" s="3078"/>
      <c r="HMN55" s="3078"/>
      <c r="HMO55" s="3075" t="s">
        <v>55</v>
      </c>
      <c r="HMP55" s="3078"/>
      <c r="HMQ55" s="3078"/>
      <c r="HMR55" s="3078"/>
      <c r="HMS55" s="3078"/>
      <c r="HMT55" s="3078"/>
      <c r="HMU55" s="3078"/>
      <c r="HMV55" s="3078"/>
      <c r="HMW55" s="3075" t="s">
        <v>55</v>
      </c>
      <c r="HMX55" s="3078"/>
      <c r="HMY55" s="3078"/>
      <c r="HMZ55" s="3078"/>
      <c r="HNA55" s="3078"/>
      <c r="HNB55" s="3078"/>
      <c r="HNC55" s="3078"/>
      <c r="HND55" s="3078"/>
      <c r="HNE55" s="3075" t="s">
        <v>55</v>
      </c>
      <c r="HNF55" s="3078"/>
      <c r="HNG55" s="3078"/>
      <c r="HNH55" s="3078"/>
      <c r="HNI55" s="3078"/>
      <c r="HNJ55" s="3078"/>
      <c r="HNK55" s="3078"/>
      <c r="HNL55" s="3078"/>
      <c r="HNM55" s="3075" t="s">
        <v>55</v>
      </c>
      <c r="HNN55" s="3078"/>
      <c r="HNO55" s="3078"/>
      <c r="HNP55" s="3078"/>
      <c r="HNQ55" s="3078"/>
      <c r="HNR55" s="3078"/>
      <c r="HNS55" s="3078"/>
      <c r="HNT55" s="3078"/>
      <c r="HNU55" s="3075" t="s">
        <v>55</v>
      </c>
      <c r="HNV55" s="3078"/>
      <c r="HNW55" s="3078"/>
      <c r="HNX55" s="3078"/>
      <c r="HNY55" s="3078"/>
      <c r="HNZ55" s="3078"/>
      <c r="HOA55" s="3078"/>
      <c r="HOB55" s="3078"/>
      <c r="HOC55" s="3075" t="s">
        <v>55</v>
      </c>
      <c r="HOD55" s="3078"/>
      <c r="HOE55" s="3078"/>
      <c r="HOF55" s="3078"/>
      <c r="HOG55" s="3078"/>
      <c r="HOH55" s="3078"/>
      <c r="HOI55" s="3078"/>
      <c r="HOJ55" s="3078"/>
      <c r="HOK55" s="3075" t="s">
        <v>55</v>
      </c>
      <c r="HOL55" s="3078"/>
      <c r="HOM55" s="3078"/>
      <c r="HON55" s="3078"/>
      <c r="HOO55" s="3078"/>
      <c r="HOP55" s="3078"/>
      <c r="HOQ55" s="3078"/>
      <c r="HOR55" s="3078"/>
      <c r="HOS55" s="3075" t="s">
        <v>55</v>
      </c>
      <c r="HOT55" s="3078"/>
      <c r="HOU55" s="3078"/>
      <c r="HOV55" s="3078"/>
      <c r="HOW55" s="3078"/>
      <c r="HOX55" s="3078"/>
      <c r="HOY55" s="3078"/>
      <c r="HOZ55" s="3078"/>
      <c r="HPA55" s="3075" t="s">
        <v>55</v>
      </c>
      <c r="HPB55" s="3078"/>
      <c r="HPC55" s="3078"/>
      <c r="HPD55" s="3078"/>
      <c r="HPE55" s="3078"/>
      <c r="HPF55" s="3078"/>
      <c r="HPG55" s="3078"/>
      <c r="HPH55" s="3078"/>
      <c r="HPI55" s="3075" t="s">
        <v>55</v>
      </c>
      <c r="HPJ55" s="3078"/>
      <c r="HPK55" s="3078"/>
      <c r="HPL55" s="3078"/>
      <c r="HPM55" s="3078"/>
      <c r="HPN55" s="3078"/>
      <c r="HPO55" s="3078"/>
      <c r="HPP55" s="3078"/>
      <c r="HPQ55" s="3075" t="s">
        <v>55</v>
      </c>
      <c r="HPR55" s="3078"/>
      <c r="HPS55" s="3078"/>
      <c r="HPT55" s="3078"/>
      <c r="HPU55" s="3078"/>
      <c r="HPV55" s="3078"/>
      <c r="HPW55" s="3078"/>
      <c r="HPX55" s="3078"/>
      <c r="HPY55" s="3075" t="s">
        <v>55</v>
      </c>
      <c r="HPZ55" s="3078"/>
      <c r="HQA55" s="3078"/>
      <c r="HQB55" s="3078"/>
      <c r="HQC55" s="3078"/>
      <c r="HQD55" s="3078"/>
      <c r="HQE55" s="3078"/>
      <c r="HQF55" s="3078"/>
      <c r="HQG55" s="3075" t="s">
        <v>55</v>
      </c>
      <c r="HQH55" s="3078"/>
      <c r="HQI55" s="3078"/>
      <c r="HQJ55" s="3078"/>
      <c r="HQK55" s="3078"/>
      <c r="HQL55" s="3078"/>
      <c r="HQM55" s="3078"/>
      <c r="HQN55" s="3078"/>
      <c r="HQO55" s="3075" t="s">
        <v>55</v>
      </c>
      <c r="HQP55" s="3078"/>
      <c r="HQQ55" s="3078"/>
      <c r="HQR55" s="3078"/>
      <c r="HQS55" s="3078"/>
      <c r="HQT55" s="3078"/>
      <c r="HQU55" s="3078"/>
      <c r="HQV55" s="3078"/>
      <c r="HQW55" s="3075" t="s">
        <v>55</v>
      </c>
      <c r="HQX55" s="3078"/>
      <c r="HQY55" s="3078"/>
      <c r="HQZ55" s="3078"/>
      <c r="HRA55" s="3078"/>
      <c r="HRB55" s="3078"/>
      <c r="HRC55" s="3078"/>
      <c r="HRD55" s="3078"/>
      <c r="HRE55" s="3075" t="s">
        <v>55</v>
      </c>
      <c r="HRF55" s="3078"/>
      <c r="HRG55" s="3078"/>
      <c r="HRH55" s="3078"/>
      <c r="HRI55" s="3078"/>
      <c r="HRJ55" s="3078"/>
      <c r="HRK55" s="3078"/>
      <c r="HRL55" s="3078"/>
      <c r="HRM55" s="3075" t="s">
        <v>55</v>
      </c>
      <c r="HRN55" s="3078"/>
      <c r="HRO55" s="3078"/>
      <c r="HRP55" s="3078"/>
      <c r="HRQ55" s="3078"/>
      <c r="HRR55" s="3078"/>
      <c r="HRS55" s="3078"/>
      <c r="HRT55" s="3078"/>
      <c r="HRU55" s="3075" t="s">
        <v>55</v>
      </c>
      <c r="HRV55" s="3078"/>
      <c r="HRW55" s="3078"/>
      <c r="HRX55" s="3078"/>
      <c r="HRY55" s="3078"/>
      <c r="HRZ55" s="3078"/>
      <c r="HSA55" s="3078"/>
      <c r="HSB55" s="3078"/>
      <c r="HSC55" s="3075" t="s">
        <v>55</v>
      </c>
      <c r="HSD55" s="3078"/>
      <c r="HSE55" s="3078"/>
      <c r="HSF55" s="3078"/>
      <c r="HSG55" s="3078"/>
      <c r="HSH55" s="3078"/>
      <c r="HSI55" s="3078"/>
      <c r="HSJ55" s="3078"/>
      <c r="HSK55" s="3075" t="s">
        <v>55</v>
      </c>
      <c r="HSL55" s="3078"/>
      <c r="HSM55" s="3078"/>
      <c r="HSN55" s="3078"/>
      <c r="HSO55" s="3078"/>
      <c r="HSP55" s="3078"/>
      <c r="HSQ55" s="3078"/>
      <c r="HSR55" s="3078"/>
      <c r="HSS55" s="3075" t="s">
        <v>55</v>
      </c>
      <c r="HST55" s="3078"/>
      <c r="HSU55" s="3078"/>
      <c r="HSV55" s="3078"/>
      <c r="HSW55" s="3078"/>
      <c r="HSX55" s="3078"/>
      <c r="HSY55" s="3078"/>
      <c r="HSZ55" s="3078"/>
      <c r="HTA55" s="3075" t="s">
        <v>55</v>
      </c>
      <c r="HTB55" s="3078"/>
      <c r="HTC55" s="3078"/>
      <c r="HTD55" s="3078"/>
      <c r="HTE55" s="3078"/>
      <c r="HTF55" s="3078"/>
      <c r="HTG55" s="3078"/>
      <c r="HTH55" s="3078"/>
      <c r="HTI55" s="3075" t="s">
        <v>55</v>
      </c>
      <c r="HTJ55" s="3078"/>
      <c r="HTK55" s="3078"/>
      <c r="HTL55" s="3078"/>
      <c r="HTM55" s="3078"/>
      <c r="HTN55" s="3078"/>
      <c r="HTO55" s="3078"/>
      <c r="HTP55" s="3078"/>
      <c r="HTQ55" s="3075" t="s">
        <v>55</v>
      </c>
      <c r="HTR55" s="3078"/>
      <c r="HTS55" s="3078"/>
      <c r="HTT55" s="3078"/>
      <c r="HTU55" s="3078"/>
      <c r="HTV55" s="3078"/>
      <c r="HTW55" s="3078"/>
      <c r="HTX55" s="3078"/>
      <c r="HTY55" s="3075" t="s">
        <v>55</v>
      </c>
      <c r="HTZ55" s="3078"/>
      <c r="HUA55" s="3078"/>
      <c r="HUB55" s="3078"/>
      <c r="HUC55" s="3078"/>
      <c r="HUD55" s="3078"/>
      <c r="HUE55" s="3078"/>
      <c r="HUF55" s="3078"/>
      <c r="HUG55" s="3075" t="s">
        <v>55</v>
      </c>
      <c r="HUH55" s="3078"/>
      <c r="HUI55" s="3078"/>
      <c r="HUJ55" s="3078"/>
      <c r="HUK55" s="3078"/>
      <c r="HUL55" s="3078"/>
      <c r="HUM55" s="3078"/>
      <c r="HUN55" s="3078"/>
      <c r="HUO55" s="3075" t="s">
        <v>55</v>
      </c>
      <c r="HUP55" s="3078"/>
      <c r="HUQ55" s="3078"/>
      <c r="HUR55" s="3078"/>
      <c r="HUS55" s="3078"/>
      <c r="HUT55" s="3078"/>
      <c r="HUU55" s="3078"/>
      <c r="HUV55" s="3078"/>
      <c r="HUW55" s="3075" t="s">
        <v>55</v>
      </c>
      <c r="HUX55" s="3078"/>
      <c r="HUY55" s="3078"/>
      <c r="HUZ55" s="3078"/>
      <c r="HVA55" s="3078"/>
      <c r="HVB55" s="3078"/>
      <c r="HVC55" s="3078"/>
      <c r="HVD55" s="3078"/>
      <c r="HVE55" s="3075" t="s">
        <v>55</v>
      </c>
      <c r="HVF55" s="3078"/>
      <c r="HVG55" s="3078"/>
      <c r="HVH55" s="3078"/>
      <c r="HVI55" s="3078"/>
      <c r="HVJ55" s="3078"/>
      <c r="HVK55" s="3078"/>
      <c r="HVL55" s="3078"/>
      <c r="HVM55" s="3075" t="s">
        <v>55</v>
      </c>
      <c r="HVN55" s="3078"/>
      <c r="HVO55" s="3078"/>
      <c r="HVP55" s="3078"/>
      <c r="HVQ55" s="3078"/>
      <c r="HVR55" s="3078"/>
      <c r="HVS55" s="3078"/>
      <c r="HVT55" s="3078"/>
      <c r="HVU55" s="3075" t="s">
        <v>55</v>
      </c>
      <c r="HVV55" s="3078"/>
      <c r="HVW55" s="3078"/>
      <c r="HVX55" s="3078"/>
      <c r="HVY55" s="3078"/>
      <c r="HVZ55" s="3078"/>
      <c r="HWA55" s="3078"/>
      <c r="HWB55" s="3078"/>
      <c r="HWC55" s="3075" t="s">
        <v>55</v>
      </c>
      <c r="HWD55" s="3078"/>
      <c r="HWE55" s="3078"/>
      <c r="HWF55" s="3078"/>
      <c r="HWG55" s="3078"/>
      <c r="HWH55" s="3078"/>
      <c r="HWI55" s="3078"/>
      <c r="HWJ55" s="3078"/>
      <c r="HWK55" s="3075" t="s">
        <v>55</v>
      </c>
      <c r="HWL55" s="3078"/>
      <c r="HWM55" s="3078"/>
      <c r="HWN55" s="3078"/>
      <c r="HWO55" s="3078"/>
      <c r="HWP55" s="3078"/>
      <c r="HWQ55" s="3078"/>
      <c r="HWR55" s="3078"/>
      <c r="HWS55" s="3075" t="s">
        <v>55</v>
      </c>
      <c r="HWT55" s="3078"/>
      <c r="HWU55" s="3078"/>
      <c r="HWV55" s="3078"/>
      <c r="HWW55" s="3078"/>
      <c r="HWX55" s="3078"/>
      <c r="HWY55" s="3078"/>
      <c r="HWZ55" s="3078"/>
      <c r="HXA55" s="3075" t="s">
        <v>55</v>
      </c>
      <c r="HXB55" s="3078"/>
      <c r="HXC55" s="3078"/>
      <c r="HXD55" s="3078"/>
      <c r="HXE55" s="3078"/>
      <c r="HXF55" s="3078"/>
      <c r="HXG55" s="3078"/>
      <c r="HXH55" s="3078"/>
      <c r="HXI55" s="3075" t="s">
        <v>55</v>
      </c>
      <c r="HXJ55" s="3078"/>
      <c r="HXK55" s="3078"/>
      <c r="HXL55" s="3078"/>
      <c r="HXM55" s="3078"/>
      <c r="HXN55" s="3078"/>
      <c r="HXO55" s="3078"/>
      <c r="HXP55" s="3078"/>
      <c r="HXQ55" s="3075" t="s">
        <v>55</v>
      </c>
      <c r="HXR55" s="3078"/>
      <c r="HXS55" s="3078"/>
      <c r="HXT55" s="3078"/>
      <c r="HXU55" s="3078"/>
      <c r="HXV55" s="3078"/>
      <c r="HXW55" s="3078"/>
      <c r="HXX55" s="3078"/>
      <c r="HXY55" s="3075" t="s">
        <v>55</v>
      </c>
      <c r="HXZ55" s="3078"/>
      <c r="HYA55" s="3078"/>
      <c r="HYB55" s="3078"/>
      <c r="HYC55" s="3078"/>
      <c r="HYD55" s="3078"/>
      <c r="HYE55" s="3078"/>
      <c r="HYF55" s="3078"/>
      <c r="HYG55" s="3075" t="s">
        <v>55</v>
      </c>
      <c r="HYH55" s="3078"/>
      <c r="HYI55" s="3078"/>
      <c r="HYJ55" s="3078"/>
      <c r="HYK55" s="3078"/>
      <c r="HYL55" s="3078"/>
      <c r="HYM55" s="3078"/>
      <c r="HYN55" s="3078"/>
      <c r="HYO55" s="3075" t="s">
        <v>55</v>
      </c>
      <c r="HYP55" s="3078"/>
      <c r="HYQ55" s="3078"/>
      <c r="HYR55" s="3078"/>
      <c r="HYS55" s="3078"/>
      <c r="HYT55" s="3078"/>
      <c r="HYU55" s="3078"/>
      <c r="HYV55" s="3078"/>
      <c r="HYW55" s="3075" t="s">
        <v>55</v>
      </c>
      <c r="HYX55" s="3078"/>
      <c r="HYY55" s="3078"/>
      <c r="HYZ55" s="3078"/>
      <c r="HZA55" s="3078"/>
      <c r="HZB55" s="3078"/>
      <c r="HZC55" s="3078"/>
      <c r="HZD55" s="3078"/>
      <c r="HZE55" s="3075" t="s">
        <v>55</v>
      </c>
      <c r="HZF55" s="3078"/>
      <c r="HZG55" s="3078"/>
      <c r="HZH55" s="3078"/>
      <c r="HZI55" s="3078"/>
      <c r="HZJ55" s="3078"/>
      <c r="HZK55" s="3078"/>
      <c r="HZL55" s="3078"/>
      <c r="HZM55" s="3075" t="s">
        <v>55</v>
      </c>
      <c r="HZN55" s="3078"/>
      <c r="HZO55" s="3078"/>
      <c r="HZP55" s="3078"/>
      <c r="HZQ55" s="3078"/>
      <c r="HZR55" s="3078"/>
      <c r="HZS55" s="3078"/>
      <c r="HZT55" s="3078"/>
      <c r="HZU55" s="3075" t="s">
        <v>55</v>
      </c>
      <c r="HZV55" s="3078"/>
      <c r="HZW55" s="3078"/>
      <c r="HZX55" s="3078"/>
      <c r="HZY55" s="3078"/>
      <c r="HZZ55" s="3078"/>
      <c r="IAA55" s="3078"/>
      <c r="IAB55" s="3078"/>
      <c r="IAC55" s="3075" t="s">
        <v>55</v>
      </c>
      <c r="IAD55" s="3078"/>
      <c r="IAE55" s="3078"/>
      <c r="IAF55" s="3078"/>
      <c r="IAG55" s="3078"/>
      <c r="IAH55" s="3078"/>
      <c r="IAI55" s="3078"/>
      <c r="IAJ55" s="3078"/>
      <c r="IAK55" s="3075" t="s">
        <v>55</v>
      </c>
      <c r="IAL55" s="3078"/>
      <c r="IAM55" s="3078"/>
      <c r="IAN55" s="3078"/>
      <c r="IAO55" s="3078"/>
      <c r="IAP55" s="3078"/>
      <c r="IAQ55" s="3078"/>
      <c r="IAR55" s="3078"/>
      <c r="IAS55" s="3075" t="s">
        <v>55</v>
      </c>
      <c r="IAT55" s="3078"/>
      <c r="IAU55" s="3078"/>
      <c r="IAV55" s="3078"/>
      <c r="IAW55" s="3078"/>
      <c r="IAX55" s="3078"/>
      <c r="IAY55" s="3078"/>
      <c r="IAZ55" s="3078"/>
      <c r="IBA55" s="3075" t="s">
        <v>55</v>
      </c>
      <c r="IBB55" s="3078"/>
      <c r="IBC55" s="3078"/>
      <c r="IBD55" s="3078"/>
      <c r="IBE55" s="3078"/>
      <c r="IBF55" s="3078"/>
      <c r="IBG55" s="3078"/>
      <c r="IBH55" s="3078"/>
      <c r="IBI55" s="3075" t="s">
        <v>55</v>
      </c>
      <c r="IBJ55" s="3078"/>
      <c r="IBK55" s="3078"/>
      <c r="IBL55" s="3078"/>
      <c r="IBM55" s="3078"/>
      <c r="IBN55" s="3078"/>
      <c r="IBO55" s="3078"/>
      <c r="IBP55" s="3078"/>
      <c r="IBQ55" s="3075" t="s">
        <v>55</v>
      </c>
      <c r="IBR55" s="3078"/>
      <c r="IBS55" s="3078"/>
      <c r="IBT55" s="3078"/>
      <c r="IBU55" s="3078"/>
      <c r="IBV55" s="3078"/>
      <c r="IBW55" s="3078"/>
      <c r="IBX55" s="3078"/>
      <c r="IBY55" s="3075" t="s">
        <v>55</v>
      </c>
      <c r="IBZ55" s="3078"/>
      <c r="ICA55" s="3078"/>
      <c r="ICB55" s="3078"/>
      <c r="ICC55" s="3078"/>
      <c r="ICD55" s="3078"/>
      <c r="ICE55" s="3078"/>
      <c r="ICF55" s="3078"/>
      <c r="ICG55" s="3075" t="s">
        <v>55</v>
      </c>
      <c r="ICH55" s="3078"/>
      <c r="ICI55" s="3078"/>
      <c r="ICJ55" s="3078"/>
      <c r="ICK55" s="3078"/>
      <c r="ICL55" s="3078"/>
      <c r="ICM55" s="3078"/>
      <c r="ICN55" s="3078"/>
      <c r="ICO55" s="3075" t="s">
        <v>55</v>
      </c>
      <c r="ICP55" s="3078"/>
      <c r="ICQ55" s="3078"/>
      <c r="ICR55" s="3078"/>
      <c r="ICS55" s="3078"/>
      <c r="ICT55" s="3078"/>
      <c r="ICU55" s="3078"/>
      <c r="ICV55" s="3078"/>
      <c r="ICW55" s="3075" t="s">
        <v>55</v>
      </c>
      <c r="ICX55" s="3078"/>
      <c r="ICY55" s="3078"/>
      <c r="ICZ55" s="3078"/>
      <c r="IDA55" s="3078"/>
      <c r="IDB55" s="3078"/>
      <c r="IDC55" s="3078"/>
      <c r="IDD55" s="3078"/>
      <c r="IDE55" s="3075" t="s">
        <v>55</v>
      </c>
      <c r="IDF55" s="3078"/>
      <c r="IDG55" s="3078"/>
      <c r="IDH55" s="3078"/>
      <c r="IDI55" s="3078"/>
      <c r="IDJ55" s="3078"/>
      <c r="IDK55" s="3078"/>
      <c r="IDL55" s="3078"/>
      <c r="IDM55" s="3075" t="s">
        <v>55</v>
      </c>
      <c r="IDN55" s="3078"/>
      <c r="IDO55" s="3078"/>
      <c r="IDP55" s="3078"/>
      <c r="IDQ55" s="3078"/>
      <c r="IDR55" s="3078"/>
      <c r="IDS55" s="3078"/>
      <c r="IDT55" s="3078"/>
      <c r="IDU55" s="3075" t="s">
        <v>55</v>
      </c>
      <c r="IDV55" s="3078"/>
      <c r="IDW55" s="3078"/>
      <c r="IDX55" s="3078"/>
      <c r="IDY55" s="3078"/>
      <c r="IDZ55" s="3078"/>
      <c r="IEA55" s="3078"/>
      <c r="IEB55" s="3078"/>
      <c r="IEC55" s="3075" t="s">
        <v>55</v>
      </c>
      <c r="IED55" s="3078"/>
      <c r="IEE55" s="3078"/>
      <c r="IEF55" s="3078"/>
      <c r="IEG55" s="3078"/>
      <c r="IEH55" s="3078"/>
      <c r="IEI55" s="3078"/>
      <c r="IEJ55" s="3078"/>
      <c r="IEK55" s="3075" t="s">
        <v>55</v>
      </c>
      <c r="IEL55" s="3078"/>
      <c r="IEM55" s="3078"/>
      <c r="IEN55" s="3078"/>
      <c r="IEO55" s="3078"/>
      <c r="IEP55" s="3078"/>
      <c r="IEQ55" s="3078"/>
      <c r="IER55" s="3078"/>
      <c r="IES55" s="3075" t="s">
        <v>55</v>
      </c>
      <c r="IET55" s="3078"/>
      <c r="IEU55" s="3078"/>
      <c r="IEV55" s="3078"/>
      <c r="IEW55" s="3078"/>
      <c r="IEX55" s="3078"/>
      <c r="IEY55" s="3078"/>
      <c r="IEZ55" s="3078"/>
      <c r="IFA55" s="3075" t="s">
        <v>55</v>
      </c>
      <c r="IFB55" s="3078"/>
      <c r="IFC55" s="3078"/>
      <c r="IFD55" s="3078"/>
      <c r="IFE55" s="3078"/>
      <c r="IFF55" s="3078"/>
      <c r="IFG55" s="3078"/>
      <c r="IFH55" s="3078"/>
      <c r="IFI55" s="3075" t="s">
        <v>55</v>
      </c>
      <c r="IFJ55" s="3078"/>
      <c r="IFK55" s="3078"/>
      <c r="IFL55" s="3078"/>
      <c r="IFM55" s="3078"/>
      <c r="IFN55" s="3078"/>
      <c r="IFO55" s="3078"/>
      <c r="IFP55" s="3078"/>
      <c r="IFQ55" s="3075" t="s">
        <v>55</v>
      </c>
      <c r="IFR55" s="3078"/>
      <c r="IFS55" s="3078"/>
      <c r="IFT55" s="3078"/>
      <c r="IFU55" s="3078"/>
      <c r="IFV55" s="3078"/>
      <c r="IFW55" s="3078"/>
      <c r="IFX55" s="3078"/>
      <c r="IFY55" s="3075" t="s">
        <v>55</v>
      </c>
      <c r="IFZ55" s="3078"/>
      <c r="IGA55" s="3078"/>
      <c r="IGB55" s="3078"/>
      <c r="IGC55" s="3078"/>
      <c r="IGD55" s="3078"/>
      <c r="IGE55" s="3078"/>
      <c r="IGF55" s="3078"/>
      <c r="IGG55" s="3075" t="s">
        <v>55</v>
      </c>
      <c r="IGH55" s="3078"/>
      <c r="IGI55" s="3078"/>
      <c r="IGJ55" s="3078"/>
      <c r="IGK55" s="3078"/>
      <c r="IGL55" s="3078"/>
      <c r="IGM55" s="3078"/>
      <c r="IGN55" s="3078"/>
      <c r="IGO55" s="3075" t="s">
        <v>55</v>
      </c>
      <c r="IGP55" s="3078"/>
      <c r="IGQ55" s="3078"/>
      <c r="IGR55" s="3078"/>
      <c r="IGS55" s="3078"/>
      <c r="IGT55" s="3078"/>
      <c r="IGU55" s="3078"/>
      <c r="IGV55" s="3078"/>
      <c r="IGW55" s="3075" t="s">
        <v>55</v>
      </c>
      <c r="IGX55" s="3078"/>
      <c r="IGY55" s="3078"/>
      <c r="IGZ55" s="3078"/>
      <c r="IHA55" s="3078"/>
      <c r="IHB55" s="3078"/>
      <c r="IHC55" s="3078"/>
      <c r="IHD55" s="3078"/>
      <c r="IHE55" s="3075" t="s">
        <v>55</v>
      </c>
      <c r="IHF55" s="3078"/>
      <c r="IHG55" s="3078"/>
      <c r="IHH55" s="3078"/>
      <c r="IHI55" s="3078"/>
      <c r="IHJ55" s="3078"/>
      <c r="IHK55" s="3078"/>
      <c r="IHL55" s="3078"/>
      <c r="IHM55" s="3075" t="s">
        <v>55</v>
      </c>
      <c r="IHN55" s="3078"/>
      <c r="IHO55" s="3078"/>
      <c r="IHP55" s="3078"/>
      <c r="IHQ55" s="3078"/>
      <c r="IHR55" s="3078"/>
      <c r="IHS55" s="3078"/>
      <c r="IHT55" s="3078"/>
      <c r="IHU55" s="3075" t="s">
        <v>55</v>
      </c>
      <c r="IHV55" s="3078"/>
      <c r="IHW55" s="3078"/>
      <c r="IHX55" s="3078"/>
      <c r="IHY55" s="3078"/>
      <c r="IHZ55" s="3078"/>
      <c r="IIA55" s="3078"/>
      <c r="IIB55" s="3078"/>
      <c r="IIC55" s="3075" t="s">
        <v>55</v>
      </c>
      <c r="IID55" s="3078"/>
      <c r="IIE55" s="3078"/>
      <c r="IIF55" s="3078"/>
      <c r="IIG55" s="3078"/>
      <c r="IIH55" s="3078"/>
      <c r="III55" s="3078"/>
      <c r="IIJ55" s="3078"/>
      <c r="IIK55" s="3075" t="s">
        <v>55</v>
      </c>
      <c r="IIL55" s="3078"/>
      <c r="IIM55" s="3078"/>
      <c r="IIN55" s="3078"/>
      <c r="IIO55" s="3078"/>
      <c r="IIP55" s="3078"/>
      <c r="IIQ55" s="3078"/>
      <c r="IIR55" s="3078"/>
      <c r="IIS55" s="3075" t="s">
        <v>55</v>
      </c>
      <c r="IIT55" s="3078"/>
      <c r="IIU55" s="3078"/>
      <c r="IIV55" s="3078"/>
      <c r="IIW55" s="3078"/>
      <c r="IIX55" s="3078"/>
      <c r="IIY55" s="3078"/>
      <c r="IIZ55" s="3078"/>
      <c r="IJA55" s="3075" t="s">
        <v>55</v>
      </c>
      <c r="IJB55" s="3078"/>
      <c r="IJC55" s="3078"/>
      <c r="IJD55" s="3078"/>
      <c r="IJE55" s="3078"/>
      <c r="IJF55" s="3078"/>
      <c r="IJG55" s="3078"/>
      <c r="IJH55" s="3078"/>
      <c r="IJI55" s="3075" t="s">
        <v>55</v>
      </c>
      <c r="IJJ55" s="3078"/>
      <c r="IJK55" s="3078"/>
      <c r="IJL55" s="3078"/>
      <c r="IJM55" s="3078"/>
      <c r="IJN55" s="3078"/>
      <c r="IJO55" s="3078"/>
      <c r="IJP55" s="3078"/>
      <c r="IJQ55" s="3075" t="s">
        <v>55</v>
      </c>
      <c r="IJR55" s="3078"/>
      <c r="IJS55" s="3078"/>
      <c r="IJT55" s="3078"/>
      <c r="IJU55" s="3078"/>
      <c r="IJV55" s="3078"/>
      <c r="IJW55" s="3078"/>
      <c r="IJX55" s="3078"/>
      <c r="IJY55" s="3075" t="s">
        <v>55</v>
      </c>
      <c r="IJZ55" s="3078"/>
      <c r="IKA55" s="3078"/>
      <c r="IKB55" s="3078"/>
      <c r="IKC55" s="3078"/>
      <c r="IKD55" s="3078"/>
      <c r="IKE55" s="3078"/>
      <c r="IKF55" s="3078"/>
      <c r="IKG55" s="3075" t="s">
        <v>55</v>
      </c>
      <c r="IKH55" s="3078"/>
      <c r="IKI55" s="3078"/>
      <c r="IKJ55" s="3078"/>
      <c r="IKK55" s="3078"/>
      <c r="IKL55" s="3078"/>
      <c r="IKM55" s="3078"/>
      <c r="IKN55" s="3078"/>
      <c r="IKO55" s="3075" t="s">
        <v>55</v>
      </c>
      <c r="IKP55" s="3078"/>
      <c r="IKQ55" s="3078"/>
      <c r="IKR55" s="3078"/>
      <c r="IKS55" s="3078"/>
      <c r="IKT55" s="3078"/>
      <c r="IKU55" s="3078"/>
      <c r="IKV55" s="3078"/>
      <c r="IKW55" s="3075" t="s">
        <v>55</v>
      </c>
      <c r="IKX55" s="3078"/>
      <c r="IKY55" s="3078"/>
      <c r="IKZ55" s="3078"/>
      <c r="ILA55" s="3078"/>
      <c r="ILB55" s="3078"/>
      <c r="ILC55" s="3078"/>
      <c r="ILD55" s="3078"/>
      <c r="ILE55" s="3075" t="s">
        <v>55</v>
      </c>
      <c r="ILF55" s="3078"/>
      <c r="ILG55" s="3078"/>
      <c r="ILH55" s="3078"/>
      <c r="ILI55" s="3078"/>
      <c r="ILJ55" s="3078"/>
      <c r="ILK55" s="3078"/>
      <c r="ILL55" s="3078"/>
      <c r="ILM55" s="3075" t="s">
        <v>55</v>
      </c>
      <c r="ILN55" s="3078"/>
      <c r="ILO55" s="3078"/>
      <c r="ILP55" s="3078"/>
      <c r="ILQ55" s="3078"/>
      <c r="ILR55" s="3078"/>
      <c r="ILS55" s="3078"/>
      <c r="ILT55" s="3078"/>
      <c r="ILU55" s="3075" t="s">
        <v>55</v>
      </c>
      <c r="ILV55" s="3078"/>
      <c r="ILW55" s="3078"/>
      <c r="ILX55" s="3078"/>
      <c r="ILY55" s="3078"/>
      <c r="ILZ55" s="3078"/>
      <c r="IMA55" s="3078"/>
      <c r="IMB55" s="3078"/>
      <c r="IMC55" s="3075" t="s">
        <v>55</v>
      </c>
      <c r="IMD55" s="3078"/>
      <c r="IME55" s="3078"/>
      <c r="IMF55" s="3078"/>
      <c r="IMG55" s="3078"/>
      <c r="IMH55" s="3078"/>
      <c r="IMI55" s="3078"/>
      <c r="IMJ55" s="3078"/>
      <c r="IMK55" s="3075" t="s">
        <v>55</v>
      </c>
      <c r="IML55" s="3078"/>
      <c r="IMM55" s="3078"/>
      <c r="IMN55" s="3078"/>
      <c r="IMO55" s="3078"/>
      <c r="IMP55" s="3078"/>
      <c r="IMQ55" s="3078"/>
      <c r="IMR55" s="3078"/>
      <c r="IMS55" s="3075" t="s">
        <v>55</v>
      </c>
      <c r="IMT55" s="3078"/>
      <c r="IMU55" s="3078"/>
      <c r="IMV55" s="3078"/>
      <c r="IMW55" s="3078"/>
      <c r="IMX55" s="3078"/>
      <c r="IMY55" s="3078"/>
      <c r="IMZ55" s="3078"/>
      <c r="INA55" s="3075" t="s">
        <v>55</v>
      </c>
      <c r="INB55" s="3078"/>
      <c r="INC55" s="3078"/>
      <c r="IND55" s="3078"/>
      <c r="INE55" s="3078"/>
      <c r="INF55" s="3078"/>
      <c r="ING55" s="3078"/>
      <c r="INH55" s="3078"/>
      <c r="INI55" s="3075" t="s">
        <v>55</v>
      </c>
      <c r="INJ55" s="3078"/>
      <c r="INK55" s="3078"/>
      <c r="INL55" s="3078"/>
      <c r="INM55" s="3078"/>
      <c r="INN55" s="3078"/>
      <c r="INO55" s="3078"/>
      <c r="INP55" s="3078"/>
      <c r="INQ55" s="3075" t="s">
        <v>55</v>
      </c>
      <c r="INR55" s="3078"/>
      <c r="INS55" s="3078"/>
      <c r="INT55" s="3078"/>
      <c r="INU55" s="3078"/>
      <c r="INV55" s="3078"/>
      <c r="INW55" s="3078"/>
      <c r="INX55" s="3078"/>
      <c r="INY55" s="3075" t="s">
        <v>55</v>
      </c>
      <c r="INZ55" s="3078"/>
      <c r="IOA55" s="3078"/>
      <c r="IOB55" s="3078"/>
      <c r="IOC55" s="3078"/>
      <c r="IOD55" s="3078"/>
      <c r="IOE55" s="3078"/>
      <c r="IOF55" s="3078"/>
      <c r="IOG55" s="3075" t="s">
        <v>55</v>
      </c>
      <c r="IOH55" s="3078"/>
      <c r="IOI55" s="3078"/>
      <c r="IOJ55" s="3078"/>
      <c r="IOK55" s="3078"/>
      <c r="IOL55" s="3078"/>
      <c r="IOM55" s="3078"/>
      <c r="ION55" s="3078"/>
      <c r="IOO55" s="3075" t="s">
        <v>55</v>
      </c>
      <c r="IOP55" s="3078"/>
      <c r="IOQ55" s="3078"/>
      <c r="IOR55" s="3078"/>
      <c r="IOS55" s="3078"/>
      <c r="IOT55" s="3078"/>
      <c r="IOU55" s="3078"/>
      <c r="IOV55" s="3078"/>
      <c r="IOW55" s="3075" t="s">
        <v>55</v>
      </c>
      <c r="IOX55" s="3078"/>
      <c r="IOY55" s="3078"/>
      <c r="IOZ55" s="3078"/>
      <c r="IPA55" s="3078"/>
      <c r="IPB55" s="3078"/>
      <c r="IPC55" s="3078"/>
      <c r="IPD55" s="3078"/>
      <c r="IPE55" s="3075" t="s">
        <v>55</v>
      </c>
      <c r="IPF55" s="3078"/>
      <c r="IPG55" s="3078"/>
      <c r="IPH55" s="3078"/>
      <c r="IPI55" s="3078"/>
      <c r="IPJ55" s="3078"/>
      <c r="IPK55" s="3078"/>
      <c r="IPL55" s="3078"/>
      <c r="IPM55" s="3075" t="s">
        <v>55</v>
      </c>
      <c r="IPN55" s="3078"/>
      <c r="IPO55" s="3078"/>
      <c r="IPP55" s="3078"/>
      <c r="IPQ55" s="3078"/>
      <c r="IPR55" s="3078"/>
      <c r="IPS55" s="3078"/>
      <c r="IPT55" s="3078"/>
      <c r="IPU55" s="3075" t="s">
        <v>55</v>
      </c>
      <c r="IPV55" s="3078"/>
      <c r="IPW55" s="3078"/>
      <c r="IPX55" s="3078"/>
      <c r="IPY55" s="3078"/>
      <c r="IPZ55" s="3078"/>
      <c r="IQA55" s="3078"/>
      <c r="IQB55" s="3078"/>
      <c r="IQC55" s="3075" t="s">
        <v>55</v>
      </c>
      <c r="IQD55" s="3078"/>
      <c r="IQE55" s="3078"/>
      <c r="IQF55" s="3078"/>
      <c r="IQG55" s="3078"/>
      <c r="IQH55" s="3078"/>
      <c r="IQI55" s="3078"/>
      <c r="IQJ55" s="3078"/>
      <c r="IQK55" s="3075" t="s">
        <v>55</v>
      </c>
      <c r="IQL55" s="3078"/>
      <c r="IQM55" s="3078"/>
      <c r="IQN55" s="3078"/>
      <c r="IQO55" s="3078"/>
      <c r="IQP55" s="3078"/>
      <c r="IQQ55" s="3078"/>
      <c r="IQR55" s="3078"/>
      <c r="IQS55" s="3075" t="s">
        <v>55</v>
      </c>
      <c r="IQT55" s="3078"/>
      <c r="IQU55" s="3078"/>
      <c r="IQV55" s="3078"/>
      <c r="IQW55" s="3078"/>
      <c r="IQX55" s="3078"/>
      <c r="IQY55" s="3078"/>
      <c r="IQZ55" s="3078"/>
      <c r="IRA55" s="3075" t="s">
        <v>55</v>
      </c>
      <c r="IRB55" s="3078"/>
      <c r="IRC55" s="3078"/>
      <c r="IRD55" s="3078"/>
      <c r="IRE55" s="3078"/>
      <c r="IRF55" s="3078"/>
      <c r="IRG55" s="3078"/>
      <c r="IRH55" s="3078"/>
      <c r="IRI55" s="3075" t="s">
        <v>55</v>
      </c>
      <c r="IRJ55" s="3078"/>
      <c r="IRK55" s="3078"/>
      <c r="IRL55" s="3078"/>
      <c r="IRM55" s="3078"/>
      <c r="IRN55" s="3078"/>
      <c r="IRO55" s="3078"/>
      <c r="IRP55" s="3078"/>
      <c r="IRQ55" s="3075" t="s">
        <v>55</v>
      </c>
      <c r="IRR55" s="3078"/>
      <c r="IRS55" s="3078"/>
      <c r="IRT55" s="3078"/>
      <c r="IRU55" s="3078"/>
      <c r="IRV55" s="3078"/>
      <c r="IRW55" s="3078"/>
      <c r="IRX55" s="3078"/>
      <c r="IRY55" s="3075" t="s">
        <v>55</v>
      </c>
      <c r="IRZ55" s="3078"/>
      <c r="ISA55" s="3078"/>
      <c r="ISB55" s="3078"/>
      <c r="ISC55" s="3078"/>
      <c r="ISD55" s="3078"/>
      <c r="ISE55" s="3078"/>
      <c r="ISF55" s="3078"/>
      <c r="ISG55" s="3075" t="s">
        <v>55</v>
      </c>
      <c r="ISH55" s="3078"/>
      <c r="ISI55" s="3078"/>
      <c r="ISJ55" s="3078"/>
      <c r="ISK55" s="3078"/>
      <c r="ISL55" s="3078"/>
      <c r="ISM55" s="3078"/>
      <c r="ISN55" s="3078"/>
      <c r="ISO55" s="3075" t="s">
        <v>55</v>
      </c>
      <c r="ISP55" s="3078"/>
      <c r="ISQ55" s="3078"/>
      <c r="ISR55" s="3078"/>
      <c r="ISS55" s="3078"/>
      <c r="IST55" s="3078"/>
      <c r="ISU55" s="3078"/>
      <c r="ISV55" s="3078"/>
      <c r="ISW55" s="3075" t="s">
        <v>55</v>
      </c>
      <c r="ISX55" s="3078"/>
      <c r="ISY55" s="3078"/>
      <c r="ISZ55" s="3078"/>
      <c r="ITA55" s="3078"/>
      <c r="ITB55" s="3078"/>
      <c r="ITC55" s="3078"/>
      <c r="ITD55" s="3078"/>
      <c r="ITE55" s="3075" t="s">
        <v>55</v>
      </c>
      <c r="ITF55" s="3078"/>
      <c r="ITG55" s="3078"/>
      <c r="ITH55" s="3078"/>
      <c r="ITI55" s="3078"/>
      <c r="ITJ55" s="3078"/>
      <c r="ITK55" s="3078"/>
      <c r="ITL55" s="3078"/>
      <c r="ITM55" s="3075" t="s">
        <v>55</v>
      </c>
      <c r="ITN55" s="3078"/>
      <c r="ITO55" s="3078"/>
      <c r="ITP55" s="3078"/>
      <c r="ITQ55" s="3078"/>
      <c r="ITR55" s="3078"/>
      <c r="ITS55" s="3078"/>
      <c r="ITT55" s="3078"/>
      <c r="ITU55" s="3075" t="s">
        <v>55</v>
      </c>
      <c r="ITV55" s="3078"/>
      <c r="ITW55" s="3078"/>
      <c r="ITX55" s="3078"/>
      <c r="ITY55" s="3078"/>
      <c r="ITZ55" s="3078"/>
      <c r="IUA55" s="3078"/>
      <c r="IUB55" s="3078"/>
      <c r="IUC55" s="3075" t="s">
        <v>55</v>
      </c>
      <c r="IUD55" s="3078"/>
      <c r="IUE55" s="3078"/>
      <c r="IUF55" s="3078"/>
      <c r="IUG55" s="3078"/>
      <c r="IUH55" s="3078"/>
      <c r="IUI55" s="3078"/>
      <c r="IUJ55" s="3078"/>
      <c r="IUK55" s="3075" t="s">
        <v>55</v>
      </c>
      <c r="IUL55" s="3078"/>
      <c r="IUM55" s="3078"/>
      <c r="IUN55" s="3078"/>
      <c r="IUO55" s="3078"/>
      <c r="IUP55" s="3078"/>
      <c r="IUQ55" s="3078"/>
      <c r="IUR55" s="3078"/>
      <c r="IUS55" s="3075" t="s">
        <v>55</v>
      </c>
      <c r="IUT55" s="3078"/>
      <c r="IUU55" s="3078"/>
      <c r="IUV55" s="3078"/>
      <c r="IUW55" s="3078"/>
      <c r="IUX55" s="3078"/>
      <c r="IUY55" s="3078"/>
      <c r="IUZ55" s="3078"/>
      <c r="IVA55" s="3075" t="s">
        <v>55</v>
      </c>
      <c r="IVB55" s="3078"/>
      <c r="IVC55" s="3078"/>
      <c r="IVD55" s="3078"/>
      <c r="IVE55" s="3078"/>
      <c r="IVF55" s="3078"/>
      <c r="IVG55" s="3078"/>
      <c r="IVH55" s="3078"/>
      <c r="IVI55" s="3075" t="s">
        <v>55</v>
      </c>
      <c r="IVJ55" s="3078"/>
      <c r="IVK55" s="3078"/>
      <c r="IVL55" s="3078"/>
      <c r="IVM55" s="3078"/>
      <c r="IVN55" s="3078"/>
      <c r="IVO55" s="3078"/>
      <c r="IVP55" s="3078"/>
      <c r="IVQ55" s="3075" t="s">
        <v>55</v>
      </c>
      <c r="IVR55" s="3078"/>
      <c r="IVS55" s="3078"/>
      <c r="IVT55" s="3078"/>
      <c r="IVU55" s="3078"/>
      <c r="IVV55" s="3078"/>
      <c r="IVW55" s="3078"/>
      <c r="IVX55" s="3078"/>
      <c r="IVY55" s="3075" t="s">
        <v>55</v>
      </c>
      <c r="IVZ55" s="3078"/>
      <c r="IWA55" s="3078"/>
      <c r="IWB55" s="3078"/>
      <c r="IWC55" s="3078"/>
      <c r="IWD55" s="3078"/>
      <c r="IWE55" s="3078"/>
      <c r="IWF55" s="3078"/>
      <c r="IWG55" s="3075" t="s">
        <v>55</v>
      </c>
      <c r="IWH55" s="3078"/>
      <c r="IWI55" s="3078"/>
      <c r="IWJ55" s="3078"/>
      <c r="IWK55" s="3078"/>
      <c r="IWL55" s="3078"/>
      <c r="IWM55" s="3078"/>
      <c r="IWN55" s="3078"/>
      <c r="IWO55" s="3075" t="s">
        <v>55</v>
      </c>
      <c r="IWP55" s="3078"/>
      <c r="IWQ55" s="3078"/>
      <c r="IWR55" s="3078"/>
      <c r="IWS55" s="3078"/>
      <c r="IWT55" s="3078"/>
      <c r="IWU55" s="3078"/>
      <c r="IWV55" s="3078"/>
      <c r="IWW55" s="3075" t="s">
        <v>55</v>
      </c>
      <c r="IWX55" s="3078"/>
      <c r="IWY55" s="3078"/>
      <c r="IWZ55" s="3078"/>
      <c r="IXA55" s="3078"/>
      <c r="IXB55" s="3078"/>
      <c r="IXC55" s="3078"/>
      <c r="IXD55" s="3078"/>
      <c r="IXE55" s="3075" t="s">
        <v>55</v>
      </c>
      <c r="IXF55" s="3078"/>
      <c r="IXG55" s="3078"/>
      <c r="IXH55" s="3078"/>
      <c r="IXI55" s="3078"/>
      <c r="IXJ55" s="3078"/>
      <c r="IXK55" s="3078"/>
      <c r="IXL55" s="3078"/>
      <c r="IXM55" s="3075" t="s">
        <v>55</v>
      </c>
      <c r="IXN55" s="3078"/>
      <c r="IXO55" s="3078"/>
      <c r="IXP55" s="3078"/>
      <c r="IXQ55" s="3078"/>
      <c r="IXR55" s="3078"/>
      <c r="IXS55" s="3078"/>
      <c r="IXT55" s="3078"/>
      <c r="IXU55" s="3075" t="s">
        <v>55</v>
      </c>
      <c r="IXV55" s="3078"/>
      <c r="IXW55" s="3078"/>
      <c r="IXX55" s="3078"/>
      <c r="IXY55" s="3078"/>
      <c r="IXZ55" s="3078"/>
      <c r="IYA55" s="3078"/>
      <c r="IYB55" s="3078"/>
      <c r="IYC55" s="3075" t="s">
        <v>55</v>
      </c>
      <c r="IYD55" s="3078"/>
      <c r="IYE55" s="3078"/>
      <c r="IYF55" s="3078"/>
      <c r="IYG55" s="3078"/>
      <c r="IYH55" s="3078"/>
      <c r="IYI55" s="3078"/>
      <c r="IYJ55" s="3078"/>
      <c r="IYK55" s="3075" t="s">
        <v>55</v>
      </c>
      <c r="IYL55" s="3078"/>
      <c r="IYM55" s="3078"/>
      <c r="IYN55" s="3078"/>
      <c r="IYO55" s="3078"/>
      <c r="IYP55" s="3078"/>
      <c r="IYQ55" s="3078"/>
      <c r="IYR55" s="3078"/>
      <c r="IYS55" s="3075" t="s">
        <v>55</v>
      </c>
      <c r="IYT55" s="3078"/>
      <c r="IYU55" s="3078"/>
      <c r="IYV55" s="3078"/>
      <c r="IYW55" s="3078"/>
      <c r="IYX55" s="3078"/>
      <c r="IYY55" s="3078"/>
      <c r="IYZ55" s="3078"/>
      <c r="IZA55" s="3075" t="s">
        <v>55</v>
      </c>
      <c r="IZB55" s="3078"/>
      <c r="IZC55" s="3078"/>
      <c r="IZD55" s="3078"/>
      <c r="IZE55" s="3078"/>
      <c r="IZF55" s="3078"/>
      <c r="IZG55" s="3078"/>
      <c r="IZH55" s="3078"/>
      <c r="IZI55" s="3075" t="s">
        <v>55</v>
      </c>
      <c r="IZJ55" s="3078"/>
      <c r="IZK55" s="3078"/>
      <c r="IZL55" s="3078"/>
      <c r="IZM55" s="3078"/>
      <c r="IZN55" s="3078"/>
      <c r="IZO55" s="3078"/>
      <c r="IZP55" s="3078"/>
      <c r="IZQ55" s="3075" t="s">
        <v>55</v>
      </c>
      <c r="IZR55" s="3078"/>
      <c r="IZS55" s="3078"/>
      <c r="IZT55" s="3078"/>
      <c r="IZU55" s="3078"/>
      <c r="IZV55" s="3078"/>
      <c r="IZW55" s="3078"/>
      <c r="IZX55" s="3078"/>
      <c r="IZY55" s="3075" t="s">
        <v>55</v>
      </c>
      <c r="IZZ55" s="3078"/>
      <c r="JAA55" s="3078"/>
      <c r="JAB55" s="3078"/>
      <c r="JAC55" s="3078"/>
      <c r="JAD55" s="3078"/>
      <c r="JAE55" s="3078"/>
      <c r="JAF55" s="3078"/>
      <c r="JAG55" s="3075" t="s">
        <v>55</v>
      </c>
      <c r="JAH55" s="3078"/>
      <c r="JAI55" s="3078"/>
      <c r="JAJ55" s="3078"/>
      <c r="JAK55" s="3078"/>
      <c r="JAL55" s="3078"/>
      <c r="JAM55" s="3078"/>
      <c r="JAN55" s="3078"/>
      <c r="JAO55" s="3075" t="s">
        <v>55</v>
      </c>
      <c r="JAP55" s="3078"/>
      <c r="JAQ55" s="3078"/>
      <c r="JAR55" s="3078"/>
      <c r="JAS55" s="3078"/>
      <c r="JAT55" s="3078"/>
      <c r="JAU55" s="3078"/>
      <c r="JAV55" s="3078"/>
      <c r="JAW55" s="3075" t="s">
        <v>55</v>
      </c>
      <c r="JAX55" s="3078"/>
      <c r="JAY55" s="3078"/>
      <c r="JAZ55" s="3078"/>
      <c r="JBA55" s="3078"/>
      <c r="JBB55" s="3078"/>
      <c r="JBC55" s="3078"/>
      <c r="JBD55" s="3078"/>
      <c r="JBE55" s="3075" t="s">
        <v>55</v>
      </c>
      <c r="JBF55" s="3078"/>
      <c r="JBG55" s="3078"/>
      <c r="JBH55" s="3078"/>
      <c r="JBI55" s="3078"/>
      <c r="JBJ55" s="3078"/>
      <c r="JBK55" s="3078"/>
      <c r="JBL55" s="3078"/>
      <c r="JBM55" s="3075" t="s">
        <v>55</v>
      </c>
      <c r="JBN55" s="3078"/>
      <c r="JBO55" s="3078"/>
      <c r="JBP55" s="3078"/>
      <c r="JBQ55" s="3078"/>
      <c r="JBR55" s="3078"/>
      <c r="JBS55" s="3078"/>
      <c r="JBT55" s="3078"/>
      <c r="JBU55" s="3075" t="s">
        <v>55</v>
      </c>
      <c r="JBV55" s="3078"/>
      <c r="JBW55" s="3078"/>
      <c r="JBX55" s="3078"/>
      <c r="JBY55" s="3078"/>
      <c r="JBZ55" s="3078"/>
      <c r="JCA55" s="3078"/>
      <c r="JCB55" s="3078"/>
      <c r="JCC55" s="3075" t="s">
        <v>55</v>
      </c>
      <c r="JCD55" s="3078"/>
      <c r="JCE55" s="3078"/>
      <c r="JCF55" s="3078"/>
      <c r="JCG55" s="3078"/>
      <c r="JCH55" s="3078"/>
      <c r="JCI55" s="3078"/>
      <c r="JCJ55" s="3078"/>
      <c r="JCK55" s="3075" t="s">
        <v>55</v>
      </c>
      <c r="JCL55" s="3078"/>
      <c r="JCM55" s="3078"/>
      <c r="JCN55" s="3078"/>
      <c r="JCO55" s="3078"/>
      <c r="JCP55" s="3078"/>
      <c r="JCQ55" s="3078"/>
      <c r="JCR55" s="3078"/>
      <c r="JCS55" s="3075" t="s">
        <v>55</v>
      </c>
      <c r="JCT55" s="3078"/>
      <c r="JCU55" s="3078"/>
      <c r="JCV55" s="3078"/>
      <c r="JCW55" s="3078"/>
      <c r="JCX55" s="3078"/>
      <c r="JCY55" s="3078"/>
      <c r="JCZ55" s="3078"/>
      <c r="JDA55" s="3075" t="s">
        <v>55</v>
      </c>
      <c r="JDB55" s="3078"/>
      <c r="JDC55" s="3078"/>
      <c r="JDD55" s="3078"/>
      <c r="JDE55" s="3078"/>
      <c r="JDF55" s="3078"/>
      <c r="JDG55" s="3078"/>
      <c r="JDH55" s="3078"/>
      <c r="JDI55" s="3075" t="s">
        <v>55</v>
      </c>
      <c r="JDJ55" s="3078"/>
      <c r="JDK55" s="3078"/>
      <c r="JDL55" s="3078"/>
      <c r="JDM55" s="3078"/>
      <c r="JDN55" s="3078"/>
      <c r="JDO55" s="3078"/>
      <c r="JDP55" s="3078"/>
      <c r="JDQ55" s="3075" t="s">
        <v>55</v>
      </c>
      <c r="JDR55" s="3078"/>
      <c r="JDS55" s="3078"/>
      <c r="JDT55" s="3078"/>
      <c r="JDU55" s="3078"/>
      <c r="JDV55" s="3078"/>
      <c r="JDW55" s="3078"/>
      <c r="JDX55" s="3078"/>
      <c r="JDY55" s="3075" t="s">
        <v>55</v>
      </c>
      <c r="JDZ55" s="3078"/>
      <c r="JEA55" s="3078"/>
      <c r="JEB55" s="3078"/>
      <c r="JEC55" s="3078"/>
      <c r="JED55" s="3078"/>
      <c r="JEE55" s="3078"/>
      <c r="JEF55" s="3078"/>
      <c r="JEG55" s="3075" t="s">
        <v>55</v>
      </c>
      <c r="JEH55" s="3078"/>
      <c r="JEI55" s="3078"/>
      <c r="JEJ55" s="3078"/>
      <c r="JEK55" s="3078"/>
      <c r="JEL55" s="3078"/>
      <c r="JEM55" s="3078"/>
      <c r="JEN55" s="3078"/>
      <c r="JEO55" s="3075" t="s">
        <v>55</v>
      </c>
      <c r="JEP55" s="3078"/>
      <c r="JEQ55" s="3078"/>
      <c r="JER55" s="3078"/>
      <c r="JES55" s="3078"/>
      <c r="JET55" s="3078"/>
      <c r="JEU55" s="3078"/>
      <c r="JEV55" s="3078"/>
      <c r="JEW55" s="3075" t="s">
        <v>55</v>
      </c>
      <c r="JEX55" s="3078"/>
      <c r="JEY55" s="3078"/>
      <c r="JEZ55" s="3078"/>
      <c r="JFA55" s="3078"/>
      <c r="JFB55" s="3078"/>
      <c r="JFC55" s="3078"/>
      <c r="JFD55" s="3078"/>
      <c r="JFE55" s="3075" t="s">
        <v>55</v>
      </c>
      <c r="JFF55" s="3078"/>
      <c r="JFG55" s="3078"/>
      <c r="JFH55" s="3078"/>
      <c r="JFI55" s="3078"/>
      <c r="JFJ55" s="3078"/>
      <c r="JFK55" s="3078"/>
      <c r="JFL55" s="3078"/>
      <c r="JFM55" s="3075" t="s">
        <v>55</v>
      </c>
      <c r="JFN55" s="3078"/>
      <c r="JFO55" s="3078"/>
      <c r="JFP55" s="3078"/>
      <c r="JFQ55" s="3078"/>
      <c r="JFR55" s="3078"/>
      <c r="JFS55" s="3078"/>
      <c r="JFT55" s="3078"/>
      <c r="JFU55" s="3075" t="s">
        <v>55</v>
      </c>
      <c r="JFV55" s="3078"/>
      <c r="JFW55" s="3078"/>
      <c r="JFX55" s="3078"/>
      <c r="JFY55" s="3078"/>
      <c r="JFZ55" s="3078"/>
      <c r="JGA55" s="3078"/>
      <c r="JGB55" s="3078"/>
      <c r="JGC55" s="3075" t="s">
        <v>55</v>
      </c>
      <c r="JGD55" s="3078"/>
      <c r="JGE55" s="3078"/>
      <c r="JGF55" s="3078"/>
      <c r="JGG55" s="3078"/>
      <c r="JGH55" s="3078"/>
      <c r="JGI55" s="3078"/>
      <c r="JGJ55" s="3078"/>
      <c r="JGK55" s="3075" t="s">
        <v>55</v>
      </c>
      <c r="JGL55" s="3078"/>
      <c r="JGM55" s="3078"/>
      <c r="JGN55" s="3078"/>
      <c r="JGO55" s="3078"/>
      <c r="JGP55" s="3078"/>
      <c r="JGQ55" s="3078"/>
      <c r="JGR55" s="3078"/>
      <c r="JGS55" s="3075" t="s">
        <v>55</v>
      </c>
      <c r="JGT55" s="3078"/>
      <c r="JGU55" s="3078"/>
      <c r="JGV55" s="3078"/>
      <c r="JGW55" s="3078"/>
      <c r="JGX55" s="3078"/>
      <c r="JGY55" s="3078"/>
      <c r="JGZ55" s="3078"/>
      <c r="JHA55" s="3075" t="s">
        <v>55</v>
      </c>
      <c r="JHB55" s="3078"/>
      <c r="JHC55" s="3078"/>
      <c r="JHD55" s="3078"/>
      <c r="JHE55" s="3078"/>
      <c r="JHF55" s="3078"/>
      <c r="JHG55" s="3078"/>
      <c r="JHH55" s="3078"/>
      <c r="JHI55" s="3075" t="s">
        <v>55</v>
      </c>
      <c r="JHJ55" s="3078"/>
      <c r="JHK55" s="3078"/>
      <c r="JHL55" s="3078"/>
      <c r="JHM55" s="3078"/>
      <c r="JHN55" s="3078"/>
      <c r="JHO55" s="3078"/>
      <c r="JHP55" s="3078"/>
      <c r="JHQ55" s="3075" t="s">
        <v>55</v>
      </c>
      <c r="JHR55" s="3078"/>
      <c r="JHS55" s="3078"/>
      <c r="JHT55" s="3078"/>
      <c r="JHU55" s="3078"/>
      <c r="JHV55" s="3078"/>
      <c r="JHW55" s="3078"/>
      <c r="JHX55" s="3078"/>
      <c r="JHY55" s="3075" t="s">
        <v>55</v>
      </c>
      <c r="JHZ55" s="3078"/>
      <c r="JIA55" s="3078"/>
      <c r="JIB55" s="3078"/>
      <c r="JIC55" s="3078"/>
      <c r="JID55" s="3078"/>
      <c r="JIE55" s="3078"/>
      <c r="JIF55" s="3078"/>
      <c r="JIG55" s="3075" t="s">
        <v>55</v>
      </c>
      <c r="JIH55" s="3078"/>
      <c r="JII55" s="3078"/>
      <c r="JIJ55" s="3078"/>
      <c r="JIK55" s="3078"/>
      <c r="JIL55" s="3078"/>
      <c r="JIM55" s="3078"/>
      <c r="JIN55" s="3078"/>
      <c r="JIO55" s="3075" t="s">
        <v>55</v>
      </c>
      <c r="JIP55" s="3078"/>
      <c r="JIQ55" s="3078"/>
      <c r="JIR55" s="3078"/>
      <c r="JIS55" s="3078"/>
      <c r="JIT55" s="3078"/>
      <c r="JIU55" s="3078"/>
      <c r="JIV55" s="3078"/>
      <c r="JIW55" s="3075" t="s">
        <v>55</v>
      </c>
      <c r="JIX55" s="3078"/>
      <c r="JIY55" s="3078"/>
      <c r="JIZ55" s="3078"/>
      <c r="JJA55" s="3078"/>
      <c r="JJB55" s="3078"/>
      <c r="JJC55" s="3078"/>
      <c r="JJD55" s="3078"/>
      <c r="JJE55" s="3075" t="s">
        <v>55</v>
      </c>
      <c r="JJF55" s="3078"/>
      <c r="JJG55" s="3078"/>
      <c r="JJH55" s="3078"/>
      <c r="JJI55" s="3078"/>
      <c r="JJJ55" s="3078"/>
      <c r="JJK55" s="3078"/>
      <c r="JJL55" s="3078"/>
      <c r="JJM55" s="3075" t="s">
        <v>55</v>
      </c>
      <c r="JJN55" s="3078"/>
      <c r="JJO55" s="3078"/>
      <c r="JJP55" s="3078"/>
      <c r="JJQ55" s="3078"/>
      <c r="JJR55" s="3078"/>
      <c r="JJS55" s="3078"/>
      <c r="JJT55" s="3078"/>
      <c r="JJU55" s="3075" t="s">
        <v>55</v>
      </c>
      <c r="JJV55" s="3078"/>
      <c r="JJW55" s="3078"/>
      <c r="JJX55" s="3078"/>
      <c r="JJY55" s="3078"/>
      <c r="JJZ55" s="3078"/>
      <c r="JKA55" s="3078"/>
      <c r="JKB55" s="3078"/>
      <c r="JKC55" s="3075" t="s">
        <v>55</v>
      </c>
      <c r="JKD55" s="3078"/>
      <c r="JKE55" s="3078"/>
      <c r="JKF55" s="3078"/>
      <c r="JKG55" s="3078"/>
      <c r="JKH55" s="3078"/>
      <c r="JKI55" s="3078"/>
      <c r="JKJ55" s="3078"/>
      <c r="JKK55" s="3075" t="s">
        <v>55</v>
      </c>
      <c r="JKL55" s="3078"/>
      <c r="JKM55" s="3078"/>
      <c r="JKN55" s="3078"/>
      <c r="JKO55" s="3078"/>
      <c r="JKP55" s="3078"/>
      <c r="JKQ55" s="3078"/>
      <c r="JKR55" s="3078"/>
      <c r="JKS55" s="3075" t="s">
        <v>55</v>
      </c>
      <c r="JKT55" s="3078"/>
      <c r="JKU55" s="3078"/>
      <c r="JKV55" s="3078"/>
      <c r="JKW55" s="3078"/>
      <c r="JKX55" s="3078"/>
      <c r="JKY55" s="3078"/>
      <c r="JKZ55" s="3078"/>
      <c r="JLA55" s="3075" t="s">
        <v>55</v>
      </c>
      <c r="JLB55" s="3078"/>
      <c r="JLC55" s="3078"/>
      <c r="JLD55" s="3078"/>
      <c r="JLE55" s="3078"/>
      <c r="JLF55" s="3078"/>
      <c r="JLG55" s="3078"/>
      <c r="JLH55" s="3078"/>
      <c r="JLI55" s="3075" t="s">
        <v>55</v>
      </c>
      <c r="JLJ55" s="3078"/>
      <c r="JLK55" s="3078"/>
      <c r="JLL55" s="3078"/>
      <c r="JLM55" s="3078"/>
      <c r="JLN55" s="3078"/>
      <c r="JLO55" s="3078"/>
      <c r="JLP55" s="3078"/>
      <c r="JLQ55" s="3075" t="s">
        <v>55</v>
      </c>
      <c r="JLR55" s="3078"/>
      <c r="JLS55" s="3078"/>
      <c r="JLT55" s="3078"/>
      <c r="JLU55" s="3078"/>
      <c r="JLV55" s="3078"/>
      <c r="JLW55" s="3078"/>
      <c r="JLX55" s="3078"/>
      <c r="JLY55" s="3075" t="s">
        <v>55</v>
      </c>
      <c r="JLZ55" s="3078"/>
      <c r="JMA55" s="3078"/>
      <c r="JMB55" s="3078"/>
      <c r="JMC55" s="3078"/>
      <c r="JMD55" s="3078"/>
      <c r="JME55" s="3078"/>
      <c r="JMF55" s="3078"/>
      <c r="JMG55" s="3075" t="s">
        <v>55</v>
      </c>
      <c r="JMH55" s="3078"/>
      <c r="JMI55" s="3078"/>
      <c r="JMJ55" s="3078"/>
      <c r="JMK55" s="3078"/>
      <c r="JML55" s="3078"/>
      <c r="JMM55" s="3078"/>
      <c r="JMN55" s="3078"/>
      <c r="JMO55" s="3075" t="s">
        <v>55</v>
      </c>
      <c r="JMP55" s="3078"/>
      <c r="JMQ55" s="3078"/>
      <c r="JMR55" s="3078"/>
      <c r="JMS55" s="3078"/>
      <c r="JMT55" s="3078"/>
      <c r="JMU55" s="3078"/>
      <c r="JMV55" s="3078"/>
      <c r="JMW55" s="3075" t="s">
        <v>55</v>
      </c>
      <c r="JMX55" s="3078"/>
      <c r="JMY55" s="3078"/>
      <c r="JMZ55" s="3078"/>
      <c r="JNA55" s="3078"/>
      <c r="JNB55" s="3078"/>
      <c r="JNC55" s="3078"/>
      <c r="JND55" s="3078"/>
      <c r="JNE55" s="3075" t="s">
        <v>55</v>
      </c>
      <c r="JNF55" s="3078"/>
      <c r="JNG55" s="3078"/>
      <c r="JNH55" s="3078"/>
      <c r="JNI55" s="3078"/>
      <c r="JNJ55" s="3078"/>
      <c r="JNK55" s="3078"/>
      <c r="JNL55" s="3078"/>
      <c r="JNM55" s="3075" t="s">
        <v>55</v>
      </c>
      <c r="JNN55" s="3078"/>
      <c r="JNO55" s="3078"/>
      <c r="JNP55" s="3078"/>
      <c r="JNQ55" s="3078"/>
      <c r="JNR55" s="3078"/>
      <c r="JNS55" s="3078"/>
      <c r="JNT55" s="3078"/>
      <c r="JNU55" s="3075" t="s">
        <v>55</v>
      </c>
      <c r="JNV55" s="3078"/>
      <c r="JNW55" s="3078"/>
      <c r="JNX55" s="3078"/>
      <c r="JNY55" s="3078"/>
      <c r="JNZ55" s="3078"/>
      <c r="JOA55" s="3078"/>
      <c r="JOB55" s="3078"/>
      <c r="JOC55" s="3075" t="s">
        <v>55</v>
      </c>
      <c r="JOD55" s="3078"/>
      <c r="JOE55" s="3078"/>
      <c r="JOF55" s="3078"/>
      <c r="JOG55" s="3078"/>
      <c r="JOH55" s="3078"/>
      <c r="JOI55" s="3078"/>
      <c r="JOJ55" s="3078"/>
      <c r="JOK55" s="3075" t="s">
        <v>55</v>
      </c>
      <c r="JOL55" s="3078"/>
      <c r="JOM55" s="3078"/>
      <c r="JON55" s="3078"/>
      <c r="JOO55" s="3078"/>
      <c r="JOP55" s="3078"/>
      <c r="JOQ55" s="3078"/>
      <c r="JOR55" s="3078"/>
      <c r="JOS55" s="3075" t="s">
        <v>55</v>
      </c>
      <c r="JOT55" s="3078"/>
      <c r="JOU55" s="3078"/>
      <c r="JOV55" s="3078"/>
      <c r="JOW55" s="3078"/>
      <c r="JOX55" s="3078"/>
      <c r="JOY55" s="3078"/>
      <c r="JOZ55" s="3078"/>
      <c r="JPA55" s="3075" t="s">
        <v>55</v>
      </c>
      <c r="JPB55" s="3078"/>
      <c r="JPC55" s="3078"/>
      <c r="JPD55" s="3078"/>
      <c r="JPE55" s="3078"/>
      <c r="JPF55" s="3078"/>
      <c r="JPG55" s="3078"/>
      <c r="JPH55" s="3078"/>
      <c r="JPI55" s="3075" t="s">
        <v>55</v>
      </c>
      <c r="JPJ55" s="3078"/>
      <c r="JPK55" s="3078"/>
      <c r="JPL55" s="3078"/>
      <c r="JPM55" s="3078"/>
      <c r="JPN55" s="3078"/>
      <c r="JPO55" s="3078"/>
      <c r="JPP55" s="3078"/>
      <c r="JPQ55" s="3075" t="s">
        <v>55</v>
      </c>
      <c r="JPR55" s="3078"/>
      <c r="JPS55" s="3078"/>
      <c r="JPT55" s="3078"/>
      <c r="JPU55" s="3078"/>
      <c r="JPV55" s="3078"/>
      <c r="JPW55" s="3078"/>
      <c r="JPX55" s="3078"/>
      <c r="JPY55" s="3075" t="s">
        <v>55</v>
      </c>
      <c r="JPZ55" s="3078"/>
      <c r="JQA55" s="3078"/>
      <c r="JQB55" s="3078"/>
      <c r="JQC55" s="3078"/>
      <c r="JQD55" s="3078"/>
      <c r="JQE55" s="3078"/>
      <c r="JQF55" s="3078"/>
      <c r="JQG55" s="3075" t="s">
        <v>55</v>
      </c>
      <c r="JQH55" s="3078"/>
      <c r="JQI55" s="3078"/>
      <c r="JQJ55" s="3078"/>
      <c r="JQK55" s="3078"/>
      <c r="JQL55" s="3078"/>
      <c r="JQM55" s="3078"/>
      <c r="JQN55" s="3078"/>
      <c r="JQO55" s="3075" t="s">
        <v>55</v>
      </c>
      <c r="JQP55" s="3078"/>
      <c r="JQQ55" s="3078"/>
      <c r="JQR55" s="3078"/>
      <c r="JQS55" s="3078"/>
      <c r="JQT55" s="3078"/>
      <c r="JQU55" s="3078"/>
      <c r="JQV55" s="3078"/>
      <c r="JQW55" s="3075" t="s">
        <v>55</v>
      </c>
      <c r="JQX55" s="3078"/>
      <c r="JQY55" s="3078"/>
      <c r="JQZ55" s="3078"/>
      <c r="JRA55" s="3078"/>
      <c r="JRB55" s="3078"/>
      <c r="JRC55" s="3078"/>
      <c r="JRD55" s="3078"/>
      <c r="JRE55" s="3075" t="s">
        <v>55</v>
      </c>
      <c r="JRF55" s="3078"/>
      <c r="JRG55" s="3078"/>
      <c r="JRH55" s="3078"/>
      <c r="JRI55" s="3078"/>
      <c r="JRJ55" s="3078"/>
      <c r="JRK55" s="3078"/>
      <c r="JRL55" s="3078"/>
      <c r="JRM55" s="3075" t="s">
        <v>55</v>
      </c>
      <c r="JRN55" s="3078"/>
      <c r="JRO55" s="3078"/>
      <c r="JRP55" s="3078"/>
      <c r="JRQ55" s="3078"/>
      <c r="JRR55" s="3078"/>
      <c r="JRS55" s="3078"/>
      <c r="JRT55" s="3078"/>
      <c r="JRU55" s="3075" t="s">
        <v>55</v>
      </c>
      <c r="JRV55" s="3078"/>
      <c r="JRW55" s="3078"/>
      <c r="JRX55" s="3078"/>
      <c r="JRY55" s="3078"/>
      <c r="JRZ55" s="3078"/>
      <c r="JSA55" s="3078"/>
      <c r="JSB55" s="3078"/>
      <c r="JSC55" s="3075" t="s">
        <v>55</v>
      </c>
      <c r="JSD55" s="3078"/>
      <c r="JSE55" s="3078"/>
      <c r="JSF55" s="3078"/>
      <c r="JSG55" s="3078"/>
      <c r="JSH55" s="3078"/>
      <c r="JSI55" s="3078"/>
      <c r="JSJ55" s="3078"/>
      <c r="JSK55" s="3075" t="s">
        <v>55</v>
      </c>
      <c r="JSL55" s="3078"/>
      <c r="JSM55" s="3078"/>
      <c r="JSN55" s="3078"/>
      <c r="JSO55" s="3078"/>
      <c r="JSP55" s="3078"/>
      <c r="JSQ55" s="3078"/>
      <c r="JSR55" s="3078"/>
      <c r="JSS55" s="3075" t="s">
        <v>55</v>
      </c>
      <c r="JST55" s="3078"/>
      <c r="JSU55" s="3078"/>
      <c r="JSV55" s="3078"/>
      <c r="JSW55" s="3078"/>
      <c r="JSX55" s="3078"/>
      <c r="JSY55" s="3078"/>
      <c r="JSZ55" s="3078"/>
      <c r="JTA55" s="3075" t="s">
        <v>55</v>
      </c>
      <c r="JTB55" s="3078"/>
      <c r="JTC55" s="3078"/>
      <c r="JTD55" s="3078"/>
      <c r="JTE55" s="3078"/>
      <c r="JTF55" s="3078"/>
      <c r="JTG55" s="3078"/>
      <c r="JTH55" s="3078"/>
      <c r="JTI55" s="3075" t="s">
        <v>55</v>
      </c>
      <c r="JTJ55" s="3078"/>
      <c r="JTK55" s="3078"/>
      <c r="JTL55" s="3078"/>
      <c r="JTM55" s="3078"/>
      <c r="JTN55" s="3078"/>
      <c r="JTO55" s="3078"/>
      <c r="JTP55" s="3078"/>
      <c r="JTQ55" s="3075" t="s">
        <v>55</v>
      </c>
      <c r="JTR55" s="3078"/>
      <c r="JTS55" s="3078"/>
      <c r="JTT55" s="3078"/>
      <c r="JTU55" s="3078"/>
      <c r="JTV55" s="3078"/>
      <c r="JTW55" s="3078"/>
      <c r="JTX55" s="3078"/>
      <c r="JTY55" s="3075" t="s">
        <v>55</v>
      </c>
      <c r="JTZ55" s="3078"/>
      <c r="JUA55" s="3078"/>
      <c r="JUB55" s="3078"/>
      <c r="JUC55" s="3078"/>
      <c r="JUD55" s="3078"/>
      <c r="JUE55" s="3078"/>
      <c r="JUF55" s="3078"/>
      <c r="JUG55" s="3075" t="s">
        <v>55</v>
      </c>
      <c r="JUH55" s="3078"/>
      <c r="JUI55" s="3078"/>
      <c r="JUJ55" s="3078"/>
      <c r="JUK55" s="3078"/>
      <c r="JUL55" s="3078"/>
      <c r="JUM55" s="3078"/>
      <c r="JUN55" s="3078"/>
      <c r="JUO55" s="3075" t="s">
        <v>55</v>
      </c>
      <c r="JUP55" s="3078"/>
      <c r="JUQ55" s="3078"/>
      <c r="JUR55" s="3078"/>
      <c r="JUS55" s="3078"/>
      <c r="JUT55" s="3078"/>
      <c r="JUU55" s="3078"/>
      <c r="JUV55" s="3078"/>
      <c r="JUW55" s="3075" t="s">
        <v>55</v>
      </c>
      <c r="JUX55" s="3078"/>
      <c r="JUY55" s="3078"/>
      <c r="JUZ55" s="3078"/>
      <c r="JVA55" s="3078"/>
      <c r="JVB55" s="3078"/>
      <c r="JVC55" s="3078"/>
      <c r="JVD55" s="3078"/>
      <c r="JVE55" s="3075" t="s">
        <v>55</v>
      </c>
      <c r="JVF55" s="3078"/>
      <c r="JVG55" s="3078"/>
      <c r="JVH55" s="3078"/>
      <c r="JVI55" s="3078"/>
      <c r="JVJ55" s="3078"/>
      <c r="JVK55" s="3078"/>
      <c r="JVL55" s="3078"/>
      <c r="JVM55" s="3075" t="s">
        <v>55</v>
      </c>
      <c r="JVN55" s="3078"/>
      <c r="JVO55" s="3078"/>
      <c r="JVP55" s="3078"/>
      <c r="JVQ55" s="3078"/>
      <c r="JVR55" s="3078"/>
      <c r="JVS55" s="3078"/>
      <c r="JVT55" s="3078"/>
      <c r="JVU55" s="3075" t="s">
        <v>55</v>
      </c>
      <c r="JVV55" s="3078"/>
      <c r="JVW55" s="3078"/>
      <c r="JVX55" s="3078"/>
      <c r="JVY55" s="3078"/>
      <c r="JVZ55" s="3078"/>
      <c r="JWA55" s="3078"/>
      <c r="JWB55" s="3078"/>
      <c r="JWC55" s="3075" t="s">
        <v>55</v>
      </c>
      <c r="JWD55" s="3078"/>
      <c r="JWE55" s="3078"/>
      <c r="JWF55" s="3078"/>
      <c r="JWG55" s="3078"/>
      <c r="JWH55" s="3078"/>
      <c r="JWI55" s="3078"/>
      <c r="JWJ55" s="3078"/>
      <c r="JWK55" s="3075" t="s">
        <v>55</v>
      </c>
      <c r="JWL55" s="3078"/>
      <c r="JWM55" s="3078"/>
      <c r="JWN55" s="3078"/>
      <c r="JWO55" s="3078"/>
      <c r="JWP55" s="3078"/>
      <c r="JWQ55" s="3078"/>
      <c r="JWR55" s="3078"/>
      <c r="JWS55" s="3075" t="s">
        <v>55</v>
      </c>
      <c r="JWT55" s="3078"/>
      <c r="JWU55" s="3078"/>
      <c r="JWV55" s="3078"/>
      <c r="JWW55" s="3078"/>
      <c r="JWX55" s="3078"/>
      <c r="JWY55" s="3078"/>
      <c r="JWZ55" s="3078"/>
      <c r="JXA55" s="3075" t="s">
        <v>55</v>
      </c>
      <c r="JXB55" s="3078"/>
      <c r="JXC55" s="3078"/>
      <c r="JXD55" s="3078"/>
      <c r="JXE55" s="3078"/>
      <c r="JXF55" s="3078"/>
      <c r="JXG55" s="3078"/>
      <c r="JXH55" s="3078"/>
      <c r="JXI55" s="3075" t="s">
        <v>55</v>
      </c>
      <c r="JXJ55" s="3078"/>
      <c r="JXK55" s="3078"/>
      <c r="JXL55" s="3078"/>
      <c r="JXM55" s="3078"/>
      <c r="JXN55" s="3078"/>
      <c r="JXO55" s="3078"/>
      <c r="JXP55" s="3078"/>
      <c r="JXQ55" s="3075" t="s">
        <v>55</v>
      </c>
      <c r="JXR55" s="3078"/>
      <c r="JXS55" s="3078"/>
      <c r="JXT55" s="3078"/>
      <c r="JXU55" s="3078"/>
      <c r="JXV55" s="3078"/>
      <c r="JXW55" s="3078"/>
      <c r="JXX55" s="3078"/>
      <c r="JXY55" s="3075" t="s">
        <v>55</v>
      </c>
      <c r="JXZ55" s="3078"/>
      <c r="JYA55" s="3078"/>
      <c r="JYB55" s="3078"/>
      <c r="JYC55" s="3078"/>
      <c r="JYD55" s="3078"/>
      <c r="JYE55" s="3078"/>
      <c r="JYF55" s="3078"/>
      <c r="JYG55" s="3075" t="s">
        <v>55</v>
      </c>
      <c r="JYH55" s="3078"/>
      <c r="JYI55" s="3078"/>
      <c r="JYJ55" s="3078"/>
      <c r="JYK55" s="3078"/>
      <c r="JYL55" s="3078"/>
      <c r="JYM55" s="3078"/>
      <c r="JYN55" s="3078"/>
      <c r="JYO55" s="3075" t="s">
        <v>55</v>
      </c>
      <c r="JYP55" s="3078"/>
      <c r="JYQ55" s="3078"/>
      <c r="JYR55" s="3078"/>
      <c r="JYS55" s="3078"/>
      <c r="JYT55" s="3078"/>
      <c r="JYU55" s="3078"/>
      <c r="JYV55" s="3078"/>
      <c r="JYW55" s="3075" t="s">
        <v>55</v>
      </c>
      <c r="JYX55" s="3078"/>
      <c r="JYY55" s="3078"/>
      <c r="JYZ55" s="3078"/>
      <c r="JZA55" s="3078"/>
      <c r="JZB55" s="3078"/>
      <c r="JZC55" s="3078"/>
      <c r="JZD55" s="3078"/>
      <c r="JZE55" s="3075" t="s">
        <v>55</v>
      </c>
      <c r="JZF55" s="3078"/>
      <c r="JZG55" s="3078"/>
      <c r="JZH55" s="3078"/>
      <c r="JZI55" s="3078"/>
      <c r="JZJ55" s="3078"/>
      <c r="JZK55" s="3078"/>
      <c r="JZL55" s="3078"/>
      <c r="JZM55" s="3075" t="s">
        <v>55</v>
      </c>
      <c r="JZN55" s="3078"/>
      <c r="JZO55" s="3078"/>
      <c r="JZP55" s="3078"/>
      <c r="JZQ55" s="3078"/>
      <c r="JZR55" s="3078"/>
      <c r="JZS55" s="3078"/>
      <c r="JZT55" s="3078"/>
      <c r="JZU55" s="3075" t="s">
        <v>55</v>
      </c>
      <c r="JZV55" s="3078"/>
      <c r="JZW55" s="3078"/>
      <c r="JZX55" s="3078"/>
      <c r="JZY55" s="3078"/>
      <c r="JZZ55" s="3078"/>
      <c r="KAA55" s="3078"/>
      <c r="KAB55" s="3078"/>
      <c r="KAC55" s="3075" t="s">
        <v>55</v>
      </c>
      <c r="KAD55" s="3078"/>
      <c r="KAE55" s="3078"/>
      <c r="KAF55" s="3078"/>
      <c r="KAG55" s="3078"/>
      <c r="KAH55" s="3078"/>
      <c r="KAI55" s="3078"/>
      <c r="KAJ55" s="3078"/>
      <c r="KAK55" s="3075" t="s">
        <v>55</v>
      </c>
      <c r="KAL55" s="3078"/>
      <c r="KAM55" s="3078"/>
      <c r="KAN55" s="3078"/>
      <c r="KAO55" s="3078"/>
      <c r="KAP55" s="3078"/>
      <c r="KAQ55" s="3078"/>
      <c r="KAR55" s="3078"/>
      <c r="KAS55" s="3075" t="s">
        <v>55</v>
      </c>
      <c r="KAT55" s="3078"/>
      <c r="KAU55" s="3078"/>
      <c r="KAV55" s="3078"/>
      <c r="KAW55" s="3078"/>
      <c r="KAX55" s="3078"/>
      <c r="KAY55" s="3078"/>
      <c r="KAZ55" s="3078"/>
      <c r="KBA55" s="3075" t="s">
        <v>55</v>
      </c>
      <c r="KBB55" s="3078"/>
      <c r="KBC55" s="3078"/>
      <c r="KBD55" s="3078"/>
      <c r="KBE55" s="3078"/>
      <c r="KBF55" s="3078"/>
      <c r="KBG55" s="3078"/>
      <c r="KBH55" s="3078"/>
      <c r="KBI55" s="3075" t="s">
        <v>55</v>
      </c>
      <c r="KBJ55" s="3078"/>
      <c r="KBK55" s="3078"/>
      <c r="KBL55" s="3078"/>
      <c r="KBM55" s="3078"/>
      <c r="KBN55" s="3078"/>
      <c r="KBO55" s="3078"/>
      <c r="KBP55" s="3078"/>
      <c r="KBQ55" s="3075" t="s">
        <v>55</v>
      </c>
      <c r="KBR55" s="3078"/>
      <c r="KBS55" s="3078"/>
      <c r="KBT55" s="3078"/>
      <c r="KBU55" s="3078"/>
      <c r="KBV55" s="3078"/>
      <c r="KBW55" s="3078"/>
      <c r="KBX55" s="3078"/>
      <c r="KBY55" s="3075" t="s">
        <v>55</v>
      </c>
      <c r="KBZ55" s="3078"/>
      <c r="KCA55" s="3078"/>
      <c r="KCB55" s="3078"/>
      <c r="KCC55" s="3078"/>
      <c r="KCD55" s="3078"/>
      <c r="KCE55" s="3078"/>
      <c r="KCF55" s="3078"/>
      <c r="KCG55" s="3075" t="s">
        <v>55</v>
      </c>
      <c r="KCH55" s="3078"/>
      <c r="KCI55" s="3078"/>
      <c r="KCJ55" s="3078"/>
      <c r="KCK55" s="3078"/>
      <c r="KCL55" s="3078"/>
      <c r="KCM55" s="3078"/>
      <c r="KCN55" s="3078"/>
      <c r="KCO55" s="3075" t="s">
        <v>55</v>
      </c>
      <c r="KCP55" s="3078"/>
      <c r="KCQ55" s="3078"/>
      <c r="KCR55" s="3078"/>
      <c r="KCS55" s="3078"/>
      <c r="KCT55" s="3078"/>
      <c r="KCU55" s="3078"/>
      <c r="KCV55" s="3078"/>
      <c r="KCW55" s="3075" t="s">
        <v>55</v>
      </c>
      <c r="KCX55" s="3078"/>
      <c r="KCY55" s="3078"/>
      <c r="KCZ55" s="3078"/>
      <c r="KDA55" s="3078"/>
      <c r="KDB55" s="3078"/>
      <c r="KDC55" s="3078"/>
      <c r="KDD55" s="3078"/>
      <c r="KDE55" s="3075" t="s">
        <v>55</v>
      </c>
      <c r="KDF55" s="3078"/>
      <c r="KDG55" s="3078"/>
      <c r="KDH55" s="3078"/>
      <c r="KDI55" s="3078"/>
      <c r="KDJ55" s="3078"/>
      <c r="KDK55" s="3078"/>
      <c r="KDL55" s="3078"/>
      <c r="KDM55" s="3075" t="s">
        <v>55</v>
      </c>
      <c r="KDN55" s="3078"/>
      <c r="KDO55" s="3078"/>
      <c r="KDP55" s="3078"/>
      <c r="KDQ55" s="3078"/>
      <c r="KDR55" s="3078"/>
      <c r="KDS55" s="3078"/>
      <c r="KDT55" s="3078"/>
      <c r="KDU55" s="3075" t="s">
        <v>55</v>
      </c>
      <c r="KDV55" s="3078"/>
      <c r="KDW55" s="3078"/>
      <c r="KDX55" s="3078"/>
      <c r="KDY55" s="3078"/>
      <c r="KDZ55" s="3078"/>
      <c r="KEA55" s="3078"/>
      <c r="KEB55" s="3078"/>
      <c r="KEC55" s="3075" t="s">
        <v>55</v>
      </c>
      <c r="KED55" s="3078"/>
      <c r="KEE55" s="3078"/>
      <c r="KEF55" s="3078"/>
      <c r="KEG55" s="3078"/>
      <c r="KEH55" s="3078"/>
      <c r="KEI55" s="3078"/>
      <c r="KEJ55" s="3078"/>
      <c r="KEK55" s="3075" t="s">
        <v>55</v>
      </c>
      <c r="KEL55" s="3078"/>
      <c r="KEM55" s="3078"/>
      <c r="KEN55" s="3078"/>
      <c r="KEO55" s="3078"/>
      <c r="KEP55" s="3078"/>
      <c r="KEQ55" s="3078"/>
      <c r="KER55" s="3078"/>
      <c r="KES55" s="3075" t="s">
        <v>55</v>
      </c>
      <c r="KET55" s="3078"/>
      <c r="KEU55" s="3078"/>
      <c r="KEV55" s="3078"/>
      <c r="KEW55" s="3078"/>
      <c r="KEX55" s="3078"/>
      <c r="KEY55" s="3078"/>
      <c r="KEZ55" s="3078"/>
      <c r="KFA55" s="3075" t="s">
        <v>55</v>
      </c>
      <c r="KFB55" s="3078"/>
      <c r="KFC55" s="3078"/>
      <c r="KFD55" s="3078"/>
      <c r="KFE55" s="3078"/>
      <c r="KFF55" s="3078"/>
      <c r="KFG55" s="3078"/>
      <c r="KFH55" s="3078"/>
      <c r="KFI55" s="3075" t="s">
        <v>55</v>
      </c>
      <c r="KFJ55" s="3078"/>
      <c r="KFK55" s="3078"/>
      <c r="KFL55" s="3078"/>
      <c r="KFM55" s="3078"/>
      <c r="KFN55" s="3078"/>
      <c r="KFO55" s="3078"/>
      <c r="KFP55" s="3078"/>
      <c r="KFQ55" s="3075" t="s">
        <v>55</v>
      </c>
      <c r="KFR55" s="3078"/>
      <c r="KFS55" s="3078"/>
      <c r="KFT55" s="3078"/>
      <c r="KFU55" s="3078"/>
      <c r="KFV55" s="3078"/>
      <c r="KFW55" s="3078"/>
      <c r="KFX55" s="3078"/>
      <c r="KFY55" s="3075" t="s">
        <v>55</v>
      </c>
      <c r="KFZ55" s="3078"/>
      <c r="KGA55" s="3078"/>
      <c r="KGB55" s="3078"/>
      <c r="KGC55" s="3078"/>
      <c r="KGD55" s="3078"/>
      <c r="KGE55" s="3078"/>
      <c r="KGF55" s="3078"/>
      <c r="KGG55" s="3075" t="s">
        <v>55</v>
      </c>
      <c r="KGH55" s="3078"/>
      <c r="KGI55" s="3078"/>
      <c r="KGJ55" s="3078"/>
      <c r="KGK55" s="3078"/>
      <c r="KGL55" s="3078"/>
      <c r="KGM55" s="3078"/>
      <c r="KGN55" s="3078"/>
      <c r="KGO55" s="3075" t="s">
        <v>55</v>
      </c>
      <c r="KGP55" s="3078"/>
      <c r="KGQ55" s="3078"/>
      <c r="KGR55" s="3078"/>
      <c r="KGS55" s="3078"/>
      <c r="KGT55" s="3078"/>
      <c r="KGU55" s="3078"/>
      <c r="KGV55" s="3078"/>
      <c r="KGW55" s="3075" t="s">
        <v>55</v>
      </c>
      <c r="KGX55" s="3078"/>
      <c r="KGY55" s="3078"/>
      <c r="KGZ55" s="3078"/>
      <c r="KHA55" s="3078"/>
      <c r="KHB55" s="3078"/>
      <c r="KHC55" s="3078"/>
      <c r="KHD55" s="3078"/>
      <c r="KHE55" s="3075" t="s">
        <v>55</v>
      </c>
      <c r="KHF55" s="3078"/>
      <c r="KHG55" s="3078"/>
      <c r="KHH55" s="3078"/>
      <c r="KHI55" s="3078"/>
      <c r="KHJ55" s="3078"/>
      <c r="KHK55" s="3078"/>
      <c r="KHL55" s="3078"/>
      <c r="KHM55" s="3075" t="s">
        <v>55</v>
      </c>
      <c r="KHN55" s="3078"/>
      <c r="KHO55" s="3078"/>
      <c r="KHP55" s="3078"/>
      <c r="KHQ55" s="3078"/>
      <c r="KHR55" s="3078"/>
      <c r="KHS55" s="3078"/>
      <c r="KHT55" s="3078"/>
      <c r="KHU55" s="3075" t="s">
        <v>55</v>
      </c>
      <c r="KHV55" s="3078"/>
      <c r="KHW55" s="3078"/>
      <c r="KHX55" s="3078"/>
      <c r="KHY55" s="3078"/>
      <c r="KHZ55" s="3078"/>
      <c r="KIA55" s="3078"/>
      <c r="KIB55" s="3078"/>
      <c r="KIC55" s="3075" t="s">
        <v>55</v>
      </c>
      <c r="KID55" s="3078"/>
      <c r="KIE55" s="3078"/>
      <c r="KIF55" s="3078"/>
      <c r="KIG55" s="3078"/>
      <c r="KIH55" s="3078"/>
      <c r="KII55" s="3078"/>
      <c r="KIJ55" s="3078"/>
      <c r="KIK55" s="3075" t="s">
        <v>55</v>
      </c>
      <c r="KIL55" s="3078"/>
      <c r="KIM55" s="3078"/>
      <c r="KIN55" s="3078"/>
      <c r="KIO55" s="3078"/>
      <c r="KIP55" s="3078"/>
      <c r="KIQ55" s="3078"/>
      <c r="KIR55" s="3078"/>
      <c r="KIS55" s="3075" t="s">
        <v>55</v>
      </c>
      <c r="KIT55" s="3078"/>
      <c r="KIU55" s="3078"/>
      <c r="KIV55" s="3078"/>
      <c r="KIW55" s="3078"/>
      <c r="KIX55" s="3078"/>
      <c r="KIY55" s="3078"/>
      <c r="KIZ55" s="3078"/>
      <c r="KJA55" s="3075" t="s">
        <v>55</v>
      </c>
      <c r="KJB55" s="3078"/>
      <c r="KJC55" s="3078"/>
      <c r="KJD55" s="3078"/>
      <c r="KJE55" s="3078"/>
      <c r="KJF55" s="3078"/>
      <c r="KJG55" s="3078"/>
      <c r="KJH55" s="3078"/>
      <c r="KJI55" s="3075" t="s">
        <v>55</v>
      </c>
      <c r="KJJ55" s="3078"/>
      <c r="KJK55" s="3078"/>
      <c r="KJL55" s="3078"/>
      <c r="KJM55" s="3078"/>
      <c r="KJN55" s="3078"/>
      <c r="KJO55" s="3078"/>
      <c r="KJP55" s="3078"/>
      <c r="KJQ55" s="3075" t="s">
        <v>55</v>
      </c>
      <c r="KJR55" s="3078"/>
      <c r="KJS55" s="3078"/>
      <c r="KJT55" s="3078"/>
      <c r="KJU55" s="3078"/>
      <c r="KJV55" s="3078"/>
      <c r="KJW55" s="3078"/>
      <c r="KJX55" s="3078"/>
      <c r="KJY55" s="3075" t="s">
        <v>55</v>
      </c>
      <c r="KJZ55" s="3078"/>
      <c r="KKA55" s="3078"/>
      <c r="KKB55" s="3078"/>
      <c r="KKC55" s="3078"/>
      <c r="KKD55" s="3078"/>
      <c r="KKE55" s="3078"/>
      <c r="KKF55" s="3078"/>
      <c r="KKG55" s="3075" t="s">
        <v>55</v>
      </c>
      <c r="KKH55" s="3078"/>
      <c r="KKI55" s="3078"/>
      <c r="KKJ55" s="3078"/>
      <c r="KKK55" s="3078"/>
      <c r="KKL55" s="3078"/>
      <c r="KKM55" s="3078"/>
      <c r="KKN55" s="3078"/>
      <c r="KKO55" s="3075" t="s">
        <v>55</v>
      </c>
      <c r="KKP55" s="3078"/>
      <c r="KKQ55" s="3078"/>
      <c r="KKR55" s="3078"/>
      <c r="KKS55" s="3078"/>
      <c r="KKT55" s="3078"/>
      <c r="KKU55" s="3078"/>
      <c r="KKV55" s="3078"/>
      <c r="KKW55" s="3075" t="s">
        <v>55</v>
      </c>
      <c r="KKX55" s="3078"/>
      <c r="KKY55" s="3078"/>
      <c r="KKZ55" s="3078"/>
      <c r="KLA55" s="3078"/>
      <c r="KLB55" s="3078"/>
      <c r="KLC55" s="3078"/>
      <c r="KLD55" s="3078"/>
      <c r="KLE55" s="3075" t="s">
        <v>55</v>
      </c>
      <c r="KLF55" s="3078"/>
      <c r="KLG55" s="3078"/>
      <c r="KLH55" s="3078"/>
      <c r="KLI55" s="3078"/>
      <c r="KLJ55" s="3078"/>
      <c r="KLK55" s="3078"/>
      <c r="KLL55" s="3078"/>
      <c r="KLM55" s="3075" t="s">
        <v>55</v>
      </c>
      <c r="KLN55" s="3078"/>
      <c r="KLO55" s="3078"/>
      <c r="KLP55" s="3078"/>
      <c r="KLQ55" s="3078"/>
      <c r="KLR55" s="3078"/>
      <c r="KLS55" s="3078"/>
      <c r="KLT55" s="3078"/>
      <c r="KLU55" s="3075" t="s">
        <v>55</v>
      </c>
      <c r="KLV55" s="3078"/>
      <c r="KLW55" s="3078"/>
      <c r="KLX55" s="3078"/>
      <c r="KLY55" s="3078"/>
      <c r="KLZ55" s="3078"/>
      <c r="KMA55" s="3078"/>
      <c r="KMB55" s="3078"/>
      <c r="KMC55" s="3075" t="s">
        <v>55</v>
      </c>
      <c r="KMD55" s="3078"/>
      <c r="KME55" s="3078"/>
      <c r="KMF55" s="3078"/>
      <c r="KMG55" s="3078"/>
      <c r="KMH55" s="3078"/>
      <c r="KMI55" s="3078"/>
      <c r="KMJ55" s="3078"/>
      <c r="KMK55" s="3075" t="s">
        <v>55</v>
      </c>
      <c r="KML55" s="3078"/>
      <c r="KMM55" s="3078"/>
      <c r="KMN55" s="3078"/>
      <c r="KMO55" s="3078"/>
      <c r="KMP55" s="3078"/>
      <c r="KMQ55" s="3078"/>
      <c r="KMR55" s="3078"/>
      <c r="KMS55" s="3075" t="s">
        <v>55</v>
      </c>
      <c r="KMT55" s="3078"/>
      <c r="KMU55" s="3078"/>
      <c r="KMV55" s="3078"/>
      <c r="KMW55" s="3078"/>
      <c r="KMX55" s="3078"/>
      <c r="KMY55" s="3078"/>
      <c r="KMZ55" s="3078"/>
      <c r="KNA55" s="3075" t="s">
        <v>55</v>
      </c>
      <c r="KNB55" s="3078"/>
      <c r="KNC55" s="3078"/>
      <c r="KND55" s="3078"/>
      <c r="KNE55" s="3078"/>
      <c r="KNF55" s="3078"/>
      <c r="KNG55" s="3078"/>
      <c r="KNH55" s="3078"/>
      <c r="KNI55" s="3075" t="s">
        <v>55</v>
      </c>
      <c r="KNJ55" s="3078"/>
      <c r="KNK55" s="3078"/>
      <c r="KNL55" s="3078"/>
      <c r="KNM55" s="3078"/>
      <c r="KNN55" s="3078"/>
      <c r="KNO55" s="3078"/>
      <c r="KNP55" s="3078"/>
      <c r="KNQ55" s="3075" t="s">
        <v>55</v>
      </c>
      <c r="KNR55" s="3078"/>
      <c r="KNS55" s="3078"/>
      <c r="KNT55" s="3078"/>
      <c r="KNU55" s="3078"/>
      <c r="KNV55" s="3078"/>
      <c r="KNW55" s="3078"/>
      <c r="KNX55" s="3078"/>
      <c r="KNY55" s="3075" t="s">
        <v>55</v>
      </c>
      <c r="KNZ55" s="3078"/>
      <c r="KOA55" s="3078"/>
      <c r="KOB55" s="3078"/>
      <c r="KOC55" s="3078"/>
      <c r="KOD55" s="3078"/>
      <c r="KOE55" s="3078"/>
      <c r="KOF55" s="3078"/>
      <c r="KOG55" s="3075" t="s">
        <v>55</v>
      </c>
      <c r="KOH55" s="3078"/>
      <c r="KOI55" s="3078"/>
      <c r="KOJ55" s="3078"/>
      <c r="KOK55" s="3078"/>
      <c r="KOL55" s="3078"/>
      <c r="KOM55" s="3078"/>
      <c r="KON55" s="3078"/>
      <c r="KOO55" s="3075" t="s">
        <v>55</v>
      </c>
      <c r="KOP55" s="3078"/>
      <c r="KOQ55" s="3078"/>
      <c r="KOR55" s="3078"/>
      <c r="KOS55" s="3078"/>
      <c r="KOT55" s="3078"/>
      <c r="KOU55" s="3078"/>
      <c r="KOV55" s="3078"/>
      <c r="KOW55" s="3075" t="s">
        <v>55</v>
      </c>
      <c r="KOX55" s="3078"/>
      <c r="KOY55" s="3078"/>
      <c r="KOZ55" s="3078"/>
      <c r="KPA55" s="3078"/>
      <c r="KPB55" s="3078"/>
      <c r="KPC55" s="3078"/>
      <c r="KPD55" s="3078"/>
      <c r="KPE55" s="3075" t="s">
        <v>55</v>
      </c>
      <c r="KPF55" s="3078"/>
      <c r="KPG55" s="3078"/>
      <c r="KPH55" s="3078"/>
      <c r="KPI55" s="3078"/>
      <c r="KPJ55" s="3078"/>
      <c r="KPK55" s="3078"/>
      <c r="KPL55" s="3078"/>
      <c r="KPM55" s="3075" t="s">
        <v>55</v>
      </c>
      <c r="KPN55" s="3078"/>
      <c r="KPO55" s="3078"/>
      <c r="KPP55" s="3078"/>
      <c r="KPQ55" s="3078"/>
      <c r="KPR55" s="3078"/>
      <c r="KPS55" s="3078"/>
      <c r="KPT55" s="3078"/>
      <c r="KPU55" s="3075" t="s">
        <v>55</v>
      </c>
      <c r="KPV55" s="3078"/>
      <c r="KPW55" s="3078"/>
      <c r="KPX55" s="3078"/>
      <c r="KPY55" s="3078"/>
      <c r="KPZ55" s="3078"/>
      <c r="KQA55" s="3078"/>
      <c r="KQB55" s="3078"/>
      <c r="KQC55" s="3075" t="s">
        <v>55</v>
      </c>
      <c r="KQD55" s="3078"/>
      <c r="KQE55" s="3078"/>
      <c r="KQF55" s="3078"/>
      <c r="KQG55" s="3078"/>
      <c r="KQH55" s="3078"/>
      <c r="KQI55" s="3078"/>
      <c r="KQJ55" s="3078"/>
      <c r="KQK55" s="3075" t="s">
        <v>55</v>
      </c>
      <c r="KQL55" s="3078"/>
      <c r="KQM55" s="3078"/>
      <c r="KQN55" s="3078"/>
      <c r="KQO55" s="3078"/>
      <c r="KQP55" s="3078"/>
      <c r="KQQ55" s="3078"/>
      <c r="KQR55" s="3078"/>
      <c r="KQS55" s="3075" t="s">
        <v>55</v>
      </c>
      <c r="KQT55" s="3078"/>
      <c r="KQU55" s="3078"/>
      <c r="KQV55" s="3078"/>
      <c r="KQW55" s="3078"/>
      <c r="KQX55" s="3078"/>
      <c r="KQY55" s="3078"/>
      <c r="KQZ55" s="3078"/>
      <c r="KRA55" s="3075" t="s">
        <v>55</v>
      </c>
      <c r="KRB55" s="3078"/>
      <c r="KRC55" s="3078"/>
      <c r="KRD55" s="3078"/>
      <c r="KRE55" s="3078"/>
      <c r="KRF55" s="3078"/>
      <c r="KRG55" s="3078"/>
      <c r="KRH55" s="3078"/>
      <c r="KRI55" s="3075" t="s">
        <v>55</v>
      </c>
      <c r="KRJ55" s="3078"/>
      <c r="KRK55" s="3078"/>
      <c r="KRL55" s="3078"/>
      <c r="KRM55" s="3078"/>
      <c r="KRN55" s="3078"/>
      <c r="KRO55" s="3078"/>
      <c r="KRP55" s="3078"/>
      <c r="KRQ55" s="3075" t="s">
        <v>55</v>
      </c>
      <c r="KRR55" s="3078"/>
      <c r="KRS55" s="3078"/>
      <c r="KRT55" s="3078"/>
      <c r="KRU55" s="3078"/>
      <c r="KRV55" s="3078"/>
      <c r="KRW55" s="3078"/>
      <c r="KRX55" s="3078"/>
      <c r="KRY55" s="3075" t="s">
        <v>55</v>
      </c>
      <c r="KRZ55" s="3078"/>
      <c r="KSA55" s="3078"/>
      <c r="KSB55" s="3078"/>
      <c r="KSC55" s="3078"/>
      <c r="KSD55" s="3078"/>
      <c r="KSE55" s="3078"/>
      <c r="KSF55" s="3078"/>
      <c r="KSG55" s="3075" t="s">
        <v>55</v>
      </c>
      <c r="KSH55" s="3078"/>
      <c r="KSI55" s="3078"/>
      <c r="KSJ55" s="3078"/>
      <c r="KSK55" s="3078"/>
      <c r="KSL55" s="3078"/>
      <c r="KSM55" s="3078"/>
      <c r="KSN55" s="3078"/>
      <c r="KSO55" s="3075" t="s">
        <v>55</v>
      </c>
      <c r="KSP55" s="3078"/>
      <c r="KSQ55" s="3078"/>
      <c r="KSR55" s="3078"/>
      <c r="KSS55" s="3078"/>
      <c r="KST55" s="3078"/>
      <c r="KSU55" s="3078"/>
      <c r="KSV55" s="3078"/>
      <c r="KSW55" s="3075" t="s">
        <v>55</v>
      </c>
      <c r="KSX55" s="3078"/>
      <c r="KSY55" s="3078"/>
      <c r="KSZ55" s="3078"/>
      <c r="KTA55" s="3078"/>
      <c r="KTB55" s="3078"/>
      <c r="KTC55" s="3078"/>
      <c r="KTD55" s="3078"/>
      <c r="KTE55" s="3075" t="s">
        <v>55</v>
      </c>
      <c r="KTF55" s="3078"/>
      <c r="KTG55" s="3078"/>
      <c r="KTH55" s="3078"/>
      <c r="KTI55" s="3078"/>
      <c r="KTJ55" s="3078"/>
      <c r="KTK55" s="3078"/>
      <c r="KTL55" s="3078"/>
      <c r="KTM55" s="3075" t="s">
        <v>55</v>
      </c>
      <c r="KTN55" s="3078"/>
      <c r="KTO55" s="3078"/>
      <c r="KTP55" s="3078"/>
      <c r="KTQ55" s="3078"/>
      <c r="KTR55" s="3078"/>
      <c r="KTS55" s="3078"/>
      <c r="KTT55" s="3078"/>
      <c r="KTU55" s="3075" t="s">
        <v>55</v>
      </c>
      <c r="KTV55" s="3078"/>
      <c r="KTW55" s="3078"/>
      <c r="KTX55" s="3078"/>
      <c r="KTY55" s="3078"/>
      <c r="KTZ55" s="3078"/>
      <c r="KUA55" s="3078"/>
      <c r="KUB55" s="3078"/>
      <c r="KUC55" s="3075" t="s">
        <v>55</v>
      </c>
      <c r="KUD55" s="3078"/>
      <c r="KUE55" s="3078"/>
      <c r="KUF55" s="3078"/>
      <c r="KUG55" s="3078"/>
      <c r="KUH55" s="3078"/>
      <c r="KUI55" s="3078"/>
      <c r="KUJ55" s="3078"/>
      <c r="KUK55" s="3075" t="s">
        <v>55</v>
      </c>
      <c r="KUL55" s="3078"/>
      <c r="KUM55" s="3078"/>
      <c r="KUN55" s="3078"/>
      <c r="KUO55" s="3078"/>
      <c r="KUP55" s="3078"/>
      <c r="KUQ55" s="3078"/>
      <c r="KUR55" s="3078"/>
      <c r="KUS55" s="3075" t="s">
        <v>55</v>
      </c>
      <c r="KUT55" s="3078"/>
      <c r="KUU55" s="3078"/>
      <c r="KUV55" s="3078"/>
      <c r="KUW55" s="3078"/>
      <c r="KUX55" s="3078"/>
      <c r="KUY55" s="3078"/>
      <c r="KUZ55" s="3078"/>
      <c r="KVA55" s="3075" t="s">
        <v>55</v>
      </c>
      <c r="KVB55" s="3078"/>
      <c r="KVC55" s="3078"/>
      <c r="KVD55" s="3078"/>
      <c r="KVE55" s="3078"/>
      <c r="KVF55" s="3078"/>
      <c r="KVG55" s="3078"/>
      <c r="KVH55" s="3078"/>
      <c r="KVI55" s="3075" t="s">
        <v>55</v>
      </c>
      <c r="KVJ55" s="3078"/>
      <c r="KVK55" s="3078"/>
      <c r="KVL55" s="3078"/>
      <c r="KVM55" s="3078"/>
      <c r="KVN55" s="3078"/>
      <c r="KVO55" s="3078"/>
      <c r="KVP55" s="3078"/>
      <c r="KVQ55" s="3075" t="s">
        <v>55</v>
      </c>
      <c r="KVR55" s="3078"/>
      <c r="KVS55" s="3078"/>
      <c r="KVT55" s="3078"/>
      <c r="KVU55" s="3078"/>
      <c r="KVV55" s="3078"/>
      <c r="KVW55" s="3078"/>
      <c r="KVX55" s="3078"/>
      <c r="KVY55" s="3075" t="s">
        <v>55</v>
      </c>
      <c r="KVZ55" s="3078"/>
      <c r="KWA55" s="3078"/>
      <c r="KWB55" s="3078"/>
      <c r="KWC55" s="3078"/>
      <c r="KWD55" s="3078"/>
      <c r="KWE55" s="3078"/>
      <c r="KWF55" s="3078"/>
      <c r="KWG55" s="3075" t="s">
        <v>55</v>
      </c>
      <c r="KWH55" s="3078"/>
      <c r="KWI55" s="3078"/>
      <c r="KWJ55" s="3078"/>
      <c r="KWK55" s="3078"/>
      <c r="KWL55" s="3078"/>
      <c r="KWM55" s="3078"/>
      <c r="KWN55" s="3078"/>
      <c r="KWO55" s="3075" t="s">
        <v>55</v>
      </c>
      <c r="KWP55" s="3078"/>
      <c r="KWQ55" s="3078"/>
      <c r="KWR55" s="3078"/>
      <c r="KWS55" s="3078"/>
      <c r="KWT55" s="3078"/>
      <c r="KWU55" s="3078"/>
      <c r="KWV55" s="3078"/>
      <c r="KWW55" s="3075" t="s">
        <v>55</v>
      </c>
      <c r="KWX55" s="3078"/>
      <c r="KWY55" s="3078"/>
      <c r="KWZ55" s="3078"/>
      <c r="KXA55" s="3078"/>
      <c r="KXB55" s="3078"/>
      <c r="KXC55" s="3078"/>
      <c r="KXD55" s="3078"/>
      <c r="KXE55" s="3075" t="s">
        <v>55</v>
      </c>
      <c r="KXF55" s="3078"/>
      <c r="KXG55" s="3078"/>
      <c r="KXH55" s="3078"/>
      <c r="KXI55" s="3078"/>
      <c r="KXJ55" s="3078"/>
      <c r="KXK55" s="3078"/>
      <c r="KXL55" s="3078"/>
      <c r="KXM55" s="3075" t="s">
        <v>55</v>
      </c>
      <c r="KXN55" s="3078"/>
      <c r="KXO55" s="3078"/>
      <c r="KXP55" s="3078"/>
      <c r="KXQ55" s="3078"/>
      <c r="KXR55" s="3078"/>
      <c r="KXS55" s="3078"/>
      <c r="KXT55" s="3078"/>
      <c r="KXU55" s="3075" t="s">
        <v>55</v>
      </c>
      <c r="KXV55" s="3078"/>
      <c r="KXW55" s="3078"/>
      <c r="KXX55" s="3078"/>
      <c r="KXY55" s="3078"/>
      <c r="KXZ55" s="3078"/>
      <c r="KYA55" s="3078"/>
      <c r="KYB55" s="3078"/>
      <c r="KYC55" s="3075" t="s">
        <v>55</v>
      </c>
      <c r="KYD55" s="3078"/>
      <c r="KYE55" s="3078"/>
      <c r="KYF55" s="3078"/>
      <c r="KYG55" s="3078"/>
      <c r="KYH55" s="3078"/>
      <c r="KYI55" s="3078"/>
      <c r="KYJ55" s="3078"/>
      <c r="KYK55" s="3075" t="s">
        <v>55</v>
      </c>
      <c r="KYL55" s="3078"/>
      <c r="KYM55" s="3078"/>
      <c r="KYN55" s="3078"/>
      <c r="KYO55" s="3078"/>
      <c r="KYP55" s="3078"/>
      <c r="KYQ55" s="3078"/>
      <c r="KYR55" s="3078"/>
      <c r="KYS55" s="3075" t="s">
        <v>55</v>
      </c>
      <c r="KYT55" s="3078"/>
      <c r="KYU55" s="3078"/>
      <c r="KYV55" s="3078"/>
      <c r="KYW55" s="3078"/>
      <c r="KYX55" s="3078"/>
      <c r="KYY55" s="3078"/>
      <c r="KYZ55" s="3078"/>
      <c r="KZA55" s="3075" t="s">
        <v>55</v>
      </c>
      <c r="KZB55" s="3078"/>
      <c r="KZC55" s="3078"/>
      <c r="KZD55" s="3078"/>
      <c r="KZE55" s="3078"/>
      <c r="KZF55" s="3078"/>
      <c r="KZG55" s="3078"/>
      <c r="KZH55" s="3078"/>
      <c r="KZI55" s="3075" t="s">
        <v>55</v>
      </c>
      <c r="KZJ55" s="3078"/>
      <c r="KZK55" s="3078"/>
      <c r="KZL55" s="3078"/>
      <c r="KZM55" s="3078"/>
      <c r="KZN55" s="3078"/>
      <c r="KZO55" s="3078"/>
      <c r="KZP55" s="3078"/>
      <c r="KZQ55" s="3075" t="s">
        <v>55</v>
      </c>
      <c r="KZR55" s="3078"/>
      <c r="KZS55" s="3078"/>
      <c r="KZT55" s="3078"/>
      <c r="KZU55" s="3078"/>
      <c r="KZV55" s="3078"/>
      <c r="KZW55" s="3078"/>
      <c r="KZX55" s="3078"/>
      <c r="KZY55" s="3075" t="s">
        <v>55</v>
      </c>
      <c r="KZZ55" s="3078"/>
      <c r="LAA55" s="3078"/>
      <c r="LAB55" s="3078"/>
      <c r="LAC55" s="3078"/>
      <c r="LAD55" s="3078"/>
      <c r="LAE55" s="3078"/>
      <c r="LAF55" s="3078"/>
      <c r="LAG55" s="3075" t="s">
        <v>55</v>
      </c>
      <c r="LAH55" s="3078"/>
      <c r="LAI55" s="3078"/>
      <c r="LAJ55" s="3078"/>
      <c r="LAK55" s="3078"/>
      <c r="LAL55" s="3078"/>
      <c r="LAM55" s="3078"/>
      <c r="LAN55" s="3078"/>
      <c r="LAO55" s="3075" t="s">
        <v>55</v>
      </c>
      <c r="LAP55" s="3078"/>
      <c r="LAQ55" s="3078"/>
      <c r="LAR55" s="3078"/>
      <c r="LAS55" s="3078"/>
      <c r="LAT55" s="3078"/>
      <c r="LAU55" s="3078"/>
      <c r="LAV55" s="3078"/>
      <c r="LAW55" s="3075" t="s">
        <v>55</v>
      </c>
      <c r="LAX55" s="3078"/>
      <c r="LAY55" s="3078"/>
      <c r="LAZ55" s="3078"/>
      <c r="LBA55" s="3078"/>
      <c r="LBB55" s="3078"/>
      <c r="LBC55" s="3078"/>
      <c r="LBD55" s="3078"/>
      <c r="LBE55" s="3075" t="s">
        <v>55</v>
      </c>
      <c r="LBF55" s="3078"/>
      <c r="LBG55" s="3078"/>
      <c r="LBH55" s="3078"/>
      <c r="LBI55" s="3078"/>
      <c r="LBJ55" s="3078"/>
      <c r="LBK55" s="3078"/>
      <c r="LBL55" s="3078"/>
      <c r="LBM55" s="3075" t="s">
        <v>55</v>
      </c>
      <c r="LBN55" s="3078"/>
      <c r="LBO55" s="3078"/>
      <c r="LBP55" s="3078"/>
      <c r="LBQ55" s="3078"/>
      <c r="LBR55" s="3078"/>
      <c r="LBS55" s="3078"/>
      <c r="LBT55" s="3078"/>
      <c r="LBU55" s="3075" t="s">
        <v>55</v>
      </c>
      <c r="LBV55" s="3078"/>
      <c r="LBW55" s="3078"/>
      <c r="LBX55" s="3078"/>
      <c r="LBY55" s="3078"/>
      <c r="LBZ55" s="3078"/>
      <c r="LCA55" s="3078"/>
      <c r="LCB55" s="3078"/>
      <c r="LCC55" s="3075" t="s">
        <v>55</v>
      </c>
      <c r="LCD55" s="3078"/>
      <c r="LCE55" s="3078"/>
      <c r="LCF55" s="3078"/>
      <c r="LCG55" s="3078"/>
      <c r="LCH55" s="3078"/>
      <c r="LCI55" s="3078"/>
      <c r="LCJ55" s="3078"/>
      <c r="LCK55" s="3075" t="s">
        <v>55</v>
      </c>
      <c r="LCL55" s="3078"/>
      <c r="LCM55" s="3078"/>
      <c r="LCN55" s="3078"/>
      <c r="LCO55" s="3078"/>
      <c r="LCP55" s="3078"/>
      <c r="LCQ55" s="3078"/>
      <c r="LCR55" s="3078"/>
      <c r="LCS55" s="3075" t="s">
        <v>55</v>
      </c>
      <c r="LCT55" s="3078"/>
      <c r="LCU55" s="3078"/>
      <c r="LCV55" s="3078"/>
      <c r="LCW55" s="3078"/>
      <c r="LCX55" s="3078"/>
      <c r="LCY55" s="3078"/>
      <c r="LCZ55" s="3078"/>
      <c r="LDA55" s="3075" t="s">
        <v>55</v>
      </c>
      <c r="LDB55" s="3078"/>
      <c r="LDC55" s="3078"/>
      <c r="LDD55" s="3078"/>
      <c r="LDE55" s="3078"/>
      <c r="LDF55" s="3078"/>
      <c r="LDG55" s="3078"/>
      <c r="LDH55" s="3078"/>
      <c r="LDI55" s="3075" t="s">
        <v>55</v>
      </c>
      <c r="LDJ55" s="3078"/>
      <c r="LDK55" s="3078"/>
      <c r="LDL55" s="3078"/>
      <c r="LDM55" s="3078"/>
      <c r="LDN55" s="3078"/>
      <c r="LDO55" s="3078"/>
      <c r="LDP55" s="3078"/>
      <c r="LDQ55" s="3075" t="s">
        <v>55</v>
      </c>
      <c r="LDR55" s="3078"/>
      <c r="LDS55" s="3078"/>
      <c r="LDT55" s="3078"/>
      <c r="LDU55" s="3078"/>
      <c r="LDV55" s="3078"/>
      <c r="LDW55" s="3078"/>
      <c r="LDX55" s="3078"/>
      <c r="LDY55" s="3075" t="s">
        <v>55</v>
      </c>
      <c r="LDZ55" s="3078"/>
      <c r="LEA55" s="3078"/>
      <c r="LEB55" s="3078"/>
      <c r="LEC55" s="3078"/>
      <c r="LED55" s="3078"/>
      <c r="LEE55" s="3078"/>
      <c r="LEF55" s="3078"/>
      <c r="LEG55" s="3075" t="s">
        <v>55</v>
      </c>
      <c r="LEH55" s="3078"/>
      <c r="LEI55" s="3078"/>
      <c r="LEJ55" s="3078"/>
      <c r="LEK55" s="3078"/>
      <c r="LEL55" s="3078"/>
      <c r="LEM55" s="3078"/>
      <c r="LEN55" s="3078"/>
      <c r="LEO55" s="3075" t="s">
        <v>55</v>
      </c>
      <c r="LEP55" s="3078"/>
      <c r="LEQ55" s="3078"/>
      <c r="LER55" s="3078"/>
      <c r="LES55" s="3078"/>
      <c r="LET55" s="3078"/>
      <c r="LEU55" s="3078"/>
      <c r="LEV55" s="3078"/>
      <c r="LEW55" s="3075" t="s">
        <v>55</v>
      </c>
      <c r="LEX55" s="3078"/>
      <c r="LEY55" s="3078"/>
      <c r="LEZ55" s="3078"/>
      <c r="LFA55" s="3078"/>
      <c r="LFB55" s="3078"/>
      <c r="LFC55" s="3078"/>
      <c r="LFD55" s="3078"/>
      <c r="LFE55" s="3075" t="s">
        <v>55</v>
      </c>
      <c r="LFF55" s="3078"/>
      <c r="LFG55" s="3078"/>
      <c r="LFH55" s="3078"/>
      <c r="LFI55" s="3078"/>
      <c r="LFJ55" s="3078"/>
      <c r="LFK55" s="3078"/>
      <c r="LFL55" s="3078"/>
      <c r="LFM55" s="3075" t="s">
        <v>55</v>
      </c>
      <c r="LFN55" s="3078"/>
      <c r="LFO55" s="3078"/>
      <c r="LFP55" s="3078"/>
      <c r="LFQ55" s="3078"/>
      <c r="LFR55" s="3078"/>
      <c r="LFS55" s="3078"/>
      <c r="LFT55" s="3078"/>
      <c r="LFU55" s="3075" t="s">
        <v>55</v>
      </c>
      <c r="LFV55" s="3078"/>
      <c r="LFW55" s="3078"/>
      <c r="LFX55" s="3078"/>
      <c r="LFY55" s="3078"/>
      <c r="LFZ55" s="3078"/>
      <c r="LGA55" s="3078"/>
      <c r="LGB55" s="3078"/>
      <c r="LGC55" s="3075" t="s">
        <v>55</v>
      </c>
      <c r="LGD55" s="3078"/>
      <c r="LGE55" s="3078"/>
      <c r="LGF55" s="3078"/>
      <c r="LGG55" s="3078"/>
      <c r="LGH55" s="3078"/>
      <c r="LGI55" s="3078"/>
      <c r="LGJ55" s="3078"/>
      <c r="LGK55" s="3075" t="s">
        <v>55</v>
      </c>
      <c r="LGL55" s="3078"/>
      <c r="LGM55" s="3078"/>
      <c r="LGN55" s="3078"/>
      <c r="LGO55" s="3078"/>
      <c r="LGP55" s="3078"/>
      <c r="LGQ55" s="3078"/>
      <c r="LGR55" s="3078"/>
      <c r="LGS55" s="3075" t="s">
        <v>55</v>
      </c>
      <c r="LGT55" s="3078"/>
      <c r="LGU55" s="3078"/>
      <c r="LGV55" s="3078"/>
      <c r="LGW55" s="3078"/>
      <c r="LGX55" s="3078"/>
      <c r="LGY55" s="3078"/>
      <c r="LGZ55" s="3078"/>
      <c r="LHA55" s="3075" t="s">
        <v>55</v>
      </c>
      <c r="LHB55" s="3078"/>
      <c r="LHC55" s="3078"/>
      <c r="LHD55" s="3078"/>
      <c r="LHE55" s="3078"/>
      <c r="LHF55" s="3078"/>
      <c r="LHG55" s="3078"/>
      <c r="LHH55" s="3078"/>
      <c r="LHI55" s="3075" t="s">
        <v>55</v>
      </c>
      <c r="LHJ55" s="3078"/>
      <c r="LHK55" s="3078"/>
      <c r="LHL55" s="3078"/>
      <c r="LHM55" s="3078"/>
      <c r="LHN55" s="3078"/>
      <c r="LHO55" s="3078"/>
      <c r="LHP55" s="3078"/>
      <c r="LHQ55" s="3075" t="s">
        <v>55</v>
      </c>
      <c r="LHR55" s="3078"/>
      <c r="LHS55" s="3078"/>
      <c r="LHT55" s="3078"/>
      <c r="LHU55" s="3078"/>
      <c r="LHV55" s="3078"/>
      <c r="LHW55" s="3078"/>
      <c r="LHX55" s="3078"/>
      <c r="LHY55" s="3075" t="s">
        <v>55</v>
      </c>
      <c r="LHZ55" s="3078"/>
      <c r="LIA55" s="3078"/>
      <c r="LIB55" s="3078"/>
      <c r="LIC55" s="3078"/>
      <c r="LID55" s="3078"/>
      <c r="LIE55" s="3078"/>
      <c r="LIF55" s="3078"/>
      <c r="LIG55" s="3075" t="s">
        <v>55</v>
      </c>
      <c r="LIH55" s="3078"/>
      <c r="LII55" s="3078"/>
      <c r="LIJ55" s="3078"/>
      <c r="LIK55" s="3078"/>
      <c r="LIL55" s="3078"/>
      <c r="LIM55" s="3078"/>
      <c r="LIN55" s="3078"/>
      <c r="LIO55" s="3075" t="s">
        <v>55</v>
      </c>
      <c r="LIP55" s="3078"/>
      <c r="LIQ55" s="3078"/>
      <c r="LIR55" s="3078"/>
      <c r="LIS55" s="3078"/>
      <c r="LIT55" s="3078"/>
      <c r="LIU55" s="3078"/>
      <c r="LIV55" s="3078"/>
      <c r="LIW55" s="3075" t="s">
        <v>55</v>
      </c>
      <c r="LIX55" s="3078"/>
      <c r="LIY55" s="3078"/>
      <c r="LIZ55" s="3078"/>
      <c r="LJA55" s="3078"/>
      <c r="LJB55" s="3078"/>
      <c r="LJC55" s="3078"/>
      <c r="LJD55" s="3078"/>
      <c r="LJE55" s="3075" t="s">
        <v>55</v>
      </c>
      <c r="LJF55" s="3078"/>
      <c r="LJG55" s="3078"/>
      <c r="LJH55" s="3078"/>
      <c r="LJI55" s="3078"/>
      <c r="LJJ55" s="3078"/>
      <c r="LJK55" s="3078"/>
      <c r="LJL55" s="3078"/>
      <c r="LJM55" s="3075" t="s">
        <v>55</v>
      </c>
      <c r="LJN55" s="3078"/>
      <c r="LJO55" s="3078"/>
      <c r="LJP55" s="3078"/>
      <c r="LJQ55" s="3078"/>
      <c r="LJR55" s="3078"/>
      <c r="LJS55" s="3078"/>
      <c r="LJT55" s="3078"/>
      <c r="LJU55" s="3075" t="s">
        <v>55</v>
      </c>
      <c r="LJV55" s="3078"/>
      <c r="LJW55" s="3078"/>
      <c r="LJX55" s="3078"/>
      <c r="LJY55" s="3078"/>
      <c r="LJZ55" s="3078"/>
      <c r="LKA55" s="3078"/>
      <c r="LKB55" s="3078"/>
      <c r="LKC55" s="3075" t="s">
        <v>55</v>
      </c>
      <c r="LKD55" s="3078"/>
      <c r="LKE55" s="3078"/>
      <c r="LKF55" s="3078"/>
      <c r="LKG55" s="3078"/>
      <c r="LKH55" s="3078"/>
      <c r="LKI55" s="3078"/>
      <c r="LKJ55" s="3078"/>
      <c r="LKK55" s="3075" t="s">
        <v>55</v>
      </c>
      <c r="LKL55" s="3078"/>
      <c r="LKM55" s="3078"/>
      <c r="LKN55" s="3078"/>
      <c r="LKO55" s="3078"/>
      <c r="LKP55" s="3078"/>
      <c r="LKQ55" s="3078"/>
      <c r="LKR55" s="3078"/>
      <c r="LKS55" s="3075" t="s">
        <v>55</v>
      </c>
      <c r="LKT55" s="3078"/>
      <c r="LKU55" s="3078"/>
      <c r="LKV55" s="3078"/>
      <c r="LKW55" s="3078"/>
      <c r="LKX55" s="3078"/>
      <c r="LKY55" s="3078"/>
      <c r="LKZ55" s="3078"/>
      <c r="LLA55" s="3075" t="s">
        <v>55</v>
      </c>
      <c r="LLB55" s="3078"/>
      <c r="LLC55" s="3078"/>
      <c r="LLD55" s="3078"/>
      <c r="LLE55" s="3078"/>
      <c r="LLF55" s="3078"/>
      <c r="LLG55" s="3078"/>
      <c r="LLH55" s="3078"/>
      <c r="LLI55" s="3075" t="s">
        <v>55</v>
      </c>
      <c r="LLJ55" s="3078"/>
      <c r="LLK55" s="3078"/>
      <c r="LLL55" s="3078"/>
      <c r="LLM55" s="3078"/>
      <c r="LLN55" s="3078"/>
      <c r="LLO55" s="3078"/>
      <c r="LLP55" s="3078"/>
      <c r="LLQ55" s="3075" t="s">
        <v>55</v>
      </c>
      <c r="LLR55" s="3078"/>
      <c r="LLS55" s="3078"/>
      <c r="LLT55" s="3078"/>
      <c r="LLU55" s="3078"/>
      <c r="LLV55" s="3078"/>
      <c r="LLW55" s="3078"/>
      <c r="LLX55" s="3078"/>
      <c r="LLY55" s="3075" t="s">
        <v>55</v>
      </c>
      <c r="LLZ55" s="3078"/>
      <c r="LMA55" s="3078"/>
      <c r="LMB55" s="3078"/>
      <c r="LMC55" s="3078"/>
      <c r="LMD55" s="3078"/>
      <c r="LME55" s="3078"/>
      <c r="LMF55" s="3078"/>
      <c r="LMG55" s="3075" t="s">
        <v>55</v>
      </c>
      <c r="LMH55" s="3078"/>
      <c r="LMI55" s="3078"/>
      <c r="LMJ55" s="3078"/>
      <c r="LMK55" s="3078"/>
      <c r="LML55" s="3078"/>
      <c r="LMM55" s="3078"/>
      <c r="LMN55" s="3078"/>
      <c r="LMO55" s="3075" t="s">
        <v>55</v>
      </c>
      <c r="LMP55" s="3078"/>
      <c r="LMQ55" s="3078"/>
      <c r="LMR55" s="3078"/>
      <c r="LMS55" s="3078"/>
      <c r="LMT55" s="3078"/>
      <c r="LMU55" s="3078"/>
      <c r="LMV55" s="3078"/>
      <c r="LMW55" s="3075" t="s">
        <v>55</v>
      </c>
      <c r="LMX55" s="3078"/>
      <c r="LMY55" s="3078"/>
      <c r="LMZ55" s="3078"/>
      <c r="LNA55" s="3078"/>
      <c r="LNB55" s="3078"/>
      <c r="LNC55" s="3078"/>
      <c r="LND55" s="3078"/>
      <c r="LNE55" s="3075" t="s">
        <v>55</v>
      </c>
      <c r="LNF55" s="3078"/>
      <c r="LNG55" s="3078"/>
      <c r="LNH55" s="3078"/>
      <c r="LNI55" s="3078"/>
      <c r="LNJ55" s="3078"/>
      <c r="LNK55" s="3078"/>
      <c r="LNL55" s="3078"/>
      <c r="LNM55" s="3075" t="s">
        <v>55</v>
      </c>
      <c r="LNN55" s="3078"/>
      <c r="LNO55" s="3078"/>
      <c r="LNP55" s="3078"/>
      <c r="LNQ55" s="3078"/>
      <c r="LNR55" s="3078"/>
      <c r="LNS55" s="3078"/>
      <c r="LNT55" s="3078"/>
      <c r="LNU55" s="3075" t="s">
        <v>55</v>
      </c>
      <c r="LNV55" s="3078"/>
      <c r="LNW55" s="3078"/>
      <c r="LNX55" s="3078"/>
      <c r="LNY55" s="3078"/>
      <c r="LNZ55" s="3078"/>
      <c r="LOA55" s="3078"/>
      <c r="LOB55" s="3078"/>
      <c r="LOC55" s="3075" t="s">
        <v>55</v>
      </c>
      <c r="LOD55" s="3078"/>
      <c r="LOE55" s="3078"/>
      <c r="LOF55" s="3078"/>
      <c r="LOG55" s="3078"/>
      <c r="LOH55" s="3078"/>
      <c r="LOI55" s="3078"/>
      <c r="LOJ55" s="3078"/>
      <c r="LOK55" s="3075" t="s">
        <v>55</v>
      </c>
      <c r="LOL55" s="3078"/>
      <c r="LOM55" s="3078"/>
      <c r="LON55" s="3078"/>
      <c r="LOO55" s="3078"/>
      <c r="LOP55" s="3078"/>
      <c r="LOQ55" s="3078"/>
      <c r="LOR55" s="3078"/>
      <c r="LOS55" s="3075" t="s">
        <v>55</v>
      </c>
      <c r="LOT55" s="3078"/>
      <c r="LOU55" s="3078"/>
      <c r="LOV55" s="3078"/>
      <c r="LOW55" s="3078"/>
      <c r="LOX55" s="3078"/>
      <c r="LOY55" s="3078"/>
      <c r="LOZ55" s="3078"/>
      <c r="LPA55" s="3075" t="s">
        <v>55</v>
      </c>
      <c r="LPB55" s="3078"/>
      <c r="LPC55" s="3078"/>
      <c r="LPD55" s="3078"/>
      <c r="LPE55" s="3078"/>
      <c r="LPF55" s="3078"/>
      <c r="LPG55" s="3078"/>
      <c r="LPH55" s="3078"/>
      <c r="LPI55" s="3075" t="s">
        <v>55</v>
      </c>
      <c r="LPJ55" s="3078"/>
      <c r="LPK55" s="3078"/>
      <c r="LPL55" s="3078"/>
      <c r="LPM55" s="3078"/>
      <c r="LPN55" s="3078"/>
      <c r="LPO55" s="3078"/>
      <c r="LPP55" s="3078"/>
      <c r="LPQ55" s="3075" t="s">
        <v>55</v>
      </c>
      <c r="LPR55" s="3078"/>
      <c r="LPS55" s="3078"/>
      <c r="LPT55" s="3078"/>
      <c r="LPU55" s="3078"/>
      <c r="LPV55" s="3078"/>
      <c r="LPW55" s="3078"/>
      <c r="LPX55" s="3078"/>
      <c r="LPY55" s="3075" t="s">
        <v>55</v>
      </c>
      <c r="LPZ55" s="3078"/>
      <c r="LQA55" s="3078"/>
      <c r="LQB55" s="3078"/>
      <c r="LQC55" s="3078"/>
      <c r="LQD55" s="3078"/>
      <c r="LQE55" s="3078"/>
      <c r="LQF55" s="3078"/>
      <c r="LQG55" s="3075" t="s">
        <v>55</v>
      </c>
      <c r="LQH55" s="3078"/>
      <c r="LQI55" s="3078"/>
      <c r="LQJ55" s="3078"/>
      <c r="LQK55" s="3078"/>
      <c r="LQL55" s="3078"/>
      <c r="LQM55" s="3078"/>
      <c r="LQN55" s="3078"/>
      <c r="LQO55" s="3075" t="s">
        <v>55</v>
      </c>
      <c r="LQP55" s="3078"/>
      <c r="LQQ55" s="3078"/>
      <c r="LQR55" s="3078"/>
      <c r="LQS55" s="3078"/>
      <c r="LQT55" s="3078"/>
      <c r="LQU55" s="3078"/>
      <c r="LQV55" s="3078"/>
      <c r="LQW55" s="3075" t="s">
        <v>55</v>
      </c>
      <c r="LQX55" s="3078"/>
      <c r="LQY55" s="3078"/>
      <c r="LQZ55" s="3078"/>
      <c r="LRA55" s="3078"/>
      <c r="LRB55" s="3078"/>
      <c r="LRC55" s="3078"/>
      <c r="LRD55" s="3078"/>
      <c r="LRE55" s="3075" t="s">
        <v>55</v>
      </c>
      <c r="LRF55" s="3078"/>
      <c r="LRG55" s="3078"/>
      <c r="LRH55" s="3078"/>
      <c r="LRI55" s="3078"/>
      <c r="LRJ55" s="3078"/>
      <c r="LRK55" s="3078"/>
      <c r="LRL55" s="3078"/>
      <c r="LRM55" s="3075" t="s">
        <v>55</v>
      </c>
      <c r="LRN55" s="3078"/>
      <c r="LRO55" s="3078"/>
      <c r="LRP55" s="3078"/>
      <c r="LRQ55" s="3078"/>
      <c r="LRR55" s="3078"/>
      <c r="LRS55" s="3078"/>
      <c r="LRT55" s="3078"/>
      <c r="LRU55" s="3075" t="s">
        <v>55</v>
      </c>
      <c r="LRV55" s="3078"/>
      <c r="LRW55" s="3078"/>
      <c r="LRX55" s="3078"/>
      <c r="LRY55" s="3078"/>
      <c r="LRZ55" s="3078"/>
      <c r="LSA55" s="3078"/>
      <c r="LSB55" s="3078"/>
      <c r="LSC55" s="3075" t="s">
        <v>55</v>
      </c>
      <c r="LSD55" s="3078"/>
      <c r="LSE55" s="3078"/>
      <c r="LSF55" s="3078"/>
      <c r="LSG55" s="3078"/>
      <c r="LSH55" s="3078"/>
      <c r="LSI55" s="3078"/>
      <c r="LSJ55" s="3078"/>
      <c r="LSK55" s="3075" t="s">
        <v>55</v>
      </c>
      <c r="LSL55" s="3078"/>
      <c r="LSM55" s="3078"/>
      <c r="LSN55" s="3078"/>
      <c r="LSO55" s="3078"/>
      <c r="LSP55" s="3078"/>
      <c r="LSQ55" s="3078"/>
      <c r="LSR55" s="3078"/>
      <c r="LSS55" s="3075" t="s">
        <v>55</v>
      </c>
      <c r="LST55" s="3078"/>
      <c r="LSU55" s="3078"/>
      <c r="LSV55" s="3078"/>
      <c r="LSW55" s="3078"/>
      <c r="LSX55" s="3078"/>
      <c r="LSY55" s="3078"/>
      <c r="LSZ55" s="3078"/>
      <c r="LTA55" s="3075" t="s">
        <v>55</v>
      </c>
      <c r="LTB55" s="3078"/>
      <c r="LTC55" s="3078"/>
      <c r="LTD55" s="3078"/>
      <c r="LTE55" s="3078"/>
      <c r="LTF55" s="3078"/>
      <c r="LTG55" s="3078"/>
      <c r="LTH55" s="3078"/>
      <c r="LTI55" s="3075" t="s">
        <v>55</v>
      </c>
      <c r="LTJ55" s="3078"/>
      <c r="LTK55" s="3078"/>
      <c r="LTL55" s="3078"/>
      <c r="LTM55" s="3078"/>
      <c r="LTN55" s="3078"/>
      <c r="LTO55" s="3078"/>
      <c r="LTP55" s="3078"/>
      <c r="LTQ55" s="3075" t="s">
        <v>55</v>
      </c>
      <c r="LTR55" s="3078"/>
      <c r="LTS55" s="3078"/>
      <c r="LTT55" s="3078"/>
      <c r="LTU55" s="3078"/>
      <c r="LTV55" s="3078"/>
      <c r="LTW55" s="3078"/>
      <c r="LTX55" s="3078"/>
      <c r="LTY55" s="3075" t="s">
        <v>55</v>
      </c>
      <c r="LTZ55" s="3078"/>
      <c r="LUA55" s="3078"/>
      <c r="LUB55" s="3078"/>
      <c r="LUC55" s="3078"/>
      <c r="LUD55" s="3078"/>
      <c r="LUE55" s="3078"/>
      <c r="LUF55" s="3078"/>
      <c r="LUG55" s="3075" t="s">
        <v>55</v>
      </c>
      <c r="LUH55" s="3078"/>
      <c r="LUI55" s="3078"/>
      <c r="LUJ55" s="3078"/>
      <c r="LUK55" s="3078"/>
      <c r="LUL55" s="3078"/>
      <c r="LUM55" s="3078"/>
      <c r="LUN55" s="3078"/>
      <c r="LUO55" s="3075" t="s">
        <v>55</v>
      </c>
      <c r="LUP55" s="3078"/>
      <c r="LUQ55" s="3078"/>
      <c r="LUR55" s="3078"/>
      <c r="LUS55" s="3078"/>
      <c r="LUT55" s="3078"/>
      <c r="LUU55" s="3078"/>
      <c r="LUV55" s="3078"/>
      <c r="LUW55" s="3075" t="s">
        <v>55</v>
      </c>
      <c r="LUX55" s="3078"/>
      <c r="LUY55" s="3078"/>
      <c r="LUZ55" s="3078"/>
      <c r="LVA55" s="3078"/>
      <c r="LVB55" s="3078"/>
      <c r="LVC55" s="3078"/>
      <c r="LVD55" s="3078"/>
      <c r="LVE55" s="3075" t="s">
        <v>55</v>
      </c>
      <c r="LVF55" s="3078"/>
      <c r="LVG55" s="3078"/>
      <c r="LVH55" s="3078"/>
      <c r="LVI55" s="3078"/>
      <c r="LVJ55" s="3078"/>
      <c r="LVK55" s="3078"/>
      <c r="LVL55" s="3078"/>
      <c r="LVM55" s="3075" t="s">
        <v>55</v>
      </c>
      <c r="LVN55" s="3078"/>
      <c r="LVO55" s="3078"/>
      <c r="LVP55" s="3078"/>
      <c r="LVQ55" s="3078"/>
      <c r="LVR55" s="3078"/>
      <c r="LVS55" s="3078"/>
      <c r="LVT55" s="3078"/>
      <c r="LVU55" s="3075" t="s">
        <v>55</v>
      </c>
      <c r="LVV55" s="3078"/>
      <c r="LVW55" s="3078"/>
      <c r="LVX55" s="3078"/>
      <c r="LVY55" s="3078"/>
      <c r="LVZ55" s="3078"/>
      <c r="LWA55" s="3078"/>
      <c r="LWB55" s="3078"/>
      <c r="LWC55" s="3075" t="s">
        <v>55</v>
      </c>
      <c r="LWD55" s="3078"/>
      <c r="LWE55" s="3078"/>
      <c r="LWF55" s="3078"/>
      <c r="LWG55" s="3078"/>
      <c r="LWH55" s="3078"/>
      <c r="LWI55" s="3078"/>
      <c r="LWJ55" s="3078"/>
      <c r="LWK55" s="3075" t="s">
        <v>55</v>
      </c>
      <c r="LWL55" s="3078"/>
      <c r="LWM55" s="3078"/>
      <c r="LWN55" s="3078"/>
      <c r="LWO55" s="3078"/>
      <c r="LWP55" s="3078"/>
      <c r="LWQ55" s="3078"/>
      <c r="LWR55" s="3078"/>
      <c r="LWS55" s="3075" t="s">
        <v>55</v>
      </c>
      <c r="LWT55" s="3078"/>
      <c r="LWU55" s="3078"/>
      <c r="LWV55" s="3078"/>
      <c r="LWW55" s="3078"/>
      <c r="LWX55" s="3078"/>
      <c r="LWY55" s="3078"/>
      <c r="LWZ55" s="3078"/>
      <c r="LXA55" s="3075" t="s">
        <v>55</v>
      </c>
      <c r="LXB55" s="3078"/>
      <c r="LXC55" s="3078"/>
      <c r="LXD55" s="3078"/>
      <c r="LXE55" s="3078"/>
      <c r="LXF55" s="3078"/>
      <c r="LXG55" s="3078"/>
      <c r="LXH55" s="3078"/>
      <c r="LXI55" s="3075" t="s">
        <v>55</v>
      </c>
      <c r="LXJ55" s="3078"/>
      <c r="LXK55" s="3078"/>
      <c r="LXL55" s="3078"/>
      <c r="LXM55" s="3078"/>
      <c r="LXN55" s="3078"/>
      <c r="LXO55" s="3078"/>
      <c r="LXP55" s="3078"/>
      <c r="LXQ55" s="3075" t="s">
        <v>55</v>
      </c>
      <c r="LXR55" s="3078"/>
      <c r="LXS55" s="3078"/>
      <c r="LXT55" s="3078"/>
      <c r="LXU55" s="3078"/>
      <c r="LXV55" s="3078"/>
      <c r="LXW55" s="3078"/>
      <c r="LXX55" s="3078"/>
      <c r="LXY55" s="3075" t="s">
        <v>55</v>
      </c>
      <c r="LXZ55" s="3078"/>
      <c r="LYA55" s="3078"/>
      <c r="LYB55" s="3078"/>
      <c r="LYC55" s="3078"/>
      <c r="LYD55" s="3078"/>
      <c r="LYE55" s="3078"/>
      <c r="LYF55" s="3078"/>
      <c r="LYG55" s="3075" t="s">
        <v>55</v>
      </c>
      <c r="LYH55" s="3078"/>
      <c r="LYI55" s="3078"/>
      <c r="LYJ55" s="3078"/>
      <c r="LYK55" s="3078"/>
      <c r="LYL55" s="3078"/>
      <c r="LYM55" s="3078"/>
      <c r="LYN55" s="3078"/>
      <c r="LYO55" s="3075" t="s">
        <v>55</v>
      </c>
      <c r="LYP55" s="3078"/>
      <c r="LYQ55" s="3078"/>
      <c r="LYR55" s="3078"/>
      <c r="LYS55" s="3078"/>
      <c r="LYT55" s="3078"/>
      <c r="LYU55" s="3078"/>
      <c r="LYV55" s="3078"/>
      <c r="LYW55" s="3075" t="s">
        <v>55</v>
      </c>
      <c r="LYX55" s="3078"/>
      <c r="LYY55" s="3078"/>
      <c r="LYZ55" s="3078"/>
      <c r="LZA55" s="3078"/>
      <c r="LZB55" s="3078"/>
      <c r="LZC55" s="3078"/>
      <c r="LZD55" s="3078"/>
      <c r="LZE55" s="3075" t="s">
        <v>55</v>
      </c>
      <c r="LZF55" s="3078"/>
      <c r="LZG55" s="3078"/>
      <c r="LZH55" s="3078"/>
      <c r="LZI55" s="3078"/>
      <c r="LZJ55" s="3078"/>
      <c r="LZK55" s="3078"/>
      <c r="LZL55" s="3078"/>
      <c r="LZM55" s="3075" t="s">
        <v>55</v>
      </c>
      <c r="LZN55" s="3078"/>
      <c r="LZO55" s="3078"/>
      <c r="LZP55" s="3078"/>
      <c r="LZQ55" s="3078"/>
      <c r="LZR55" s="3078"/>
      <c r="LZS55" s="3078"/>
      <c r="LZT55" s="3078"/>
      <c r="LZU55" s="3075" t="s">
        <v>55</v>
      </c>
      <c r="LZV55" s="3078"/>
      <c r="LZW55" s="3078"/>
      <c r="LZX55" s="3078"/>
      <c r="LZY55" s="3078"/>
      <c r="LZZ55" s="3078"/>
      <c r="MAA55" s="3078"/>
      <c r="MAB55" s="3078"/>
      <c r="MAC55" s="3075" t="s">
        <v>55</v>
      </c>
      <c r="MAD55" s="3078"/>
      <c r="MAE55" s="3078"/>
      <c r="MAF55" s="3078"/>
      <c r="MAG55" s="3078"/>
      <c r="MAH55" s="3078"/>
      <c r="MAI55" s="3078"/>
      <c r="MAJ55" s="3078"/>
      <c r="MAK55" s="3075" t="s">
        <v>55</v>
      </c>
      <c r="MAL55" s="3078"/>
      <c r="MAM55" s="3078"/>
      <c r="MAN55" s="3078"/>
      <c r="MAO55" s="3078"/>
      <c r="MAP55" s="3078"/>
      <c r="MAQ55" s="3078"/>
      <c r="MAR55" s="3078"/>
      <c r="MAS55" s="3075" t="s">
        <v>55</v>
      </c>
      <c r="MAT55" s="3078"/>
      <c r="MAU55" s="3078"/>
      <c r="MAV55" s="3078"/>
      <c r="MAW55" s="3078"/>
      <c r="MAX55" s="3078"/>
      <c r="MAY55" s="3078"/>
      <c r="MAZ55" s="3078"/>
      <c r="MBA55" s="3075" t="s">
        <v>55</v>
      </c>
      <c r="MBB55" s="3078"/>
      <c r="MBC55" s="3078"/>
      <c r="MBD55" s="3078"/>
      <c r="MBE55" s="3078"/>
      <c r="MBF55" s="3078"/>
      <c r="MBG55" s="3078"/>
      <c r="MBH55" s="3078"/>
      <c r="MBI55" s="3075" t="s">
        <v>55</v>
      </c>
      <c r="MBJ55" s="3078"/>
      <c r="MBK55" s="3078"/>
      <c r="MBL55" s="3078"/>
      <c r="MBM55" s="3078"/>
      <c r="MBN55" s="3078"/>
      <c r="MBO55" s="3078"/>
      <c r="MBP55" s="3078"/>
      <c r="MBQ55" s="3075" t="s">
        <v>55</v>
      </c>
      <c r="MBR55" s="3078"/>
      <c r="MBS55" s="3078"/>
      <c r="MBT55" s="3078"/>
      <c r="MBU55" s="3078"/>
      <c r="MBV55" s="3078"/>
      <c r="MBW55" s="3078"/>
      <c r="MBX55" s="3078"/>
      <c r="MBY55" s="3075" t="s">
        <v>55</v>
      </c>
      <c r="MBZ55" s="3078"/>
      <c r="MCA55" s="3078"/>
      <c r="MCB55" s="3078"/>
      <c r="MCC55" s="3078"/>
      <c r="MCD55" s="3078"/>
      <c r="MCE55" s="3078"/>
      <c r="MCF55" s="3078"/>
      <c r="MCG55" s="3075" t="s">
        <v>55</v>
      </c>
      <c r="MCH55" s="3078"/>
      <c r="MCI55" s="3078"/>
      <c r="MCJ55" s="3078"/>
      <c r="MCK55" s="3078"/>
      <c r="MCL55" s="3078"/>
      <c r="MCM55" s="3078"/>
      <c r="MCN55" s="3078"/>
      <c r="MCO55" s="3075" t="s">
        <v>55</v>
      </c>
      <c r="MCP55" s="3078"/>
      <c r="MCQ55" s="3078"/>
      <c r="MCR55" s="3078"/>
      <c r="MCS55" s="3078"/>
      <c r="MCT55" s="3078"/>
      <c r="MCU55" s="3078"/>
      <c r="MCV55" s="3078"/>
      <c r="MCW55" s="3075" t="s">
        <v>55</v>
      </c>
      <c r="MCX55" s="3078"/>
      <c r="MCY55" s="3078"/>
      <c r="MCZ55" s="3078"/>
      <c r="MDA55" s="3078"/>
      <c r="MDB55" s="3078"/>
      <c r="MDC55" s="3078"/>
      <c r="MDD55" s="3078"/>
      <c r="MDE55" s="3075" t="s">
        <v>55</v>
      </c>
      <c r="MDF55" s="3078"/>
      <c r="MDG55" s="3078"/>
      <c r="MDH55" s="3078"/>
      <c r="MDI55" s="3078"/>
      <c r="MDJ55" s="3078"/>
      <c r="MDK55" s="3078"/>
      <c r="MDL55" s="3078"/>
      <c r="MDM55" s="3075" t="s">
        <v>55</v>
      </c>
      <c r="MDN55" s="3078"/>
      <c r="MDO55" s="3078"/>
      <c r="MDP55" s="3078"/>
      <c r="MDQ55" s="3078"/>
      <c r="MDR55" s="3078"/>
      <c r="MDS55" s="3078"/>
      <c r="MDT55" s="3078"/>
      <c r="MDU55" s="3075" t="s">
        <v>55</v>
      </c>
      <c r="MDV55" s="3078"/>
      <c r="MDW55" s="3078"/>
      <c r="MDX55" s="3078"/>
      <c r="MDY55" s="3078"/>
      <c r="MDZ55" s="3078"/>
      <c r="MEA55" s="3078"/>
      <c r="MEB55" s="3078"/>
      <c r="MEC55" s="3075" t="s">
        <v>55</v>
      </c>
      <c r="MED55" s="3078"/>
      <c r="MEE55" s="3078"/>
      <c r="MEF55" s="3078"/>
      <c r="MEG55" s="3078"/>
      <c r="MEH55" s="3078"/>
      <c r="MEI55" s="3078"/>
      <c r="MEJ55" s="3078"/>
      <c r="MEK55" s="3075" t="s">
        <v>55</v>
      </c>
      <c r="MEL55" s="3078"/>
      <c r="MEM55" s="3078"/>
      <c r="MEN55" s="3078"/>
      <c r="MEO55" s="3078"/>
      <c r="MEP55" s="3078"/>
      <c r="MEQ55" s="3078"/>
      <c r="MER55" s="3078"/>
      <c r="MES55" s="3075" t="s">
        <v>55</v>
      </c>
      <c r="MET55" s="3078"/>
      <c r="MEU55" s="3078"/>
      <c r="MEV55" s="3078"/>
      <c r="MEW55" s="3078"/>
      <c r="MEX55" s="3078"/>
      <c r="MEY55" s="3078"/>
      <c r="MEZ55" s="3078"/>
      <c r="MFA55" s="3075" t="s">
        <v>55</v>
      </c>
      <c r="MFB55" s="3078"/>
      <c r="MFC55" s="3078"/>
      <c r="MFD55" s="3078"/>
      <c r="MFE55" s="3078"/>
      <c r="MFF55" s="3078"/>
      <c r="MFG55" s="3078"/>
      <c r="MFH55" s="3078"/>
      <c r="MFI55" s="3075" t="s">
        <v>55</v>
      </c>
      <c r="MFJ55" s="3078"/>
      <c r="MFK55" s="3078"/>
      <c r="MFL55" s="3078"/>
      <c r="MFM55" s="3078"/>
      <c r="MFN55" s="3078"/>
      <c r="MFO55" s="3078"/>
      <c r="MFP55" s="3078"/>
      <c r="MFQ55" s="3075" t="s">
        <v>55</v>
      </c>
      <c r="MFR55" s="3078"/>
      <c r="MFS55" s="3078"/>
      <c r="MFT55" s="3078"/>
      <c r="MFU55" s="3078"/>
      <c r="MFV55" s="3078"/>
      <c r="MFW55" s="3078"/>
      <c r="MFX55" s="3078"/>
      <c r="MFY55" s="3075" t="s">
        <v>55</v>
      </c>
      <c r="MFZ55" s="3078"/>
      <c r="MGA55" s="3078"/>
      <c r="MGB55" s="3078"/>
      <c r="MGC55" s="3078"/>
      <c r="MGD55" s="3078"/>
      <c r="MGE55" s="3078"/>
      <c r="MGF55" s="3078"/>
      <c r="MGG55" s="3075" t="s">
        <v>55</v>
      </c>
      <c r="MGH55" s="3078"/>
      <c r="MGI55" s="3078"/>
      <c r="MGJ55" s="3078"/>
      <c r="MGK55" s="3078"/>
      <c r="MGL55" s="3078"/>
      <c r="MGM55" s="3078"/>
      <c r="MGN55" s="3078"/>
      <c r="MGO55" s="3075" t="s">
        <v>55</v>
      </c>
      <c r="MGP55" s="3078"/>
      <c r="MGQ55" s="3078"/>
      <c r="MGR55" s="3078"/>
      <c r="MGS55" s="3078"/>
      <c r="MGT55" s="3078"/>
      <c r="MGU55" s="3078"/>
      <c r="MGV55" s="3078"/>
      <c r="MGW55" s="3075" t="s">
        <v>55</v>
      </c>
      <c r="MGX55" s="3078"/>
      <c r="MGY55" s="3078"/>
      <c r="MGZ55" s="3078"/>
      <c r="MHA55" s="3078"/>
      <c r="MHB55" s="3078"/>
      <c r="MHC55" s="3078"/>
      <c r="MHD55" s="3078"/>
      <c r="MHE55" s="3075" t="s">
        <v>55</v>
      </c>
      <c r="MHF55" s="3078"/>
      <c r="MHG55" s="3078"/>
      <c r="MHH55" s="3078"/>
      <c r="MHI55" s="3078"/>
      <c r="MHJ55" s="3078"/>
      <c r="MHK55" s="3078"/>
      <c r="MHL55" s="3078"/>
      <c r="MHM55" s="3075" t="s">
        <v>55</v>
      </c>
      <c r="MHN55" s="3078"/>
      <c r="MHO55" s="3078"/>
      <c r="MHP55" s="3078"/>
      <c r="MHQ55" s="3078"/>
      <c r="MHR55" s="3078"/>
      <c r="MHS55" s="3078"/>
      <c r="MHT55" s="3078"/>
      <c r="MHU55" s="3075" t="s">
        <v>55</v>
      </c>
      <c r="MHV55" s="3078"/>
      <c r="MHW55" s="3078"/>
      <c r="MHX55" s="3078"/>
      <c r="MHY55" s="3078"/>
      <c r="MHZ55" s="3078"/>
      <c r="MIA55" s="3078"/>
      <c r="MIB55" s="3078"/>
      <c r="MIC55" s="3075" t="s">
        <v>55</v>
      </c>
      <c r="MID55" s="3078"/>
      <c r="MIE55" s="3078"/>
      <c r="MIF55" s="3078"/>
      <c r="MIG55" s="3078"/>
      <c r="MIH55" s="3078"/>
      <c r="MII55" s="3078"/>
      <c r="MIJ55" s="3078"/>
      <c r="MIK55" s="3075" t="s">
        <v>55</v>
      </c>
      <c r="MIL55" s="3078"/>
      <c r="MIM55" s="3078"/>
      <c r="MIN55" s="3078"/>
      <c r="MIO55" s="3078"/>
      <c r="MIP55" s="3078"/>
      <c r="MIQ55" s="3078"/>
      <c r="MIR55" s="3078"/>
      <c r="MIS55" s="3075" t="s">
        <v>55</v>
      </c>
      <c r="MIT55" s="3078"/>
      <c r="MIU55" s="3078"/>
      <c r="MIV55" s="3078"/>
      <c r="MIW55" s="3078"/>
      <c r="MIX55" s="3078"/>
      <c r="MIY55" s="3078"/>
      <c r="MIZ55" s="3078"/>
      <c r="MJA55" s="3075" t="s">
        <v>55</v>
      </c>
      <c r="MJB55" s="3078"/>
      <c r="MJC55" s="3078"/>
      <c r="MJD55" s="3078"/>
      <c r="MJE55" s="3078"/>
      <c r="MJF55" s="3078"/>
      <c r="MJG55" s="3078"/>
      <c r="MJH55" s="3078"/>
      <c r="MJI55" s="3075" t="s">
        <v>55</v>
      </c>
      <c r="MJJ55" s="3078"/>
      <c r="MJK55" s="3078"/>
      <c r="MJL55" s="3078"/>
      <c r="MJM55" s="3078"/>
      <c r="MJN55" s="3078"/>
      <c r="MJO55" s="3078"/>
      <c r="MJP55" s="3078"/>
      <c r="MJQ55" s="3075" t="s">
        <v>55</v>
      </c>
      <c r="MJR55" s="3078"/>
      <c r="MJS55" s="3078"/>
      <c r="MJT55" s="3078"/>
      <c r="MJU55" s="3078"/>
      <c r="MJV55" s="3078"/>
      <c r="MJW55" s="3078"/>
      <c r="MJX55" s="3078"/>
      <c r="MJY55" s="3075" t="s">
        <v>55</v>
      </c>
      <c r="MJZ55" s="3078"/>
      <c r="MKA55" s="3078"/>
      <c r="MKB55" s="3078"/>
      <c r="MKC55" s="3078"/>
      <c r="MKD55" s="3078"/>
      <c r="MKE55" s="3078"/>
      <c r="MKF55" s="3078"/>
      <c r="MKG55" s="3075" t="s">
        <v>55</v>
      </c>
      <c r="MKH55" s="3078"/>
      <c r="MKI55" s="3078"/>
      <c r="MKJ55" s="3078"/>
      <c r="MKK55" s="3078"/>
      <c r="MKL55" s="3078"/>
      <c r="MKM55" s="3078"/>
      <c r="MKN55" s="3078"/>
      <c r="MKO55" s="3075" t="s">
        <v>55</v>
      </c>
      <c r="MKP55" s="3078"/>
      <c r="MKQ55" s="3078"/>
      <c r="MKR55" s="3078"/>
      <c r="MKS55" s="3078"/>
      <c r="MKT55" s="3078"/>
      <c r="MKU55" s="3078"/>
      <c r="MKV55" s="3078"/>
      <c r="MKW55" s="3075" t="s">
        <v>55</v>
      </c>
      <c r="MKX55" s="3078"/>
      <c r="MKY55" s="3078"/>
      <c r="MKZ55" s="3078"/>
      <c r="MLA55" s="3078"/>
      <c r="MLB55" s="3078"/>
      <c r="MLC55" s="3078"/>
      <c r="MLD55" s="3078"/>
      <c r="MLE55" s="3075" t="s">
        <v>55</v>
      </c>
      <c r="MLF55" s="3078"/>
      <c r="MLG55" s="3078"/>
      <c r="MLH55" s="3078"/>
      <c r="MLI55" s="3078"/>
      <c r="MLJ55" s="3078"/>
      <c r="MLK55" s="3078"/>
      <c r="MLL55" s="3078"/>
      <c r="MLM55" s="3075" t="s">
        <v>55</v>
      </c>
      <c r="MLN55" s="3078"/>
      <c r="MLO55" s="3078"/>
      <c r="MLP55" s="3078"/>
      <c r="MLQ55" s="3078"/>
      <c r="MLR55" s="3078"/>
      <c r="MLS55" s="3078"/>
      <c r="MLT55" s="3078"/>
      <c r="MLU55" s="3075" t="s">
        <v>55</v>
      </c>
      <c r="MLV55" s="3078"/>
      <c r="MLW55" s="3078"/>
      <c r="MLX55" s="3078"/>
      <c r="MLY55" s="3078"/>
      <c r="MLZ55" s="3078"/>
      <c r="MMA55" s="3078"/>
      <c r="MMB55" s="3078"/>
      <c r="MMC55" s="3075" t="s">
        <v>55</v>
      </c>
      <c r="MMD55" s="3078"/>
      <c r="MME55" s="3078"/>
      <c r="MMF55" s="3078"/>
      <c r="MMG55" s="3078"/>
      <c r="MMH55" s="3078"/>
      <c r="MMI55" s="3078"/>
      <c r="MMJ55" s="3078"/>
      <c r="MMK55" s="3075" t="s">
        <v>55</v>
      </c>
      <c r="MML55" s="3078"/>
      <c r="MMM55" s="3078"/>
      <c r="MMN55" s="3078"/>
      <c r="MMO55" s="3078"/>
      <c r="MMP55" s="3078"/>
      <c r="MMQ55" s="3078"/>
      <c r="MMR55" s="3078"/>
      <c r="MMS55" s="3075" t="s">
        <v>55</v>
      </c>
      <c r="MMT55" s="3078"/>
      <c r="MMU55" s="3078"/>
      <c r="MMV55" s="3078"/>
      <c r="MMW55" s="3078"/>
      <c r="MMX55" s="3078"/>
      <c r="MMY55" s="3078"/>
      <c r="MMZ55" s="3078"/>
      <c r="MNA55" s="3075" t="s">
        <v>55</v>
      </c>
      <c r="MNB55" s="3078"/>
      <c r="MNC55" s="3078"/>
      <c r="MND55" s="3078"/>
      <c r="MNE55" s="3078"/>
      <c r="MNF55" s="3078"/>
      <c r="MNG55" s="3078"/>
      <c r="MNH55" s="3078"/>
      <c r="MNI55" s="3075" t="s">
        <v>55</v>
      </c>
      <c r="MNJ55" s="3078"/>
      <c r="MNK55" s="3078"/>
      <c r="MNL55" s="3078"/>
      <c r="MNM55" s="3078"/>
      <c r="MNN55" s="3078"/>
      <c r="MNO55" s="3078"/>
      <c r="MNP55" s="3078"/>
      <c r="MNQ55" s="3075" t="s">
        <v>55</v>
      </c>
      <c r="MNR55" s="3078"/>
      <c r="MNS55" s="3078"/>
      <c r="MNT55" s="3078"/>
      <c r="MNU55" s="3078"/>
      <c r="MNV55" s="3078"/>
      <c r="MNW55" s="3078"/>
      <c r="MNX55" s="3078"/>
      <c r="MNY55" s="3075" t="s">
        <v>55</v>
      </c>
      <c r="MNZ55" s="3078"/>
      <c r="MOA55" s="3078"/>
      <c r="MOB55" s="3078"/>
      <c r="MOC55" s="3078"/>
      <c r="MOD55" s="3078"/>
      <c r="MOE55" s="3078"/>
      <c r="MOF55" s="3078"/>
      <c r="MOG55" s="3075" t="s">
        <v>55</v>
      </c>
      <c r="MOH55" s="3078"/>
      <c r="MOI55" s="3078"/>
      <c r="MOJ55" s="3078"/>
      <c r="MOK55" s="3078"/>
      <c r="MOL55" s="3078"/>
      <c r="MOM55" s="3078"/>
      <c r="MON55" s="3078"/>
      <c r="MOO55" s="3075" t="s">
        <v>55</v>
      </c>
      <c r="MOP55" s="3078"/>
      <c r="MOQ55" s="3078"/>
      <c r="MOR55" s="3078"/>
      <c r="MOS55" s="3078"/>
      <c r="MOT55" s="3078"/>
      <c r="MOU55" s="3078"/>
      <c r="MOV55" s="3078"/>
      <c r="MOW55" s="3075" t="s">
        <v>55</v>
      </c>
      <c r="MOX55" s="3078"/>
      <c r="MOY55" s="3078"/>
      <c r="MOZ55" s="3078"/>
      <c r="MPA55" s="3078"/>
      <c r="MPB55" s="3078"/>
      <c r="MPC55" s="3078"/>
      <c r="MPD55" s="3078"/>
      <c r="MPE55" s="3075" t="s">
        <v>55</v>
      </c>
      <c r="MPF55" s="3078"/>
      <c r="MPG55" s="3078"/>
      <c r="MPH55" s="3078"/>
      <c r="MPI55" s="3078"/>
      <c r="MPJ55" s="3078"/>
      <c r="MPK55" s="3078"/>
      <c r="MPL55" s="3078"/>
      <c r="MPM55" s="3075" t="s">
        <v>55</v>
      </c>
      <c r="MPN55" s="3078"/>
      <c r="MPO55" s="3078"/>
      <c r="MPP55" s="3078"/>
      <c r="MPQ55" s="3078"/>
      <c r="MPR55" s="3078"/>
      <c r="MPS55" s="3078"/>
      <c r="MPT55" s="3078"/>
      <c r="MPU55" s="3075" t="s">
        <v>55</v>
      </c>
      <c r="MPV55" s="3078"/>
      <c r="MPW55" s="3078"/>
      <c r="MPX55" s="3078"/>
      <c r="MPY55" s="3078"/>
      <c r="MPZ55" s="3078"/>
      <c r="MQA55" s="3078"/>
      <c r="MQB55" s="3078"/>
      <c r="MQC55" s="3075" t="s">
        <v>55</v>
      </c>
      <c r="MQD55" s="3078"/>
      <c r="MQE55" s="3078"/>
      <c r="MQF55" s="3078"/>
      <c r="MQG55" s="3078"/>
      <c r="MQH55" s="3078"/>
      <c r="MQI55" s="3078"/>
      <c r="MQJ55" s="3078"/>
      <c r="MQK55" s="3075" t="s">
        <v>55</v>
      </c>
      <c r="MQL55" s="3078"/>
      <c r="MQM55" s="3078"/>
      <c r="MQN55" s="3078"/>
      <c r="MQO55" s="3078"/>
      <c r="MQP55" s="3078"/>
      <c r="MQQ55" s="3078"/>
      <c r="MQR55" s="3078"/>
      <c r="MQS55" s="3075" t="s">
        <v>55</v>
      </c>
      <c r="MQT55" s="3078"/>
      <c r="MQU55" s="3078"/>
      <c r="MQV55" s="3078"/>
      <c r="MQW55" s="3078"/>
      <c r="MQX55" s="3078"/>
      <c r="MQY55" s="3078"/>
      <c r="MQZ55" s="3078"/>
      <c r="MRA55" s="3075" t="s">
        <v>55</v>
      </c>
      <c r="MRB55" s="3078"/>
      <c r="MRC55" s="3078"/>
      <c r="MRD55" s="3078"/>
      <c r="MRE55" s="3078"/>
      <c r="MRF55" s="3078"/>
      <c r="MRG55" s="3078"/>
      <c r="MRH55" s="3078"/>
      <c r="MRI55" s="3075" t="s">
        <v>55</v>
      </c>
      <c r="MRJ55" s="3078"/>
      <c r="MRK55" s="3078"/>
      <c r="MRL55" s="3078"/>
      <c r="MRM55" s="3078"/>
      <c r="MRN55" s="3078"/>
      <c r="MRO55" s="3078"/>
      <c r="MRP55" s="3078"/>
      <c r="MRQ55" s="3075" t="s">
        <v>55</v>
      </c>
      <c r="MRR55" s="3078"/>
      <c r="MRS55" s="3078"/>
      <c r="MRT55" s="3078"/>
      <c r="MRU55" s="3078"/>
      <c r="MRV55" s="3078"/>
      <c r="MRW55" s="3078"/>
      <c r="MRX55" s="3078"/>
      <c r="MRY55" s="3075" t="s">
        <v>55</v>
      </c>
      <c r="MRZ55" s="3078"/>
      <c r="MSA55" s="3078"/>
      <c r="MSB55" s="3078"/>
      <c r="MSC55" s="3078"/>
      <c r="MSD55" s="3078"/>
      <c r="MSE55" s="3078"/>
      <c r="MSF55" s="3078"/>
      <c r="MSG55" s="3075" t="s">
        <v>55</v>
      </c>
      <c r="MSH55" s="3078"/>
      <c r="MSI55" s="3078"/>
      <c r="MSJ55" s="3078"/>
      <c r="MSK55" s="3078"/>
      <c r="MSL55" s="3078"/>
      <c r="MSM55" s="3078"/>
      <c r="MSN55" s="3078"/>
      <c r="MSO55" s="3075" t="s">
        <v>55</v>
      </c>
      <c r="MSP55" s="3078"/>
      <c r="MSQ55" s="3078"/>
      <c r="MSR55" s="3078"/>
      <c r="MSS55" s="3078"/>
      <c r="MST55" s="3078"/>
      <c r="MSU55" s="3078"/>
      <c r="MSV55" s="3078"/>
      <c r="MSW55" s="3075" t="s">
        <v>55</v>
      </c>
      <c r="MSX55" s="3078"/>
      <c r="MSY55" s="3078"/>
      <c r="MSZ55" s="3078"/>
      <c r="MTA55" s="3078"/>
      <c r="MTB55" s="3078"/>
      <c r="MTC55" s="3078"/>
      <c r="MTD55" s="3078"/>
      <c r="MTE55" s="3075" t="s">
        <v>55</v>
      </c>
      <c r="MTF55" s="3078"/>
      <c r="MTG55" s="3078"/>
      <c r="MTH55" s="3078"/>
      <c r="MTI55" s="3078"/>
      <c r="MTJ55" s="3078"/>
      <c r="MTK55" s="3078"/>
      <c r="MTL55" s="3078"/>
      <c r="MTM55" s="3075" t="s">
        <v>55</v>
      </c>
      <c r="MTN55" s="3078"/>
      <c r="MTO55" s="3078"/>
      <c r="MTP55" s="3078"/>
      <c r="MTQ55" s="3078"/>
      <c r="MTR55" s="3078"/>
      <c r="MTS55" s="3078"/>
      <c r="MTT55" s="3078"/>
      <c r="MTU55" s="3075" t="s">
        <v>55</v>
      </c>
      <c r="MTV55" s="3078"/>
      <c r="MTW55" s="3078"/>
      <c r="MTX55" s="3078"/>
      <c r="MTY55" s="3078"/>
      <c r="MTZ55" s="3078"/>
      <c r="MUA55" s="3078"/>
      <c r="MUB55" s="3078"/>
      <c r="MUC55" s="3075" t="s">
        <v>55</v>
      </c>
      <c r="MUD55" s="3078"/>
      <c r="MUE55" s="3078"/>
      <c r="MUF55" s="3078"/>
      <c r="MUG55" s="3078"/>
      <c r="MUH55" s="3078"/>
      <c r="MUI55" s="3078"/>
      <c r="MUJ55" s="3078"/>
      <c r="MUK55" s="3075" t="s">
        <v>55</v>
      </c>
      <c r="MUL55" s="3078"/>
      <c r="MUM55" s="3078"/>
      <c r="MUN55" s="3078"/>
      <c r="MUO55" s="3078"/>
      <c r="MUP55" s="3078"/>
      <c r="MUQ55" s="3078"/>
      <c r="MUR55" s="3078"/>
      <c r="MUS55" s="3075" t="s">
        <v>55</v>
      </c>
      <c r="MUT55" s="3078"/>
      <c r="MUU55" s="3078"/>
      <c r="MUV55" s="3078"/>
      <c r="MUW55" s="3078"/>
      <c r="MUX55" s="3078"/>
      <c r="MUY55" s="3078"/>
      <c r="MUZ55" s="3078"/>
      <c r="MVA55" s="3075" t="s">
        <v>55</v>
      </c>
      <c r="MVB55" s="3078"/>
      <c r="MVC55" s="3078"/>
      <c r="MVD55" s="3078"/>
      <c r="MVE55" s="3078"/>
      <c r="MVF55" s="3078"/>
      <c r="MVG55" s="3078"/>
      <c r="MVH55" s="3078"/>
      <c r="MVI55" s="3075" t="s">
        <v>55</v>
      </c>
      <c r="MVJ55" s="3078"/>
      <c r="MVK55" s="3078"/>
      <c r="MVL55" s="3078"/>
      <c r="MVM55" s="3078"/>
      <c r="MVN55" s="3078"/>
      <c r="MVO55" s="3078"/>
      <c r="MVP55" s="3078"/>
      <c r="MVQ55" s="3075" t="s">
        <v>55</v>
      </c>
      <c r="MVR55" s="3078"/>
      <c r="MVS55" s="3078"/>
      <c r="MVT55" s="3078"/>
      <c r="MVU55" s="3078"/>
      <c r="MVV55" s="3078"/>
      <c r="MVW55" s="3078"/>
      <c r="MVX55" s="3078"/>
      <c r="MVY55" s="3075" t="s">
        <v>55</v>
      </c>
      <c r="MVZ55" s="3078"/>
      <c r="MWA55" s="3078"/>
      <c r="MWB55" s="3078"/>
      <c r="MWC55" s="3078"/>
      <c r="MWD55" s="3078"/>
      <c r="MWE55" s="3078"/>
      <c r="MWF55" s="3078"/>
      <c r="MWG55" s="3075" t="s">
        <v>55</v>
      </c>
      <c r="MWH55" s="3078"/>
      <c r="MWI55" s="3078"/>
      <c r="MWJ55" s="3078"/>
      <c r="MWK55" s="3078"/>
      <c r="MWL55" s="3078"/>
      <c r="MWM55" s="3078"/>
      <c r="MWN55" s="3078"/>
      <c r="MWO55" s="3075" t="s">
        <v>55</v>
      </c>
      <c r="MWP55" s="3078"/>
      <c r="MWQ55" s="3078"/>
      <c r="MWR55" s="3078"/>
      <c r="MWS55" s="3078"/>
      <c r="MWT55" s="3078"/>
      <c r="MWU55" s="3078"/>
      <c r="MWV55" s="3078"/>
      <c r="MWW55" s="3075" t="s">
        <v>55</v>
      </c>
      <c r="MWX55" s="3078"/>
      <c r="MWY55" s="3078"/>
      <c r="MWZ55" s="3078"/>
      <c r="MXA55" s="3078"/>
      <c r="MXB55" s="3078"/>
      <c r="MXC55" s="3078"/>
      <c r="MXD55" s="3078"/>
      <c r="MXE55" s="3075" t="s">
        <v>55</v>
      </c>
      <c r="MXF55" s="3078"/>
      <c r="MXG55" s="3078"/>
      <c r="MXH55" s="3078"/>
      <c r="MXI55" s="3078"/>
      <c r="MXJ55" s="3078"/>
      <c r="MXK55" s="3078"/>
      <c r="MXL55" s="3078"/>
      <c r="MXM55" s="3075" t="s">
        <v>55</v>
      </c>
      <c r="MXN55" s="3078"/>
      <c r="MXO55" s="3078"/>
      <c r="MXP55" s="3078"/>
      <c r="MXQ55" s="3078"/>
      <c r="MXR55" s="3078"/>
      <c r="MXS55" s="3078"/>
      <c r="MXT55" s="3078"/>
      <c r="MXU55" s="3075" t="s">
        <v>55</v>
      </c>
      <c r="MXV55" s="3078"/>
      <c r="MXW55" s="3078"/>
      <c r="MXX55" s="3078"/>
      <c r="MXY55" s="3078"/>
      <c r="MXZ55" s="3078"/>
      <c r="MYA55" s="3078"/>
      <c r="MYB55" s="3078"/>
      <c r="MYC55" s="3075" t="s">
        <v>55</v>
      </c>
      <c r="MYD55" s="3078"/>
      <c r="MYE55" s="3078"/>
      <c r="MYF55" s="3078"/>
      <c r="MYG55" s="3078"/>
      <c r="MYH55" s="3078"/>
      <c r="MYI55" s="3078"/>
      <c r="MYJ55" s="3078"/>
      <c r="MYK55" s="3075" t="s">
        <v>55</v>
      </c>
      <c r="MYL55" s="3078"/>
      <c r="MYM55" s="3078"/>
      <c r="MYN55" s="3078"/>
      <c r="MYO55" s="3078"/>
      <c r="MYP55" s="3078"/>
      <c r="MYQ55" s="3078"/>
      <c r="MYR55" s="3078"/>
      <c r="MYS55" s="3075" t="s">
        <v>55</v>
      </c>
      <c r="MYT55" s="3078"/>
      <c r="MYU55" s="3078"/>
      <c r="MYV55" s="3078"/>
      <c r="MYW55" s="3078"/>
      <c r="MYX55" s="3078"/>
      <c r="MYY55" s="3078"/>
      <c r="MYZ55" s="3078"/>
      <c r="MZA55" s="3075" t="s">
        <v>55</v>
      </c>
      <c r="MZB55" s="3078"/>
      <c r="MZC55" s="3078"/>
      <c r="MZD55" s="3078"/>
      <c r="MZE55" s="3078"/>
      <c r="MZF55" s="3078"/>
      <c r="MZG55" s="3078"/>
      <c r="MZH55" s="3078"/>
      <c r="MZI55" s="3075" t="s">
        <v>55</v>
      </c>
      <c r="MZJ55" s="3078"/>
      <c r="MZK55" s="3078"/>
      <c r="MZL55" s="3078"/>
      <c r="MZM55" s="3078"/>
      <c r="MZN55" s="3078"/>
      <c r="MZO55" s="3078"/>
      <c r="MZP55" s="3078"/>
      <c r="MZQ55" s="3075" t="s">
        <v>55</v>
      </c>
      <c r="MZR55" s="3078"/>
      <c r="MZS55" s="3078"/>
      <c r="MZT55" s="3078"/>
      <c r="MZU55" s="3078"/>
      <c r="MZV55" s="3078"/>
      <c r="MZW55" s="3078"/>
      <c r="MZX55" s="3078"/>
      <c r="MZY55" s="3075" t="s">
        <v>55</v>
      </c>
      <c r="MZZ55" s="3078"/>
      <c r="NAA55" s="3078"/>
      <c r="NAB55" s="3078"/>
      <c r="NAC55" s="3078"/>
      <c r="NAD55" s="3078"/>
      <c r="NAE55" s="3078"/>
      <c r="NAF55" s="3078"/>
      <c r="NAG55" s="3075" t="s">
        <v>55</v>
      </c>
      <c r="NAH55" s="3078"/>
      <c r="NAI55" s="3078"/>
      <c r="NAJ55" s="3078"/>
      <c r="NAK55" s="3078"/>
      <c r="NAL55" s="3078"/>
      <c r="NAM55" s="3078"/>
      <c r="NAN55" s="3078"/>
      <c r="NAO55" s="3075" t="s">
        <v>55</v>
      </c>
      <c r="NAP55" s="3078"/>
      <c r="NAQ55" s="3078"/>
      <c r="NAR55" s="3078"/>
      <c r="NAS55" s="3078"/>
      <c r="NAT55" s="3078"/>
      <c r="NAU55" s="3078"/>
      <c r="NAV55" s="3078"/>
      <c r="NAW55" s="3075" t="s">
        <v>55</v>
      </c>
      <c r="NAX55" s="3078"/>
      <c r="NAY55" s="3078"/>
      <c r="NAZ55" s="3078"/>
      <c r="NBA55" s="3078"/>
      <c r="NBB55" s="3078"/>
      <c r="NBC55" s="3078"/>
      <c r="NBD55" s="3078"/>
      <c r="NBE55" s="3075" t="s">
        <v>55</v>
      </c>
      <c r="NBF55" s="3078"/>
      <c r="NBG55" s="3078"/>
      <c r="NBH55" s="3078"/>
      <c r="NBI55" s="3078"/>
      <c r="NBJ55" s="3078"/>
      <c r="NBK55" s="3078"/>
      <c r="NBL55" s="3078"/>
      <c r="NBM55" s="3075" t="s">
        <v>55</v>
      </c>
      <c r="NBN55" s="3078"/>
      <c r="NBO55" s="3078"/>
      <c r="NBP55" s="3078"/>
      <c r="NBQ55" s="3078"/>
      <c r="NBR55" s="3078"/>
      <c r="NBS55" s="3078"/>
      <c r="NBT55" s="3078"/>
      <c r="NBU55" s="3075" t="s">
        <v>55</v>
      </c>
      <c r="NBV55" s="3078"/>
      <c r="NBW55" s="3078"/>
      <c r="NBX55" s="3078"/>
      <c r="NBY55" s="3078"/>
      <c r="NBZ55" s="3078"/>
      <c r="NCA55" s="3078"/>
      <c r="NCB55" s="3078"/>
      <c r="NCC55" s="3075" t="s">
        <v>55</v>
      </c>
      <c r="NCD55" s="3078"/>
      <c r="NCE55" s="3078"/>
      <c r="NCF55" s="3078"/>
      <c r="NCG55" s="3078"/>
      <c r="NCH55" s="3078"/>
      <c r="NCI55" s="3078"/>
      <c r="NCJ55" s="3078"/>
      <c r="NCK55" s="3075" t="s">
        <v>55</v>
      </c>
      <c r="NCL55" s="3078"/>
      <c r="NCM55" s="3078"/>
      <c r="NCN55" s="3078"/>
      <c r="NCO55" s="3078"/>
      <c r="NCP55" s="3078"/>
      <c r="NCQ55" s="3078"/>
      <c r="NCR55" s="3078"/>
      <c r="NCS55" s="3075" t="s">
        <v>55</v>
      </c>
      <c r="NCT55" s="3078"/>
      <c r="NCU55" s="3078"/>
      <c r="NCV55" s="3078"/>
      <c r="NCW55" s="3078"/>
      <c r="NCX55" s="3078"/>
      <c r="NCY55" s="3078"/>
      <c r="NCZ55" s="3078"/>
      <c r="NDA55" s="3075" t="s">
        <v>55</v>
      </c>
      <c r="NDB55" s="3078"/>
      <c r="NDC55" s="3078"/>
      <c r="NDD55" s="3078"/>
      <c r="NDE55" s="3078"/>
      <c r="NDF55" s="3078"/>
      <c r="NDG55" s="3078"/>
      <c r="NDH55" s="3078"/>
      <c r="NDI55" s="3075" t="s">
        <v>55</v>
      </c>
      <c r="NDJ55" s="3078"/>
      <c r="NDK55" s="3078"/>
      <c r="NDL55" s="3078"/>
      <c r="NDM55" s="3078"/>
      <c r="NDN55" s="3078"/>
      <c r="NDO55" s="3078"/>
      <c r="NDP55" s="3078"/>
      <c r="NDQ55" s="3075" t="s">
        <v>55</v>
      </c>
      <c r="NDR55" s="3078"/>
      <c r="NDS55" s="3078"/>
      <c r="NDT55" s="3078"/>
      <c r="NDU55" s="3078"/>
      <c r="NDV55" s="3078"/>
      <c r="NDW55" s="3078"/>
      <c r="NDX55" s="3078"/>
      <c r="NDY55" s="3075" t="s">
        <v>55</v>
      </c>
      <c r="NDZ55" s="3078"/>
      <c r="NEA55" s="3078"/>
      <c r="NEB55" s="3078"/>
      <c r="NEC55" s="3078"/>
      <c r="NED55" s="3078"/>
      <c r="NEE55" s="3078"/>
      <c r="NEF55" s="3078"/>
      <c r="NEG55" s="3075" t="s">
        <v>55</v>
      </c>
      <c r="NEH55" s="3078"/>
      <c r="NEI55" s="3078"/>
      <c r="NEJ55" s="3078"/>
      <c r="NEK55" s="3078"/>
      <c r="NEL55" s="3078"/>
      <c r="NEM55" s="3078"/>
      <c r="NEN55" s="3078"/>
      <c r="NEO55" s="3075" t="s">
        <v>55</v>
      </c>
      <c r="NEP55" s="3078"/>
      <c r="NEQ55" s="3078"/>
      <c r="NER55" s="3078"/>
      <c r="NES55" s="3078"/>
      <c r="NET55" s="3078"/>
      <c r="NEU55" s="3078"/>
      <c r="NEV55" s="3078"/>
      <c r="NEW55" s="3075" t="s">
        <v>55</v>
      </c>
      <c r="NEX55" s="3078"/>
      <c r="NEY55" s="3078"/>
      <c r="NEZ55" s="3078"/>
      <c r="NFA55" s="3078"/>
      <c r="NFB55" s="3078"/>
      <c r="NFC55" s="3078"/>
      <c r="NFD55" s="3078"/>
      <c r="NFE55" s="3075" t="s">
        <v>55</v>
      </c>
      <c r="NFF55" s="3078"/>
      <c r="NFG55" s="3078"/>
      <c r="NFH55" s="3078"/>
      <c r="NFI55" s="3078"/>
      <c r="NFJ55" s="3078"/>
      <c r="NFK55" s="3078"/>
      <c r="NFL55" s="3078"/>
      <c r="NFM55" s="3075" t="s">
        <v>55</v>
      </c>
      <c r="NFN55" s="3078"/>
      <c r="NFO55" s="3078"/>
      <c r="NFP55" s="3078"/>
      <c r="NFQ55" s="3078"/>
      <c r="NFR55" s="3078"/>
      <c r="NFS55" s="3078"/>
      <c r="NFT55" s="3078"/>
      <c r="NFU55" s="3075" t="s">
        <v>55</v>
      </c>
      <c r="NFV55" s="3078"/>
      <c r="NFW55" s="3078"/>
      <c r="NFX55" s="3078"/>
      <c r="NFY55" s="3078"/>
      <c r="NFZ55" s="3078"/>
      <c r="NGA55" s="3078"/>
      <c r="NGB55" s="3078"/>
      <c r="NGC55" s="3075" t="s">
        <v>55</v>
      </c>
      <c r="NGD55" s="3078"/>
      <c r="NGE55" s="3078"/>
      <c r="NGF55" s="3078"/>
      <c r="NGG55" s="3078"/>
      <c r="NGH55" s="3078"/>
      <c r="NGI55" s="3078"/>
      <c r="NGJ55" s="3078"/>
      <c r="NGK55" s="3075" t="s">
        <v>55</v>
      </c>
      <c r="NGL55" s="3078"/>
      <c r="NGM55" s="3078"/>
      <c r="NGN55" s="3078"/>
      <c r="NGO55" s="3078"/>
      <c r="NGP55" s="3078"/>
      <c r="NGQ55" s="3078"/>
      <c r="NGR55" s="3078"/>
      <c r="NGS55" s="3075" t="s">
        <v>55</v>
      </c>
      <c r="NGT55" s="3078"/>
      <c r="NGU55" s="3078"/>
      <c r="NGV55" s="3078"/>
      <c r="NGW55" s="3078"/>
      <c r="NGX55" s="3078"/>
      <c r="NGY55" s="3078"/>
      <c r="NGZ55" s="3078"/>
      <c r="NHA55" s="3075" t="s">
        <v>55</v>
      </c>
      <c r="NHB55" s="3078"/>
      <c r="NHC55" s="3078"/>
      <c r="NHD55" s="3078"/>
      <c r="NHE55" s="3078"/>
      <c r="NHF55" s="3078"/>
      <c r="NHG55" s="3078"/>
      <c r="NHH55" s="3078"/>
      <c r="NHI55" s="3075" t="s">
        <v>55</v>
      </c>
      <c r="NHJ55" s="3078"/>
      <c r="NHK55" s="3078"/>
      <c r="NHL55" s="3078"/>
      <c r="NHM55" s="3078"/>
      <c r="NHN55" s="3078"/>
      <c r="NHO55" s="3078"/>
      <c r="NHP55" s="3078"/>
      <c r="NHQ55" s="3075" t="s">
        <v>55</v>
      </c>
      <c r="NHR55" s="3078"/>
      <c r="NHS55" s="3078"/>
      <c r="NHT55" s="3078"/>
      <c r="NHU55" s="3078"/>
      <c r="NHV55" s="3078"/>
      <c r="NHW55" s="3078"/>
      <c r="NHX55" s="3078"/>
      <c r="NHY55" s="3075" t="s">
        <v>55</v>
      </c>
      <c r="NHZ55" s="3078"/>
      <c r="NIA55" s="3078"/>
      <c r="NIB55" s="3078"/>
      <c r="NIC55" s="3078"/>
      <c r="NID55" s="3078"/>
      <c r="NIE55" s="3078"/>
      <c r="NIF55" s="3078"/>
      <c r="NIG55" s="3075" t="s">
        <v>55</v>
      </c>
      <c r="NIH55" s="3078"/>
      <c r="NII55" s="3078"/>
      <c r="NIJ55" s="3078"/>
      <c r="NIK55" s="3078"/>
      <c r="NIL55" s="3078"/>
      <c r="NIM55" s="3078"/>
      <c r="NIN55" s="3078"/>
      <c r="NIO55" s="3075" t="s">
        <v>55</v>
      </c>
      <c r="NIP55" s="3078"/>
      <c r="NIQ55" s="3078"/>
      <c r="NIR55" s="3078"/>
      <c r="NIS55" s="3078"/>
      <c r="NIT55" s="3078"/>
      <c r="NIU55" s="3078"/>
      <c r="NIV55" s="3078"/>
      <c r="NIW55" s="3075" t="s">
        <v>55</v>
      </c>
      <c r="NIX55" s="3078"/>
      <c r="NIY55" s="3078"/>
      <c r="NIZ55" s="3078"/>
      <c r="NJA55" s="3078"/>
      <c r="NJB55" s="3078"/>
      <c r="NJC55" s="3078"/>
      <c r="NJD55" s="3078"/>
      <c r="NJE55" s="3075" t="s">
        <v>55</v>
      </c>
      <c r="NJF55" s="3078"/>
      <c r="NJG55" s="3078"/>
      <c r="NJH55" s="3078"/>
      <c r="NJI55" s="3078"/>
      <c r="NJJ55" s="3078"/>
      <c r="NJK55" s="3078"/>
      <c r="NJL55" s="3078"/>
      <c r="NJM55" s="3075" t="s">
        <v>55</v>
      </c>
      <c r="NJN55" s="3078"/>
      <c r="NJO55" s="3078"/>
      <c r="NJP55" s="3078"/>
      <c r="NJQ55" s="3078"/>
      <c r="NJR55" s="3078"/>
      <c r="NJS55" s="3078"/>
      <c r="NJT55" s="3078"/>
      <c r="NJU55" s="3075" t="s">
        <v>55</v>
      </c>
      <c r="NJV55" s="3078"/>
      <c r="NJW55" s="3078"/>
      <c r="NJX55" s="3078"/>
      <c r="NJY55" s="3078"/>
      <c r="NJZ55" s="3078"/>
      <c r="NKA55" s="3078"/>
      <c r="NKB55" s="3078"/>
      <c r="NKC55" s="3075" t="s">
        <v>55</v>
      </c>
      <c r="NKD55" s="3078"/>
      <c r="NKE55" s="3078"/>
      <c r="NKF55" s="3078"/>
      <c r="NKG55" s="3078"/>
      <c r="NKH55" s="3078"/>
      <c r="NKI55" s="3078"/>
      <c r="NKJ55" s="3078"/>
      <c r="NKK55" s="3075" t="s">
        <v>55</v>
      </c>
      <c r="NKL55" s="3078"/>
      <c r="NKM55" s="3078"/>
      <c r="NKN55" s="3078"/>
      <c r="NKO55" s="3078"/>
      <c r="NKP55" s="3078"/>
      <c r="NKQ55" s="3078"/>
      <c r="NKR55" s="3078"/>
      <c r="NKS55" s="3075" t="s">
        <v>55</v>
      </c>
      <c r="NKT55" s="3078"/>
      <c r="NKU55" s="3078"/>
      <c r="NKV55" s="3078"/>
      <c r="NKW55" s="3078"/>
      <c r="NKX55" s="3078"/>
      <c r="NKY55" s="3078"/>
      <c r="NKZ55" s="3078"/>
      <c r="NLA55" s="3075" t="s">
        <v>55</v>
      </c>
      <c r="NLB55" s="3078"/>
      <c r="NLC55" s="3078"/>
      <c r="NLD55" s="3078"/>
      <c r="NLE55" s="3078"/>
      <c r="NLF55" s="3078"/>
      <c r="NLG55" s="3078"/>
      <c r="NLH55" s="3078"/>
      <c r="NLI55" s="3075" t="s">
        <v>55</v>
      </c>
      <c r="NLJ55" s="3078"/>
      <c r="NLK55" s="3078"/>
      <c r="NLL55" s="3078"/>
      <c r="NLM55" s="3078"/>
      <c r="NLN55" s="3078"/>
      <c r="NLO55" s="3078"/>
      <c r="NLP55" s="3078"/>
      <c r="NLQ55" s="3075" t="s">
        <v>55</v>
      </c>
      <c r="NLR55" s="3078"/>
      <c r="NLS55" s="3078"/>
      <c r="NLT55" s="3078"/>
      <c r="NLU55" s="3078"/>
      <c r="NLV55" s="3078"/>
      <c r="NLW55" s="3078"/>
      <c r="NLX55" s="3078"/>
      <c r="NLY55" s="3075" t="s">
        <v>55</v>
      </c>
      <c r="NLZ55" s="3078"/>
      <c r="NMA55" s="3078"/>
      <c r="NMB55" s="3078"/>
      <c r="NMC55" s="3078"/>
      <c r="NMD55" s="3078"/>
      <c r="NME55" s="3078"/>
      <c r="NMF55" s="3078"/>
      <c r="NMG55" s="3075" t="s">
        <v>55</v>
      </c>
      <c r="NMH55" s="3078"/>
      <c r="NMI55" s="3078"/>
      <c r="NMJ55" s="3078"/>
      <c r="NMK55" s="3078"/>
      <c r="NML55" s="3078"/>
      <c r="NMM55" s="3078"/>
      <c r="NMN55" s="3078"/>
      <c r="NMO55" s="3075" t="s">
        <v>55</v>
      </c>
      <c r="NMP55" s="3078"/>
      <c r="NMQ55" s="3078"/>
      <c r="NMR55" s="3078"/>
      <c r="NMS55" s="3078"/>
      <c r="NMT55" s="3078"/>
      <c r="NMU55" s="3078"/>
      <c r="NMV55" s="3078"/>
      <c r="NMW55" s="3075" t="s">
        <v>55</v>
      </c>
      <c r="NMX55" s="3078"/>
      <c r="NMY55" s="3078"/>
      <c r="NMZ55" s="3078"/>
      <c r="NNA55" s="3078"/>
      <c r="NNB55" s="3078"/>
      <c r="NNC55" s="3078"/>
      <c r="NND55" s="3078"/>
      <c r="NNE55" s="3075" t="s">
        <v>55</v>
      </c>
      <c r="NNF55" s="3078"/>
      <c r="NNG55" s="3078"/>
      <c r="NNH55" s="3078"/>
      <c r="NNI55" s="3078"/>
      <c r="NNJ55" s="3078"/>
      <c r="NNK55" s="3078"/>
      <c r="NNL55" s="3078"/>
      <c r="NNM55" s="3075" t="s">
        <v>55</v>
      </c>
      <c r="NNN55" s="3078"/>
      <c r="NNO55" s="3078"/>
      <c r="NNP55" s="3078"/>
      <c r="NNQ55" s="3078"/>
      <c r="NNR55" s="3078"/>
      <c r="NNS55" s="3078"/>
      <c r="NNT55" s="3078"/>
      <c r="NNU55" s="3075" t="s">
        <v>55</v>
      </c>
      <c r="NNV55" s="3078"/>
      <c r="NNW55" s="3078"/>
      <c r="NNX55" s="3078"/>
      <c r="NNY55" s="3078"/>
      <c r="NNZ55" s="3078"/>
      <c r="NOA55" s="3078"/>
      <c r="NOB55" s="3078"/>
      <c r="NOC55" s="3075" t="s">
        <v>55</v>
      </c>
      <c r="NOD55" s="3078"/>
      <c r="NOE55" s="3078"/>
      <c r="NOF55" s="3078"/>
      <c r="NOG55" s="3078"/>
      <c r="NOH55" s="3078"/>
      <c r="NOI55" s="3078"/>
      <c r="NOJ55" s="3078"/>
      <c r="NOK55" s="3075" t="s">
        <v>55</v>
      </c>
      <c r="NOL55" s="3078"/>
      <c r="NOM55" s="3078"/>
      <c r="NON55" s="3078"/>
      <c r="NOO55" s="3078"/>
      <c r="NOP55" s="3078"/>
      <c r="NOQ55" s="3078"/>
      <c r="NOR55" s="3078"/>
      <c r="NOS55" s="3075" t="s">
        <v>55</v>
      </c>
      <c r="NOT55" s="3078"/>
      <c r="NOU55" s="3078"/>
      <c r="NOV55" s="3078"/>
      <c r="NOW55" s="3078"/>
      <c r="NOX55" s="3078"/>
      <c r="NOY55" s="3078"/>
      <c r="NOZ55" s="3078"/>
      <c r="NPA55" s="3075" t="s">
        <v>55</v>
      </c>
      <c r="NPB55" s="3078"/>
      <c r="NPC55" s="3078"/>
      <c r="NPD55" s="3078"/>
      <c r="NPE55" s="3078"/>
      <c r="NPF55" s="3078"/>
      <c r="NPG55" s="3078"/>
      <c r="NPH55" s="3078"/>
      <c r="NPI55" s="3075" t="s">
        <v>55</v>
      </c>
      <c r="NPJ55" s="3078"/>
      <c r="NPK55" s="3078"/>
      <c r="NPL55" s="3078"/>
      <c r="NPM55" s="3078"/>
      <c r="NPN55" s="3078"/>
      <c r="NPO55" s="3078"/>
      <c r="NPP55" s="3078"/>
      <c r="NPQ55" s="3075" t="s">
        <v>55</v>
      </c>
      <c r="NPR55" s="3078"/>
      <c r="NPS55" s="3078"/>
      <c r="NPT55" s="3078"/>
      <c r="NPU55" s="3078"/>
      <c r="NPV55" s="3078"/>
      <c r="NPW55" s="3078"/>
      <c r="NPX55" s="3078"/>
      <c r="NPY55" s="3075" t="s">
        <v>55</v>
      </c>
      <c r="NPZ55" s="3078"/>
      <c r="NQA55" s="3078"/>
      <c r="NQB55" s="3078"/>
      <c r="NQC55" s="3078"/>
      <c r="NQD55" s="3078"/>
      <c r="NQE55" s="3078"/>
      <c r="NQF55" s="3078"/>
      <c r="NQG55" s="3075" t="s">
        <v>55</v>
      </c>
      <c r="NQH55" s="3078"/>
      <c r="NQI55" s="3078"/>
      <c r="NQJ55" s="3078"/>
      <c r="NQK55" s="3078"/>
      <c r="NQL55" s="3078"/>
      <c r="NQM55" s="3078"/>
      <c r="NQN55" s="3078"/>
      <c r="NQO55" s="3075" t="s">
        <v>55</v>
      </c>
      <c r="NQP55" s="3078"/>
      <c r="NQQ55" s="3078"/>
      <c r="NQR55" s="3078"/>
      <c r="NQS55" s="3078"/>
      <c r="NQT55" s="3078"/>
      <c r="NQU55" s="3078"/>
      <c r="NQV55" s="3078"/>
      <c r="NQW55" s="3075" t="s">
        <v>55</v>
      </c>
      <c r="NQX55" s="3078"/>
      <c r="NQY55" s="3078"/>
      <c r="NQZ55" s="3078"/>
      <c r="NRA55" s="3078"/>
      <c r="NRB55" s="3078"/>
      <c r="NRC55" s="3078"/>
      <c r="NRD55" s="3078"/>
      <c r="NRE55" s="3075" t="s">
        <v>55</v>
      </c>
      <c r="NRF55" s="3078"/>
      <c r="NRG55" s="3078"/>
      <c r="NRH55" s="3078"/>
      <c r="NRI55" s="3078"/>
      <c r="NRJ55" s="3078"/>
      <c r="NRK55" s="3078"/>
      <c r="NRL55" s="3078"/>
      <c r="NRM55" s="3075" t="s">
        <v>55</v>
      </c>
      <c r="NRN55" s="3078"/>
      <c r="NRO55" s="3078"/>
      <c r="NRP55" s="3078"/>
      <c r="NRQ55" s="3078"/>
      <c r="NRR55" s="3078"/>
      <c r="NRS55" s="3078"/>
      <c r="NRT55" s="3078"/>
      <c r="NRU55" s="3075" t="s">
        <v>55</v>
      </c>
      <c r="NRV55" s="3078"/>
      <c r="NRW55" s="3078"/>
      <c r="NRX55" s="3078"/>
      <c r="NRY55" s="3078"/>
      <c r="NRZ55" s="3078"/>
      <c r="NSA55" s="3078"/>
      <c r="NSB55" s="3078"/>
      <c r="NSC55" s="3075" t="s">
        <v>55</v>
      </c>
      <c r="NSD55" s="3078"/>
      <c r="NSE55" s="3078"/>
      <c r="NSF55" s="3078"/>
      <c r="NSG55" s="3078"/>
      <c r="NSH55" s="3078"/>
      <c r="NSI55" s="3078"/>
      <c r="NSJ55" s="3078"/>
      <c r="NSK55" s="3075" t="s">
        <v>55</v>
      </c>
      <c r="NSL55" s="3078"/>
      <c r="NSM55" s="3078"/>
      <c r="NSN55" s="3078"/>
      <c r="NSO55" s="3078"/>
      <c r="NSP55" s="3078"/>
      <c r="NSQ55" s="3078"/>
      <c r="NSR55" s="3078"/>
      <c r="NSS55" s="3075" t="s">
        <v>55</v>
      </c>
      <c r="NST55" s="3078"/>
      <c r="NSU55" s="3078"/>
      <c r="NSV55" s="3078"/>
      <c r="NSW55" s="3078"/>
      <c r="NSX55" s="3078"/>
      <c r="NSY55" s="3078"/>
      <c r="NSZ55" s="3078"/>
      <c r="NTA55" s="3075" t="s">
        <v>55</v>
      </c>
      <c r="NTB55" s="3078"/>
      <c r="NTC55" s="3078"/>
      <c r="NTD55" s="3078"/>
      <c r="NTE55" s="3078"/>
      <c r="NTF55" s="3078"/>
      <c r="NTG55" s="3078"/>
      <c r="NTH55" s="3078"/>
      <c r="NTI55" s="3075" t="s">
        <v>55</v>
      </c>
      <c r="NTJ55" s="3078"/>
      <c r="NTK55" s="3078"/>
      <c r="NTL55" s="3078"/>
      <c r="NTM55" s="3078"/>
      <c r="NTN55" s="3078"/>
      <c r="NTO55" s="3078"/>
      <c r="NTP55" s="3078"/>
      <c r="NTQ55" s="3075" t="s">
        <v>55</v>
      </c>
      <c r="NTR55" s="3078"/>
      <c r="NTS55" s="3078"/>
      <c r="NTT55" s="3078"/>
      <c r="NTU55" s="3078"/>
      <c r="NTV55" s="3078"/>
      <c r="NTW55" s="3078"/>
      <c r="NTX55" s="3078"/>
      <c r="NTY55" s="3075" t="s">
        <v>55</v>
      </c>
      <c r="NTZ55" s="3078"/>
      <c r="NUA55" s="3078"/>
      <c r="NUB55" s="3078"/>
      <c r="NUC55" s="3078"/>
      <c r="NUD55" s="3078"/>
      <c r="NUE55" s="3078"/>
      <c r="NUF55" s="3078"/>
      <c r="NUG55" s="3075" t="s">
        <v>55</v>
      </c>
      <c r="NUH55" s="3078"/>
      <c r="NUI55" s="3078"/>
      <c r="NUJ55" s="3078"/>
      <c r="NUK55" s="3078"/>
      <c r="NUL55" s="3078"/>
      <c r="NUM55" s="3078"/>
      <c r="NUN55" s="3078"/>
      <c r="NUO55" s="3075" t="s">
        <v>55</v>
      </c>
      <c r="NUP55" s="3078"/>
      <c r="NUQ55" s="3078"/>
      <c r="NUR55" s="3078"/>
      <c r="NUS55" s="3078"/>
      <c r="NUT55" s="3078"/>
      <c r="NUU55" s="3078"/>
      <c r="NUV55" s="3078"/>
      <c r="NUW55" s="3075" t="s">
        <v>55</v>
      </c>
      <c r="NUX55" s="3078"/>
      <c r="NUY55" s="3078"/>
      <c r="NUZ55" s="3078"/>
      <c r="NVA55" s="3078"/>
      <c r="NVB55" s="3078"/>
      <c r="NVC55" s="3078"/>
      <c r="NVD55" s="3078"/>
      <c r="NVE55" s="3075" t="s">
        <v>55</v>
      </c>
      <c r="NVF55" s="3078"/>
      <c r="NVG55" s="3078"/>
      <c r="NVH55" s="3078"/>
      <c r="NVI55" s="3078"/>
      <c r="NVJ55" s="3078"/>
      <c r="NVK55" s="3078"/>
      <c r="NVL55" s="3078"/>
      <c r="NVM55" s="3075" t="s">
        <v>55</v>
      </c>
      <c r="NVN55" s="3078"/>
      <c r="NVO55" s="3078"/>
      <c r="NVP55" s="3078"/>
      <c r="NVQ55" s="3078"/>
      <c r="NVR55" s="3078"/>
      <c r="NVS55" s="3078"/>
      <c r="NVT55" s="3078"/>
      <c r="NVU55" s="3075" t="s">
        <v>55</v>
      </c>
      <c r="NVV55" s="3078"/>
      <c r="NVW55" s="3078"/>
      <c r="NVX55" s="3078"/>
      <c r="NVY55" s="3078"/>
      <c r="NVZ55" s="3078"/>
      <c r="NWA55" s="3078"/>
      <c r="NWB55" s="3078"/>
      <c r="NWC55" s="3075" t="s">
        <v>55</v>
      </c>
      <c r="NWD55" s="3078"/>
      <c r="NWE55" s="3078"/>
      <c r="NWF55" s="3078"/>
      <c r="NWG55" s="3078"/>
      <c r="NWH55" s="3078"/>
      <c r="NWI55" s="3078"/>
      <c r="NWJ55" s="3078"/>
      <c r="NWK55" s="3075" t="s">
        <v>55</v>
      </c>
      <c r="NWL55" s="3078"/>
      <c r="NWM55" s="3078"/>
      <c r="NWN55" s="3078"/>
      <c r="NWO55" s="3078"/>
      <c r="NWP55" s="3078"/>
      <c r="NWQ55" s="3078"/>
      <c r="NWR55" s="3078"/>
      <c r="NWS55" s="3075" t="s">
        <v>55</v>
      </c>
      <c r="NWT55" s="3078"/>
      <c r="NWU55" s="3078"/>
      <c r="NWV55" s="3078"/>
      <c r="NWW55" s="3078"/>
      <c r="NWX55" s="3078"/>
      <c r="NWY55" s="3078"/>
      <c r="NWZ55" s="3078"/>
      <c r="NXA55" s="3075" t="s">
        <v>55</v>
      </c>
      <c r="NXB55" s="3078"/>
      <c r="NXC55" s="3078"/>
      <c r="NXD55" s="3078"/>
      <c r="NXE55" s="3078"/>
      <c r="NXF55" s="3078"/>
      <c r="NXG55" s="3078"/>
      <c r="NXH55" s="3078"/>
      <c r="NXI55" s="3075" t="s">
        <v>55</v>
      </c>
      <c r="NXJ55" s="3078"/>
      <c r="NXK55" s="3078"/>
      <c r="NXL55" s="3078"/>
      <c r="NXM55" s="3078"/>
      <c r="NXN55" s="3078"/>
      <c r="NXO55" s="3078"/>
      <c r="NXP55" s="3078"/>
      <c r="NXQ55" s="3075" t="s">
        <v>55</v>
      </c>
      <c r="NXR55" s="3078"/>
      <c r="NXS55" s="3078"/>
      <c r="NXT55" s="3078"/>
      <c r="NXU55" s="3078"/>
      <c r="NXV55" s="3078"/>
      <c r="NXW55" s="3078"/>
      <c r="NXX55" s="3078"/>
      <c r="NXY55" s="3075" t="s">
        <v>55</v>
      </c>
      <c r="NXZ55" s="3078"/>
      <c r="NYA55" s="3078"/>
      <c r="NYB55" s="3078"/>
      <c r="NYC55" s="3078"/>
      <c r="NYD55" s="3078"/>
      <c r="NYE55" s="3078"/>
      <c r="NYF55" s="3078"/>
      <c r="NYG55" s="3075" t="s">
        <v>55</v>
      </c>
      <c r="NYH55" s="3078"/>
      <c r="NYI55" s="3078"/>
      <c r="NYJ55" s="3078"/>
      <c r="NYK55" s="3078"/>
      <c r="NYL55" s="3078"/>
      <c r="NYM55" s="3078"/>
      <c r="NYN55" s="3078"/>
      <c r="NYO55" s="3075" t="s">
        <v>55</v>
      </c>
      <c r="NYP55" s="3078"/>
      <c r="NYQ55" s="3078"/>
      <c r="NYR55" s="3078"/>
      <c r="NYS55" s="3078"/>
      <c r="NYT55" s="3078"/>
      <c r="NYU55" s="3078"/>
      <c r="NYV55" s="3078"/>
      <c r="NYW55" s="3075" t="s">
        <v>55</v>
      </c>
      <c r="NYX55" s="3078"/>
      <c r="NYY55" s="3078"/>
      <c r="NYZ55" s="3078"/>
      <c r="NZA55" s="3078"/>
      <c r="NZB55" s="3078"/>
      <c r="NZC55" s="3078"/>
      <c r="NZD55" s="3078"/>
      <c r="NZE55" s="3075" t="s">
        <v>55</v>
      </c>
      <c r="NZF55" s="3078"/>
      <c r="NZG55" s="3078"/>
      <c r="NZH55" s="3078"/>
      <c r="NZI55" s="3078"/>
      <c r="NZJ55" s="3078"/>
      <c r="NZK55" s="3078"/>
      <c r="NZL55" s="3078"/>
      <c r="NZM55" s="3075" t="s">
        <v>55</v>
      </c>
      <c r="NZN55" s="3078"/>
      <c r="NZO55" s="3078"/>
      <c r="NZP55" s="3078"/>
      <c r="NZQ55" s="3078"/>
      <c r="NZR55" s="3078"/>
      <c r="NZS55" s="3078"/>
      <c r="NZT55" s="3078"/>
      <c r="NZU55" s="3075" t="s">
        <v>55</v>
      </c>
      <c r="NZV55" s="3078"/>
      <c r="NZW55" s="3078"/>
      <c r="NZX55" s="3078"/>
      <c r="NZY55" s="3078"/>
      <c r="NZZ55" s="3078"/>
      <c r="OAA55" s="3078"/>
      <c r="OAB55" s="3078"/>
      <c r="OAC55" s="3075" t="s">
        <v>55</v>
      </c>
      <c r="OAD55" s="3078"/>
      <c r="OAE55" s="3078"/>
      <c r="OAF55" s="3078"/>
      <c r="OAG55" s="3078"/>
      <c r="OAH55" s="3078"/>
      <c r="OAI55" s="3078"/>
      <c r="OAJ55" s="3078"/>
      <c r="OAK55" s="3075" t="s">
        <v>55</v>
      </c>
      <c r="OAL55" s="3078"/>
      <c r="OAM55" s="3078"/>
      <c r="OAN55" s="3078"/>
      <c r="OAO55" s="3078"/>
      <c r="OAP55" s="3078"/>
      <c r="OAQ55" s="3078"/>
      <c r="OAR55" s="3078"/>
      <c r="OAS55" s="3075" t="s">
        <v>55</v>
      </c>
      <c r="OAT55" s="3078"/>
      <c r="OAU55" s="3078"/>
      <c r="OAV55" s="3078"/>
      <c r="OAW55" s="3078"/>
      <c r="OAX55" s="3078"/>
      <c r="OAY55" s="3078"/>
      <c r="OAZ55" s="3078"/>
      <c r="OBA55" s="3075" t="s">
        <v>55</v>
      </c>
      <c r="OBB55" s="3078"/>
      <c r="OBC55" s="3078"/>
      <c r="OBD55" s="3078"/>
      <c r="OBE55" s="3078"/>
      <c r="OBF55" s="3078"/>
      <c r="OBG55" s="3078"/>
      <c r="OBH55" s="3078"/>
      <c r="OBI55" s="3075" t="s">
        <v>55</v>
      </c>
      <c r="OBJ55" s="3078"/>
      <c r="OBK55" s="3078"/>
      <c r="OBL55" s="3078"/>
      <c r="OBM55" s="3078"/>
      <c r="OBN55" s="3078"/>
      <c r="OBO55" s="3078"/>
      <c r="OBP55" s="3078"/>
      <c r="OBQ55" s="3075" t="s">
        <v>55</v>
      </c>
      <c r="OBR55" s="3078"/>
      <c r="OBS55" s="3078"/>
      <c r="OBT55" s="3078"/>
      <c r="OBU55" s="3078"/>
      <c r="OBV55" s="3078"/>
      <c r="OBW55" s="3078"/>
      <c r="OBX55" s="3078"/>
      <c r="OBY55" s="3075" t="s">
        <v>55</v>
      </c>
      <c r="OBZ55" s="3078"/>
      <c r="OCA55" s="3078"/>
      <c r="OCB55" s="3078"/>
      <c r="OCC55" s="3078"/>
      <c r="OCD55" s="3078"/>
      <c r="OCE55" s="3078"/>
      <c r="OCF55" s="3078"/>
      <c r="OCG55" s="3075" t="s">
        <v>55</v>
      </c>
      <c r="OCH55" s="3078"/>
      <c r="OCI55" s="3078"/>
      <c r="OCJ55" s="3078"/>
      <c r="OCK55" s="3078"/>
      <c r="OCL55" s="3078"/>
      <c r="OCM55" s="3078"/>
      <c r="OCN55" s="3078"/>
      <c r="OCO55" s="3075" t="s">
        <v>55</v>
      </c>
      <c r="OCP55" s="3078"/>
      <c r="OCQ55" s="3078"/>
      <c r="OCR55" s="3078"/>
      <c r="OCS55" s="3078"/>
      <c r="OCT55" s="3078"/>
      <c r="OCU55" s="3078"/>
      <c r="OCV55" s="3078"/>
      <c r="OCW55" s="3075" t="s">
        <v>55</v>
      </c>
      <c r="OCX55" s="3078"/>
      <c r="OCY55" s="3078"/>
      <c r="OCZ55" s="3078"/>
      <c r="ODA55" s="3078"/>
      <c r="ODB55" s="3078"/>
      <c r="ODC55" s="3078"/>
      <c r="ODD55" s="3078"/>
      <c r="ODE55" s="3075" t="s">
        <v>55</v>
      </c>
      <c r="ODF55" s="3078"/>
      <c r="ODG55" s="3078"/>
      <c r="ODH55" s="3078"/>
      <c r="ODI55" s="3078"/>
      <c r="ODJ55" s="3078"/>
      <c r="ODK55" s="3078"/>
      <c r="ODL55" s="3078"/>
      <c r="ODM55" s="3075" t="s">
        <v>55</v>
      </c>
      <c r="ODN55" s="3078"/>
      <c r="ODO55" s="3078"/>
      <c r="ODP55" s="3078"/>
      <c r="ODQ55" s="3078"/>
      <c r="ODR55" s="3078"/>
      <c r="ODS55" s="3078"/>
      <c r="ODT55" s="3078"/>
      <c r="ODU55" s="3075" t="s">
        <v>55</v>
      </c>
      <c r="ODV55" s="3078"/>
      <c r="ODW55" s="3078"/>
      <c r="ODX55" s="3078"/>
      <c r="ODY55" s="3078"/>
      <c r="ODZ55" s="3078"/>
      <c r="OEA55" s="3078"/>
      <c r="OEB55" s="3078"/>
      <c r="OEC55" s="3075" t="s">
        <v>55</v>
      </c>
      <c r="OED55" s="3078"/>
      <c r="OEE55" s="3078"/>
      <c r="OEF55" s="3078"/>
      <c r="OEG55" s="3078"/>
      <c r="OEH55" s="3078"/>
      <c r="OEI55" s="3078"/>
      <c r="OEJ55" s="3078"/>
      <c r="OEK55" s="3075" t="s">
        <v>55</v>
      </c>
      <c r="OEL55" s="3078"/>
      <c r="OEM55" s="3078"/>
      <c r="OEN55" s="3078"/>
      <c r="OEO55" s="3078"/>
      <c r="OEP55" s="3078"/>
      <c r="OEQ55" s="3078"/>
      <c r="OER55" s="3078"/>
      <c r="OES55" s="3075" t="s">
        <v>55</v>
      </c>
      <c r="OET55" s="3078"/>
      <c r="OEU55" s="3078"/>
      <c r="OEV55" s="3078"/>
      <c r="OEW55" s="3078"/>
      <c r="OEX55" s="3078"/>
      <c r="OEY55" s="3078"/>
      <c r="OEZ55" s="3078"/>
      <c r="OFA55" s="3075" t="s">
        <v>55</v>
      </c>
      <c r="OFB55" s="3078"/>
      <c r="OFC55" s="3078"/>
      <c r="OFD55" s="3078"/>
      <c r="OFE55" s="3078"/>
      <c r="OFF55" s="3078"/>
      <c r="OFG55" s="3078"/>
      <c r="OFH55" s="3078"/>
      <c r="OFI55" s="3075" t="s">
        <v>55</v>
      </c>
      <c r="OFJ55" s="3078"/>
      <c r="OFK55" s="3078"/>
      <c r="OFL55" s="3078"/>
      <c r="OFM55" s="3078"/>
      <c r="OFN55" s="3078"/>
      <c r="OFO55" s="3078"/>
      <c r="OFP55" s="3078"/>
      <c r="OFQ55" s="3075" t="s">
        <v>55</v>
      </c>
      <c r="OFR55" s="3078"/>
      <c r="OFS55" s="3078"/>
      <c r="OFT55" s="3078"/>
      <c r="OFU55" s="3078"/>
      <c r="OFV55" s="3078"/>
      <c r="OFW55" s="3078"/>
      <c r="OFX55" s="3078"/>
      <c r="OFY55" s="3075" t="s">
        <v>55</v>
      </c>
      <c r="OFZ55" s="3078"/>
      <c r="OGA55" s="3078"/>
      <c r="OGB55" s="3078"/>
      <c r="OGC55" s="3078"/>
      <c r="OGD55" s="3078"/>
      <c r="OGE55" s="3078"/>
      <c r="OGF55" s="3078"/>
      <c r="OGG55" s="3075" t="s">
        <v>55</v>
      </c>
      <c r="OGH55" s="3078"/>
      <c r="OGI55" s="3078"/>
      <c r="OGJ55" s="3078"/>
      <c r="OGK55" s="3078"/>
      <c r="OGL55" s="3078"/>
      <c r="OGM55" s="3078"/>
      <c r="OGN55" s="3078"/>
      <c r="OGO55" s="3075" t="s">
        <v>55</v>
      </c>
      <c r="OGP55" s="3078"/>
      <c r="OGQ55" s="3078"/>
      <c r="OGR55" s="3078"/>
      <c r="OGS55" s="3078"/>
      <c r="OGT55" s="3078"/>
      <c r="OGU55" s="3078"/>
      <c r="OGV55" s="3078"/>
      <c r="OGW55" s="3075" t="s">
        <v>55</v>
      </c>
      <c r="OGX55" s="3078"/>
      <c r="OGY55" s="3078"/>
      <c r="OGZ55" s="3078"/>
      <c r="OHA55" s="3078"/>
      <c r="OHB55" s="3078"/>
      <c r="OHC55" s="3078"/>
      <c r="OHD55" s="3078"/>
      <c r="OHE55" s="3075" t="s">
        <v>55</v>
      </c>
      <c r="OHF55" s="3078"/>
      <c r="OHG55" s="3078"/>
      <c r="OHH55" s="3078"/>
      <c r="OHI55" s="3078"/>
      <c r="OHJ55" s="3078"/>
      <c r="OHK55" s="3078"/>
      <c r="OHL55" s="3078"/>
      <c r="OHM55" s="3075" t="s">
        <v>55</v>
      </c>
      <c r="OHN55" s="3078"/>
      <c r="OHO55" s="3078"/>
      <c r="OHP55" s="3078"/>
      <c r="OHQ55" s="3078"/>
      <c r="OHR55" s="3078"/>
      <c r="OHS55" s="3078"/>
      <c r="OHT55" s="3078"/>
      <c r="OHU55" s="3075" t="s">
        <v>55</v>
      </c>
      <c r="OHV55" s="3078"/>
      <c r="OHW55" s="3078"/>
      <c r="OHX55" s="3078"/>
      <c r="OHY55" s="3078"/>
      <c r="OHZ55" s="3078"/>
      <c r="OIA55" s="3078"/>
      <c r="OIB55" s="3078"/>
      <c r="OIC55" s="3075" t="s">
        <v>55</v>
      </c>
      <c r="OID55" s="3078"/>
      <c r="OIE55" s="3078"/>
      <c r="OIF55" s="3078"/>
      <c r="OIG55" s="3078"/>
      <c r="OIH55" s="3078"/>
      <c r="OII55" s="3078"/>
      <c r="OIJ55" s="3078"/>
      <c r="OIK55" s="3075" t="s">
        <v>55</v>
      </c>
      <c r="OIL55" s="3078"/>
      <c r="OIM55" s="3078"/>
      <c r="OIN55" s="3078"/>
      <c r="OIO55" s="3078"/>
      <c r="OIP55" s="3078"/>
      <c r="OIQ55" s="3078"/>
      <c r="OIR55" s="3078"/>
      <c r="OIS55" s="3075" t="s">
        <v>55</v>
      </c>
      <c r="OIT55" s="3078"/>
      <c r="OIU55" s="3078"/>
      <c r="OIV55" s="3078"/>
      <c r="OIW55" s="3078"/>
      <c r="OIX55" s="3078"/>
      <c r="OIY55" s="3078"/>
      <c r="OIZ55" s="3078"/>
      <c r="OJA55" s="3075" t="s">
        <v>55</v>
      </c>
      <c r="OJB55" s="3078"/>
      <c r="OJC55" s="3078"/>
      <c r="OJD55" s="3078"/>
      <c r="OJE55" s="3078"/>
      <c r="OJF55" s="3078"/>
      <c r="OJG55" s="3078"/>
      <c r="OJH55" s="3078"/>
      <c r="OJI55" s="3075" t="s">
        <v>55</v>
      </c>
      <c r="OJJ55" s="3078"/>
      <c r="OJK55" s="3078"/>
      <c r="OJL55" s="3078"/>
      <c r="OJM55" s="3078"/>
      <c r="OJN55" s="3078"/>
      <c r="OJO55" s="3078"/>
      <c r="OJP55" s="3078"/>
      <c r="OJQ55" s="3075" t="s">
        <v>55</v>
      </c>
      <c r="OJR55" s="3078"/>
      <c r="OJS55" s="3078"/>
      <c r="OJT55" s="3078"/>
      <c r="OJU55" s="3078"/>
      <c r="OJV55" s="3078"/>
      <c r="OJW55" s="3078"/>
      <c r="OJX55" s="3078"/>
      <c r="OJY55" s="3075" t="s">
        <v>55</v>
      </c>
      <c r="OJZ55" s="3078"/>
      <c r="OKA55" s="3078"/>
      <c r="OKB55" s="3078"/>
      <c r="OKC55" s="3078"/>
      <c r="OKD55" s="3078"/>
      <c r="OKE55" s="3078"/>
      <c r="OKF55" s="3078"/>
      <c r="OKG55" s="3075" t="s">
        <v>55</v>
      </c>
      <c r="OKH55" s="3078"/>
      <c r="OKI55" s="3078"/>
      <c r="OKJ55" s="3078"/>
      <c r="OKK55" s="3078"/>
      <c r="OKL55" s="3078"/>
      <c r="OKM55" s="3078"/>
      <c r="OKN55" s="3078"/>
      <c r="OKO55" s="3075" t="s">
        <v>55</v>
      </c>
      <c r="OKP55" s="3078"/>
      <c r="OKQ55" s="3078"/>
      <c r="OKR55" s="3078"/>
      <c r="OKS55" s="3078"/>
      <c r="OKT55" s="3078"/>
      <c r="OKU55" s="3078"/>
      <c r="OKV55" s="3078"/>
      <c r="OKW55" s="3075" t="s">
        <v>55</v>
      </c>
      <c r="OKX55" s="3078"/>
      <c r="OKY55" s="3078"/>
      <c r="OKZ55" s="3078"/>
      <c r="OLA55" s="3078"/>
      <c r="OLB55" s="3078"/>
      <c r="OLC55" s="3078"/>
      <c r="OLD55" s="3078"/>
      <c r="OLE55" s="3075" t="s">
        <v>55</v>
      </c>
      <c r="OLF55" s="3078"/>
      <c r="OLG55" s="3078"/>
      <c r="OLH55" s="3078"/>
      <c r="OLI55" s="3078"/>
      <c r="OLJ55" s="3078"/>
      <c r="OLK55" s="3078"/>
      <c r="OLL55" s="3078"/>
      <c r="OLM55" s="3075" t="s">
        <v>55</v>
      </c>
      <c r="OLN55" s="3078"/>
      <c r="OLO55" s="3078"/>
      <c r="OLP55" s="3078"/>
      <c r="OLQ55" s="3078"/>
      <c r="OLR55" s="3078"/>
      <c r="OLS55" s="3078"/>
      <c r="OLT55" s="3078"/>
      <c r="OLU55" s="3075" t="s">
        <v>55</v>
      </c>
      <c r="OLV55" s="3078"/>
      <c r="OLW55" s="3078"/>
      <c r="OLX55" s="3078"/>
      <c r="OLY55" s="3078"/>
      <c r="OLZ55" s="3078"/>
      <c r="OMA55" s="3078"/>
      <c r="OMB55" s="3078"/>
      <c r="OMC55" s="3075" t="s">
        <v>55</v>
      </c>
      <c r="OMD55" s="3078"/>
      <c r="OME55" s="3078"/>
      <c r="OMF55" s="3078"/>
      <c r="OMG55" s="3078"/>
      <c r="OMH55" s="3078"/>
      <c r="OMI55" s="3078"/>
      <c r="OMJ55" s="3078"/>
      <c r="OMK55" s="3075" t="s">
        <v>55</v>
      </c>
      <c r="OML55" s="3078"/>
      <c r="OMM55" s="3078"/>
      <c r="OMN55" s="3078"/>
      <c r="OMO55" s="3078"/>
      <c r="OMP55" s="3078"/>
      <c r="OMQ55" s="3078"/>
      <c r="OMR55" s="3078"/>
      <c r="OMS55" s="3075" t="s">
        <v>55</v>
      </c>
      <c r="OMT55" s="3078"/>
      <c r="OMU55" s="3078"/>
      <c r="OMV55" s="3078"/>
      <c r="OMW55" s="3078"/>
      <c r="OMX55" s="3078"/>
      <c r="OMY55" s="3078"/>
      <c r="OMZ55" s="3078"/>
      <c r="ONA55" s="3075" t="s">
        <v>55</v>
      </c>
      <c r="ONB55" s="3078"/>
      <c r="ONC55" s="3078"/>
      <c r="OND55" s="3078"/>
      <c r="ONE55" s="3078"/>
      <c r="ONF55" s="3078"/>
      <c r="ONG55" s="3078"/>
      <c r="ONH55" s="3078"/>
      <c r="ONI55" s="3075" t="s">
        <v>55</v>
      </c>
      <c r="ONJ55" s="3078"/>
      <c r="ONK55" s="3078"/>
      <c r="ONL55" s="3078"/>
      <c r="ONM55" s="3078"/>
      <c r="ONN55" s="3078"/>
      <c r="ONO55" s="3078"/>
      <c r="ONP55" s="3078"/>
      <c r="ONQ55" s="3075" t="s">
        <v>55</v>
      </c>
      <c r="ONR55" s="3078"/>
      <c r="ONS55" s="3078"/>
      <c r="ONT55" s="3078"/>
      <c r="ONU55" s="3078"/>
      <c r="ONV55" s="3078"/>
      <c r="ONW55" s="3078"/>
      <c r="ONX55" s="3078"/>
      <c r="ONY55" s="3075" t="s">
        <v>55</v>
      </c>
      <c r="ONZ55" s="3078"/>
      <c r="OOA55" s="3078"/>
      <c r="OOB55" s="3078"/>
      <c r="OOC55" s="3078"/>
      <c r="OOD55" s="3078"/>
      <c r="OOE55" s="3078"/>
      <c r="OOF55" s="3078"/>
      <c r="OOG55" s="3075" t="s">
        <v>55</v>
      </c>
      <c r="OOH55" s="3078"/>
      <c r="OOI55" s="3078"/>
      <c r="OOJ55" s="3078"/>
      <c r="OOK55" s="3078"/>
      <c r="OOL55" s="3078"/>
      <c r="OOM55" s="3078"/>
      <c r="OON55" s="3078"/>
      <c r="OOO55" s="3075" t="s">
        <v>55</v>
      </c>
      <c r="OOP55" s="3078"/>
      <c r="OOQ55" s="3078"/>
      <c r="OOR55" s="3078"/>
      <c r="OOS55" s="3078"/>
      <c r="OOT55" s="3078"/>
      <c r="OOU55" s="3078"/>
      <c r="OOV55" s="3078"/>
      <c r="OOW55" s="3075" t="s">
        <v>55</v>
      </c>
      <c r="OOX55" s="3078"/>
      <c r="OOY55" s="3078"/>
      <c r="OOZ55" s="3078"/>
      <c r="OPA55" s="3078"/>
      <c r="OPB55" s="3078"/>
      <c r="OPC55" s="3078"/>
      <c r="OPD55" s="3078"/>
      <c r="OPE55" s="3075" t="s">
        <v>55</v>
      </c>
      <c r="OPF55" s="3078"/>
      <c r="OPG55" s="3078"/>
      <c r="OPH55" s="3078"/>
      <c r="OPI55" s="3078"/>
      <c r="OPJ55" s="3078"/>
      <c r="OPK55" s="3078"/>
      <c r="OPL55" s="3078"/>
      <c r="OPM55" s="3075" t="s">
        <v>55</v>
      </c>
      <c r="OPN55" s="3078"/>
      <c r="OPO55" s="3078"/>
      <c r="OPP55" s="3078"/>
      <c r="OPQ55" s="3078"/>
      <c r="OPR55" s="3078"/>
      <c r="OPS55" s="3078"/>
      <c r="OPT55" s="3078"/>
      <c r="OPU55" s="3075" t="s">
        <v>55</v>
      </c>
      <c r="OPV55" s="3078"/>
      <c r="OPW55" s="3078"/>
      <c r="OPX55" s="3078"/>
      <c r="OPY55" s="3078"/>
      <c r="OPZ55" s="3078"/>
      <c r="OQA55" s="3078"/>
      <c r="OQB55" s="3078"/>
      <c r="OQC55" s="3075" t="s">
        <v>55</v>
      </c>
      <c r="OQD55" s="3078"/>
      <c r="OQE55" s="3078"/>
      <c r="OQF55" s="3078"/>
      <c r="OQG55" s="3078"/>
      <c r="OQH55" s="3078"/>
      <c r="OQI55" s="3078"/>
      <c r="OQJ55" s="3078"/>
      <c r="OQK55" s="3075" t="s">
        <v>55</v>
      </c>
      <c r="OQL55" s="3078"/>
      <c r="OQM55" s="3078"/>
      <c r="OQN55" s="3078"/>
      <c r="OQO55" s="3078"/>
      <c r="OQP55" s="3078"/>
      <c r="OQQ55" s="3078"/>
      <c r="OQR55" s="3078"/>
      <c r="OQS55" s="3075" t="s">
        <v>55</v>
      </c>
      <c r="OQT55" s="3078"/>
      <c r="OQU55" s="3078"/>
      <c r="OQV55" s="3078"/>
      <c r="OQW55" s="3078"/>
      <c r="OQX55" s="3078"/>
      <c r="OQY55" s="3078"/>
      <c r="OQZ55" s="3078"/>
      <c r="ORA55" s="3075" t="s">
        <v>55</v>
      </c>
      <c r="ORB55" s="3078"/>
      <c r="ORC55" s="3078"/>
      <c r="ORD55" s="3078"/>
      <c r="ORE55" s="3078"/>
      <c r="ORF55" s="3078"/>
      <c r="ORG55" s="3078"/>
      <c r="ORH55" s="3078"/>
      <c r="ORI55" s="3075" t="s">
        <v>55</v>
      </c>
      <c r="ORJ55" s="3078"/>
      <c r="ORK55" s="3078"/>
      <c r="ORL55" s="3078"/>
      <c r="ORM55" s="3078"/>
      <c r="ORN55" s="3078"/>
      <c r="ORO55" s="3078"/>
      <c r="ORP55" s="3078"/>
      <c r="ORQ55" s="3075" t="s">
        <v>55</v>
      </c>
      <c r="ORR55" s="3078"/>
      <c r="ORS55" s="3078"/>
      <c r="ORT55" s="3078"/>
      <c r="ORU55" s="3078"/>
      <c r="ORV55" s="3078"/>
      <c r="ORW55" s="3078"/>
      <c r="ORX55" s="3078"/>
      <c r="ORY55" s="3075" t="s">
        <v>55</v>
      </c>
      <c r="ORZ55" s="3078"/>
      <c r="OSA55" s="3078"/>
      <c r="OSB55" s="3078"/>
      <c r="OSC55" s="3078"/>
      <c r="OSD55" s="3078"/>
      <c r="OSE55" s="3078"/>
      <c r="OSF55" s="3078"/>
      <c r="OSG55" s="3075" t="s">
        <v>55</v>
      </c>
      <c r="OSH55" s="3078"/>
      <c r="OSI55" s="3078"/>
      <c r="OSJ55" s="3078"/>
      <c r="OSK55" s="3078"/>
      <c r="OSL55" s="3078"/>
      <c r="OSM55" s="3078"/>
      <c r="OSN55" s="3078"/>
      <c r="OSO55" s="3075" t="s">
        <v>55</v>
      </c>
      <c r="OSP55" s="3078"/>
      <c r="OSQ55" s="3078"/>
      <c r="OSR55" s="3078"/>
      <c r="OSS55" s="3078"/>
      <c r="OST55" s="3078"/>
      <c r="OSU55" s="3078"/>
      <c r="OSV55" s="3078"/>
      <c r="OSW55" s="3075" t="s">
        <v>55</v>
      </c>
      <c r="OSX55" s="3078"/>
      <c r="OSY55" s="3078"/>
      <c r="OSZ55" s="3078"/>
      <c r="OTA55" s="3078"/>
      <c r="OTB55" s="3078"/>
      <c r="OTC55" s="3078"/>
      <c r="OTD55" s="3078"/>
      <c r="OTE55" s="3075" t="s">
        <v>55</v>
      </c>
      <c r="OTF55" s="3078"/>
      <c r="OTG55" s="3078"/>
      <c r="OTH55" s="3078"/>
      <c r="OTI55" s="3078"/>
      <c r="OTJ55" s="3078"/>
      <c r="OTK55" s="3078"/>
      <c r="OTL55" s="3078"/>
      <c r="OTM55" s="3075" t="s">
        <v>55</v>
      </c>
      <c r="OTN55" s="3078"/>
      <c r="OTO55" s="3078"/>
      <c r="OTP55" s="3078"/>
      <c r="OTQ55" s="3078"/>
      <c r="OTR55" s="3078"/>
      <c r="OTS55" s="3078"/>
      <c r="OTT55" s="3078"/>
      <c r="OTU55" s="3075" t="s">
        <v>55</v>
      </c>
      <c r="OTV55" s="3078"/>
      <c r="OTW55" s="3078"/>
      <c r="OTX55" s="3078"/>
      <c r="OTY55" s="3078"/>
      <c r="OTZ55" s="3078"/>
      <c r="OUA55" s="3078"/>
      <c r="OUB55" s="3078"/>
      <c r="OUC55" s="3075" t="s">
        <v>55</v>
      </c>
      <c r="OUD55" s="3078"/>
      <c r="OUE55" s="3078"/>
      <c r="OUF55" s="3078"/>
      <c r="OUG55" s="3078"/>
      <c r="OUH55" s="3078"/>
      <c r="OUI55" s="3078"/>
      <c r="OUJ55" s="3078"/>
      <c r="OUK55" s="3075" t="s">
        <v>55</v>
      </c>
      <c r="OUL55" s="3078"/>
      <c r="OUM55" s="3078"/>
      <c r="OUN55" s="3078"/>
      <c r="OUO55" s="3078"/>
      <c r="OUP55" s="3078"/>
      <c r="OUQ55" s="3078"/>
      <c r="OUR55" s="3078"/>
      <c r="OUS55" s="3075" t="s">
        <v>55</v>
      </c>
      <c r="OUT55" s="3078"/>
      <c r="OUU55" s="3078"/>
      <c r="OUV55" s="3078"/>
      <c r="OUW55" s="3078"/>
      <c r="OUX55" s="3078"/>
      <c r="OUY55" s="3078"/>
      <c r="OUZ55" s="3078"/>
      <c r="OVA55" s="3075" t="s">
        <v>55</v>
      </c>
      <c r="OVB55" s="3078"/>
      <c r="OVC55" s="3078"/>
      <c r="OVD55" s="3078"/>
      <c r="OVE55" s="3078"/>
      <c r="OVF55" s="3078"/>
      <c r="OVG55" s="3078"/>
      <c r="OVH55" s="3078"/>
      <c r="OVI55" s="3075" t="s">
        <v>55</v>
      </c>
      <c r="OVJ55" s="3078"/>
      <c r="OVK55" s="3078"/>
      <c r="OVL55" s="3078"/>
      <c r="OVM55" s="3078"/>
      <c r="OVN55" s="3078"/>
      <c r="OVO55" s="3078"/>
      <c r="OVP55" s="3078"/>
      <c r="OVQ55" s="3075" t="s">
        <v>55</v>
      </c>
      <c r="OVR55" s="3078"/>
      <c r="OVS55" s="3078"/>
      <c r="OVT55" s="3078"/>
      <c r="OVU55" s="3078"/>
      <c r="OVV55" s="3078"/>
      <c r="OVW55" s="3078"/>
      <c r="OVX55" s="3078"/>
      <c r="OVY55" s="3075" t="s">
        <v>55</v>
      </c>
      <c r="OVZ55" s="3078"/>
      <c r="OWA55" s="3078"/>
      <c r="OWB55" s="3078"/>
      <c r="OWC55" s="3078"/>
      <c r="OWD55" s="3078"/>
      <c r="OWE55" s="3078"/>
      <c r="OWF55" s="3078"/>
      <c r="OWG55" s="3075" t="s">
        <v>55</v>
      </c>
      <c r="OWH55" s="3078"/>
      <c r="OWI55" s="3078"/>
      <c r="OWJ55" s="3078"/>
      <c r="OWK55" s="3078"/>
      <c r="OWL55" s="3078"/>
      <c r="OWM55" s="3078"/>
      <c r="OWN55" s="3078"/>
      <c r="OWO55" s="3075" t="s">
        <v>55</v>
      </c>
      <c r="OWP55" s="3078"/>
      <c r="OWQ55" s="3078"/>
      <c r="OWR55" s="3078"/>
      <c r="OWS55" s="3078"/>
      <c r="OWT55" s="3078"/>
      <c r="OWU55" s="3078"/>
      <c r="OWV55" s="3078"/>
      <c r="OWW55" s="3075" t="s">
        <v>55</v>
      </c>
      <c r="OWX55" s="3078"/>
      <c r="OWY55" s="3078"/>
      <c r="OWZ55" s="3078"/>
      <c r="OXA55" s="3078"/>
      <c r="OXB55" s="3078"/>
      <c r="OXC55" s="3078"/>
      <c r="OXD55" s="3078"/>
      <c r="OXE55" s="3075" t="s">
        <v>55</v>
      </c>
      <c r="OXF55" s="3078"/>
      <c r="OXG55" s="3078"/>
      <c r="OXH55" s="3078"/>
      <c r="OXI55" s="3078"/>
      <c r="OXJ55" s="3078"/>
      <c r="OXK55" s="3078"/>
      <c r="OXL55" s="3078"/>
      <c r="OXM55" s="3075" t="s">
        <v>55</v>
      </c>
      <c r="OXN55" s="3078"/>
      <c r="OXO55" s="3078"/>
      <c r="OXP55" s="3078"/>
      <c r="OXQ55" s="3078"/>
      <c r="OXR55" s="3078"/>
      <c r="OXS55" s="3078"/>
      <c r="OXT55" s="3078"/>
      <c r="OXU55" s="3075" t="s">
        <v>55</v>
      </c>
      <c r="OXV55" s="3078"/>
      <c r="OXW55" s="3078"/>
      <c r="OXX55" s="3078"/>
      <c r="OXY55" s="3078"/>
      <c r="OXZ55" s="3078"/>
      <c r="OYA55" s="3078"/>
      <c r="OYB55" s="3078"/>
      <c r="OYC55" s="3075" t="s">
        <v>55</v>
      </c>
      <c r="OYD55" s="3078"/>
      <c r="OYE55" s="3078"/>
      <c r="OYF55" s="3078"/>
      <c r="OYG55" s="3078"/>
      <c r="OYH55" s="3078"/>
      <c r="OYI55" s="3078"/>
      <c r="OYJ55" s="3078"/>
      <c r="OYK55" s="3075" t="s">
        <v>55</v>
      </c>
      <c r="OYL55" s="3078"/>
      <c r="OYM55" s="3078"/>
      <c r="OYN55" s="3078"/>
      <c r="OYO55" s="3078"/>
      <c r="OYP55" s="3078"/>
      <c r="OYQ55" s="3078"/>
      <c r="OYR55" s="3078"/>
      <c r="OYS55" s="3075" t="s">
        <v>55</v>
      </c>
      <c r="OYT55" s="3078"/>
      <c r="OYU55" s="3078"/>
      <c r="OYV55" s="3078"/>
      <c r="OYW55" s="3078"/>
      <c r="OYX55" s="3078"/>
      <c r="OYY55" s="3078"/>
      <c r="OYZ55" s="3078"/>
      <c r="OZA55" s="3075" t="s">
        <v>55</v>
      </c>
      <c r="OZB55" s="3078"/>
      <c r="OZC55" s="3078"/>
      <c r="OZD55" s="3078"/>
      <c r="OZE55" s="3078"/>
      <c r="OZF55" s="3078"/>
      <c r="OZG55" s="3078"/>
      <c r="OZH55" s="3078"/>
      <c r="OZI55" s="3075" t="s">
        <v>55</v>
      </c>
      <c r="OZJ55" s="3078"/>
      <c r="OZK55" s="3078"/>
      <c r="OZL55" s="3078"/>
      <c r="OZM55" s="3078"/>
      <c r="OZN55" s="3078"/>
      <c r="OZO55" s="3078"/>
      <c r="OZP55" s="3078"/>
      <c r="OZQ55" s="3075" t="s">
        <v>55</v>
      </c>
      <c r="OZR55" s="3078"/>
      <c r="OZS55" s="3078"/>
      <c r="OZT55" s="3078"/>
      <c r="OZU55" s="3078"/>
      <c r="OZV55" s="3078"/>
      <c r="OZW55" s="3078"/>
      <c r="OZX55" s="3078"/>
      <c r="OZY55" s="3075" t="s">
        <v>55</v>
      </c>
      <c r="OZZ55" s="3078"/>
      <c r="PAA55" s="3078"/>
      <c r="PAB55" s="3078"/>
      <c r="PAC55" s="3078"/>
      <c r="PAD55" s="3078"/>
      <c r="PAE55" s="3078"/>
      <c r="PAF55" s="3078"/>
      <c r="PAG55" s="3075" t="s">
        <v>55</v>
      </c>
      <c r="PAH55" s="3078"/>
      <c r="PAI55" s="3078"/>
      <c r="PAJ55" s="3078"/>
      <c r="PAK55" s="3078"/>
      <c r="PAL55" s="3078"/>
      <c r="PAM55" s="3078"/>
      <c r="PAN55" s="3078"/>
      <c r="PAO55" s="3075" t="s">
        <v>55</v>
      </c>
      <c r="PAP55" s="3078"/>
      <c r="PAQ55" s="3078"/>
      <c r="PAR55" s="3078"/>
      <c r="PAS55" s="3078"/>
      <c r="PAT55" s="3078"/>
      <c r="PAU55" s="3078"/>
      <c r="PAV55" s="3078"/>
      <c r="PAW55" s="3075" t="s">
        <v>55</v>
      </c>
      <c r="PAX55" s="3078"/>
      <c r="PAY55" s="3078"/>
      <c r="PAZ55" s="3078"/>
      <c r="PBA55" s="3078"/>
      <c r="PBB55" s="3078"/>
      <c r="PBC55" s="3078"/>
      <c r="PBD55" s="3078"/>
      <c r="PBE55" s="3075" t="s">
        <v>55</v>
      </c>
      <c r="PBF55" s="3078"/>
      <c r="PBG55" s="3078"/>
      <c r="PBH55" s="3078"/>
      <c r="PBI55" s="3078"/>
      <c r="PBJ55" s="3078"/>
      <c r="PBK55" s="3078"/>
      <c r="PBL55" s="3078"/>
      <c r="PBM55" s="3075" t="s">
        <v>55</v>
      </c>
      <c r="PBN55" s="3078"/>
      <c r="PBO55" s="3078"/>
      <c r="PBP55" s="3078"/>
      <c r="PBQ55" s="3078"/>
      <c r="PBR55" s="3078"/>
      <c r="PBS55" s="3078"/>
      <c r="PBT55" s="3078"/>
      <c r="PBU55" s="3075" t="s">
        <v>55</v>
      </c>
      <c r="PBV55" s="3078"/>
      <c r="PBW55" s="3078"/>
      <c r="PBX55" s="3078"/>
      <c r="PBY55" s="3078"/>
      <c r="PBZ55" s="3078"/>
      <c r="PCA55" s="3078"/>
      <c r="PCB55" s="3078"/>
      <c r="PCC55" s="3075" t="s">
        <v>55</v>
      </c>
      <c r="PCD55" s="3078"/>
      <c r="PCE55" s="3078"/>
      <c r="PCF55" s="3078"/>
      <c r="PCG55" s="3078"/>
      <c r="PCH55" s="3078"/>
      <c r="PCI55" s="3078"/>
      <c r="PCJ55" s="3078"/>
      <c r="PCK55" s="3075" t="s">
        <v>55</v>
      </c>
      <c r="PCL55" s="3078"/>
      <c r="PCM55" s="3078"/>
      <c r="PCN55" s="3078"/>
      <c r="PCO55" s="3078"/>
      <c r="PCP55" s="3078"/>
      <c r="PCQ55" s="3078"/>
      <c r="PCR55" s="3078"/>
      <c r="PCS55" s="3075" t="s">
        <v>55</v>
      </c>
      <c r="PCT55" s="3078"/>
      <c r="PCU55" s="3078"/>
      <c r="PCV55" s="3078"/>
      <c r="PCW55" s="3078"/>
      <c r="PCX55" s="3078"/>
      <c r="PCY55" s="3078"/>
      <c r="PCZ55" s="3078"/>
      <c r="PDA55" s="3075" t="s">
        <v>55</v>
      </c>
      <c r="PDB55" s="3078"/>
      <c r="PDC55" s="3078"/>
      <c r="PDD55" s="3078"/>
      <c r="PDE55" s="3078"/>
      <c r="PDF55" s="3078"/>
      <c r="PDG55" s="3078"/>
      <c r="PDH55" s="3078"/>
      <c r="PDI55" s="3075" t="s">
        <v>55</v>
      </c>
      <c r="PDJ55" s="3078"/>
      <c r="PDK55" s="3078"/>
      <c r="PDL55" s="3078"/>
      <c r="PDM55" s="3078"/>
      <c r="PDN55" s="3078"/>
      <c r="PDO55" s="3078"/>
      <c r="PDP55" s="3078"/>
      <c r="PDQ55" s="3075" t="s">
        <v>55</v>
      </c>
      <c r="PDR55" s="3078"/>
      <c r="PDS55" s="3078"/>
      <c r="PDT55" s="3078"/>
      <c r="PDU55" s="3078"/>
      <c r="PDV55" s="3078"/>
      <c r="PDW55" s="3078"/>
      <c r="PDX55" s="3078"/>
      <c r="PDY55" s="3075" t="s">
        <v>55</v>
      </c>
      <c r="PDZ55" s="3078"/>
      <c r="PEA55" s="3078"/>
      <c r="PEB55" s="3078"/>
      <c r="PEC55" s="3078"/>
      <c r="PED55" s="3078"/>
      <c r="PEE55" s="3078"/>
      <c r="PEF55" s="3078"/>
      <c r="PEG55" s="3075" t="s">
        <v>55</v>
      </c>
      <c r="PEH55" s="3078"/>
      <c r="PEI55" s="3078"/>
      <c r="PEJ55" s="3078"/>
      <c r="PEK55" s="3078"/>
      <c r="PEL55" s="3078"/>
      <c r="PEM55" s="3078"/>
      <c r="PEN55" s="3078"/>
      <c r="PEO55" s="3075" t="s">
        <v>55</v>
      </c>
      <c r="PEP55" s="3078"/>
      <c r="PEQ55" s="3078"/>
      <c r="PER55" s="3078"/>
      <c r="PES55" s="3078"/>
      <c r="PET55" s="3078"/>
      <c r="PEU55" s="3078"/>
      <c r="PEV55" s="3078"/>
      <c r="PEW55" s="3075" t="s">
        <v>55</v>
      </c>
      <c r="PEX55" s="3078"/>
      <c r="PEY55" s="3078"/>
      <c r="PEZ55" s="3078"/>
      <c r="PFA55" s="3078"/>
      <c r="PFB55" s="3078"/>
      <c r="PFC55" s="3078"/>
      <c r="PFD55" s="3078"/>
      <c r="PFE55" s="3075" t="s">
        <v>55</v>
      </c>
      <c r="PFF55" s="3078"/>
      <c r="PFG55" s="3078"/>
      <c r="PFH55" s="3078"/>
      <c r="PFI55" s="3078"/>
      <c r="PFJ55" s="3078"/>
      <c r="PFK55" s="3078"/>
      <c r="PFL55" s="3078"/>
      <c r="PFM55" s="3075" t="s">
        <v>55</v>
      </c>
      <c r="PFN55" s="3078"/>
      <c r="PFO55" s="3078"/>
      <c r="PFP55" s="3078"/>
      <c r="PFQ55" s="3078"/>
      <c r="PFR55" s="3078"/>
      <c r="PFS55" s="3078"/>
      <c r="PFT55" s="3078"/>
      <c r="PFU55" s="3075" t="s">
        <v>55</v>
      </c>
      <c r="PFV55" s="3078"/>
      <c r="PFW55" s="3078"/>
      <c r="PFX55" s="3078"/>
      <c r="PFY55" s="3078"/>
      <c r="PFZ55" s="3078"/>
      <c r="PGA55" s="3078"/>
      <c r="PGB55" s="3078"/>
      <c r="PGC55" s="3075" t="s">
        <v>55</v>
      </c>
      <c r="PGD55" s="3078"/>
      <c r="PGE55" s="3078"/>
      <c r="PGF55" s="3078"/>
      <c r="PGG55" s="3078"/>
      <c r="PGH55" s="3078"/>
      <c r="PGI55" s="3078"/>
      <c r="PGJ55" s="3078"/>
      <c r="PGK55" s="3075" t="s">
        <v>55</v>
      </c>
      <c r="PGL55" s="3078"/>
      <c r="PGM55" s="3078"/>
      <c r="PGN55" s="3078"/>
      <c r="PGO55" s="3078"/>
      <c r="PGP55" s="3078"/>
      <c r="PGQ55" s="3078"/>
      <c r="PGR55" s="3078"/>
      <c r="PGS55" s="3075" t="s">
        <v>55</v>
      </c>
      <c r="PGT55" s="3078"/>
      <c r="PGU55" s="3078"/>
      <c r="PGV55" s="3078"/>
      <c r="PGW55" s="3078"/>
      <c r="PGX55" s="3078"/>
      <c r="PGY55" s="3078"/>
      <c r="PGZ55" s="3078"/>
      <c r="PHA55" s="3075" t="s">
        <v>55</v>
      </c>
      <c r="PHB55" s="3078"/>
      <c r="PHC55" s="3078"/>
      <c r="PHD55" s="3078"/>
      <c r="PHE55" s="3078"/>
      <c r="PHF55" s="3078"/>
      <c r="PHG55" s="3078"/>
      <c r="PHH55" s="3078"/>
      <c r="PHI55" s="3075" t="s">
        <v>55</v>
      </c>
      <c r="PHJ55" s="3078"/>
      <c r="PHK55" s="3078"/>
      <c r="PHL55" s="3078"/>
      <c r="PHM55" s="3078"/>
      <c r="PHN55" s="3078"/>
      <c r="PHO55" s="3078"/>
      <c r="PHP55" s="3078"/>
      <c r="PHQ55" s="3075" t="s">
        <v>55</v>
      </c>
      <c r="PHR55" s="3078"/>
      <c r="PHS55" s="3078"/>
      <c r="PHT55" s="3078"/>
      <c r="PHU55" s="3078"/>
      <c r="PHV55" s="3078"/>
      <c r="PHW55" s="3078"/>
      <c r="PHX55" s="3078"/>
      <c r="PHY55" s="3075" t="s">
        <v>55</v>
      </c>
      <c r="PHZ55" s="3078"/>
      <c r="PIA55" s="3078"/>
      <c r="PIB55" s="3078"/>
      <c r="PIC55" s="3078"/>
      <c r="PID55" s="3078"/>
      <c r="PIE55" s="3078"/>
      <c r="PIF55" s="3078"/>
      <c r="PIG55" s="3075" t="s">
        <v>55</v>
      </c>
      <c r="PIH55" s="3078"/>
      <c r="PII55" s="3078"/>
      <c r="PIJ55" s="3078"/>
      <c r="PIK55" s="3078"/>
      <c r="PIL55" s="3078"/>
      <c r="PIM55" s="3078"/>
      <c r="PIN55" s="3078"/>
      <c r="PIO55" s="3075" t="s">
        <v>55</v>
      </c>
      <c r="PIP55" s="3078"/>
      <c r="PIQ55" s="3078"/>
      <c r="PIR55" s="3078"/>
      <c r="PIS55" s="3078"/>
      <c r="PIT55" s="3078"/>
      <c r="PIU55" s="3078"/>
      <c r="PIV55" s="3078"/>
      <c r="PIW55" s="3075" t="s">
        <v>55</v>
      </c>
      <c r="PIX55" s="3078"/>
      <c r="PIY55" s="3078"/>
      <c r="PIZ55" s="3078"/>
      <c r="PJA55" s="3078"/>
      <c r="PJB55" s="3078"/>
      <c r="PJC55" s="3078"/>
      <c r="PJD55" s="3078"/>
      <c r="PJE55" s="3075" t="s">
        <v>55</v>
      </c>
      <c r="PJF55" s="3078"/>
      <c r="PJG55" s="3078"/>
      <c r="PJH55" s="3078"/>
      <c r="PJI55" s="3078"/>
      <c r="PJJ55" s="3078"/>
      <c r="PJK55" s="3078"/>
      <c r="PJL55" s="3078"/>
      <c r="PJM55" s="3075" t="s">
        <v>55</v>
      </c>
      <c r="PJN55" s="3078"/>
      <c r="PJO55" s="3078"/>
      <c r="PJP55" s="3078"/>
      <c r="PJQ55" s="3078"/>
      <c r="PJR55" s="3078"/>
      <c r="PJS55" s="3078"/>
      <c r="PJT55" s="3078"/>
      <c r="PJU55" s="3075" t="s">
        <v>55</v>
      </c>
      <c r="PJV55" s="3078"/>
      <c r="PJW55" s="3078"/>
      <c r="PJX55" s="3078"/>
      <c r="PJY55" s="3078"/>
      <c r="PJZ55" s="3078"/>
      <c r="PKA55" s="3078"/>
      <c r="PKB55" s="3078"/>
      <c r="PKC55" s="3075" t="s">
        <v>55</v>
      </c>
      <c r="PKD55" s="3078"/>
      <c r="PKE55" s="3078"/>
      <c r="PKF55" s="3078"/>
      <c r="PKG55" s="3078"/>
      <c r="PKH55" s="3078"/>
      <c r="PKI55" s="3078"/>
      <c r="PKJ55" s="3078"/>
      <c r="PKK55" s="3075" t="s">
        <v>55</v>
      </c>
      <c r="PKL55" s="3078"/>
      <c r="PKM55" s="3078"/>
      <c r="PKN55" s="3078"/>
      <c r="PKO55" s="3078"/>
      <c r="PKP55" s="3078"/>
      <c r="PKQ55" s="3078"/>
      <c r="PKR55" s="3078"/>
      <c r="PKS55" s="3075" t="s">
        <v>55</v>
      </c>
      <c r="PKT55" s="3078"/>
      <c r="PKU55" s="3078"/>
      <c r="PKV55" s="3078"/>
      <c r="PKW55" s="3078"/>
      <c r="PKX55" s="3078"/>
      <c r="PKY55" s="3078"/>
      <c r="PKZ55" s="3078"/>
      <c r="PLA55" s="3075" t="s">
        <v>55</v>
      </c>
      <c r="PLB55" s="3078"/>
      <c r="PLC55" s="3078"/>
      <c r="PLD55" s="3078"/>
      <c r="PLE55" s="3078"/>
      <c r="PLF55" s="3078"/>
      <c r="PLG55" s="3078"/>
      <c r="PLH55" s="3078"/>
      <c r="PLI55" s="3075" t="s">
        <v>55</v>
      </c>
      <c r="PLJ55" s="3078"/>
      <c r="PLK55" s="3078"/>
      <c r="PLL55" s="3078"/>
      <c r="PLM55" s="3078"/>
      <c r="PLN55" s="3078"/>
      <c r="PLO55" s="3078"/>
      <c r="PLP55" s="3078"/>
      <c r="PLQ55" s="3075" t="s">
        <v>55</v>
      </c>
      <c r="PLR55" s="3078"/>
      <c r="PLS55" s="3078"/>
      <c r="PLT55" s="3078"/>
      <c r="PLU55" s="3078"/>
      <c r="PLV55" s="3078"/>
      <c r="PLW55" s="3078"/>
      <c r="PLX55" s="3078"/>
      <c r="PLY55" s="3075" t="s">
        <v>55</v>
      </c>
      <c r="PLZ55" s="3078"/>
      <c r="PMA55" s="3078"/>
      <c r="PMB55" s="3078"/>
      <c r="PMC55" s="3078"/>
      <c r="PMD55" s="3078"/>
      <c r="PME55" s="3078"/>
      <c r="PMF55" s="3078"/>
      <c r="PMG55" s="3075" t="s">
        <v>55</v>
      </c>
      <c r="PMH55" s="3078"/>
      <c r="PMI55" s="3078"/>
      <c r="PMJ55" s="3078"/>
      <c r="PMK55" s="3078"/>
      <c r="PML55" s="3078"/>
      <c r="PMM55" s="3078"/>
      <c r="PMN55" s="3078"/>
      <c r="PMO55" s="3075" t="s">
        <v>55</v>
      </c>
      <c r="PMP55" s="3078"/>
      <c r="PMQ55" s="3078"/>
      <c r="PMR55" s="3078"/>
      <c r="PMS55" s="3078"/>
      <c r="PMT55" s="3078"/>
      <c r="PMU55" s="3078"/>
      <c r="PMV55" s="3078"/>
      <c r="PMW55" s="3075" t="s">
        <v>55</v>
      </c>
      <c r="PMX55" s="3078"/>
      <c r="PMY55" s="3078"/>
      <c r="PMZ55" s="3078"/>
      <c r="PNA55" s="3078"/>
      <c r="PNB55" s="3078"/>
      <c r="PNC55" s="3078"/>
      <c r="PND55" s="3078"/>
      <c r="PNE55" s="3075" t="s">
        <v>55</v>
      </c>
      <c r="PNF55" s="3078"/>
      <c r="PNG55" s="3078"/>
      <c r="PNH55" s="3078"/>
      <c r="PNI55" s="3078"/>
      <c r="PNJ55" s="3078"/>
      <c r="PNK55" s="3078"/>
      <c r="PNL55" s="3078"/>
      <c r="PNM55" s="3075" t="s">
        <v>55</v>
      </c>
      <c r="PNN55" s="3078"/>
      <c r="PNO55" s="3078"/>
      <c r="PNP55" s="3078"/>
      <c r="PNQ55" s="3078"/>
      <c r="PNR55" s="3078"/>
      <c r="PNS55" s="3078"/>
      <c r="PNT55" s="3078"/>
      <c r="PNU55" s="3075" t="s">
        <v>55</v>
      </c>
      <c r="PNV55" s="3078"/>
      <c r="PNW55" s="3078"/>
      <c r="PNX55" s="3078"/>
      <c r="PNY55" s="3078"/>
      <c r="PNZ55" s="3078"/>
      <c r="POA55" s="3078"/>
      <c r="POB55" s="3078"/>
      <c r="POC55" s="3075" t="s">
        <v>55</v>
      </c>
      <c r="POD55" s="3078"/>
      <c r="POE55" s="3078"/>
      <c r="POF55" s="3078"/>
      <c r="POG55" s="3078"/>
      <c r="POH55" s="3078"/>
      <c r="POI55" s="3078"/>
      <c r="POJ55" s="3078"/>
      <c r="POK55" s="3075" t="s">
        <v>55</v>
      </c>
      <c r="POL55" s="3078"/>
      <c r="POM55" s="3078"/>
      <c r="PON55" s="3078"/>
      <c r="POO55" s="3078"/>
      <c r="POP55" s="3078"/>
      <c r="POQ55" s="3078"/>
      <c r="POR55" s="3078"/>
      <c r="POS55" s="3075" t="s">
        <v>55</v>
      </c>
      <c r="POT55" s="3078"/>
      <c r="POU55" s="3078"/>
      <c r="POV55" s="3078"/>
      <c r="POW55" s="3078"/>
      <c r="POX55" s="3078"/>
      <c r="POY55" s="3078"/>
      <c r="POZ55" s="3078"/>
      <c r="PPA55" s="3075" t="s">
        <v>55</v>
      </c>
      <c r="PPB55" s="3078"/>
      <c r="PPC55" s="3078"/>
      <c r="PPD55" s="3078"/>
      <c r="PPE55" s="3078"/>
      <c r="PPF55" s="3078"/>
      <c r="PPG55" s="3078"/>
      <c r="PPH55" s="3078"/>
      <c r="PPI55" s="3075" t="s">
        <v>55</v>
      </c>
      <c r="PPJ55" s="3078"/>
      <c r="PPK55" s="3078"/>
      <c r="PPL55" s="3078"/>
      <c r="PPM55" s="3078"/>
      <c r="PPN55" s="3078"/>
      <c r="PPO55" s="3078"/>
      <c r="PPP55" s="3078"/>
      <c r="PPQ55" s="3075" t="s">
        <v>55</v>
      </c>
      <c r="PPR55" s="3078"/>
      <c r="PPS55" s="3078"/>
      <c r="PPT55" s="3078"/>
      <c r="PPU55" s="3078"/>
      <c r="PPV55" s="3078"/>
      <c r="PPW55" s="3078"/>
      <c r="PPX55" s="3078"/>
      <c r="PPY55" s="3075" t="s">
        <v>55</v>
      </c>
      <c r="PPZ55" s="3078"/>
      <c r="PQA55" s="3078"/>
      <c r="PQB55" s="3078"/>
      <c r="PQC55" s="3078"/>
      <c r="PQD55" s="3078"/>
      <c r="PQE55" s="3078"/>
      <c r="PQF55" s="3078"/>
      <c r="PQG55" s="3075" t="s">
        <v>55</v>
      </c>
      <c r="PQH55" s="3078"/>
      <c r="PQI55" s="3078"/>
      <c r="PQJ55" s="3078"/>
      <c r="PQK55" s="3078"/>
      <c r="PQL55" s="3078"/>
      <c r="PQM55" s="3078"/>
      <c r="PQN55" s="3078"/>
      <c r="PQO55" s="3075" t="s">
        <v>55</v>
      </c>
      <c r="PQP55" s="3078"/>
      <c r="PQQ55" s="3078"/>
      <c r="PQR55" s="3078"/>
      <c r="PQS55" s="3078"/>
      <c r="PQT55" s="3078"/>
      <c r="PQU55" s="3078"/>
      <c r="PQV55" s="3078"/>
      <c r="PQW55" s="3075" t="s">
        <v>55</v>
      </c>
      <c r="PQX55" s="3078"/>
      <c r="PQY55" s="3078"/>
      <c r="PQZ55" s="3078"/>
      <c r="PRA55" s="3078"/>
      <c r="PRB55" s="3078"/>
      <c r="PRC55" s="3078"/>
      <c r="PRD55" s="3078"/>
      <c r="PRE55" s="3075" t="s">
        <v>55</v>
      </c>
      <c r="PRF55" s="3078"/>
      <c r="PRG55" s="3078"/>
      <c r="PRH55" s="3078"/>
      <c r="PRI55" s="3078"/>
      <c r="PRJ55" s="3078"/>
      <c r="PRK55" s="3078"/>
      <c r="PRL55" s="3078"/>
      <c r="PRM55" s="3075" t="s">
        <v>55</v>
      </c>
      <c r="PRN55" s="3078"/>
      <c r="PRO55" s="3078"/>
      <c r="PRP55" s="3078"/>
      <c r="PRQ55" s="3078"/>
      <c r="PRR55" s="3078"/>
      <c r="PRS55" s="3078"/>
      <c r="PRT55" s="3078"/>
      <c r="PRU55" s="3075" t="s">
        <v>55</v>
      </c>
      <c r="PRV55" s="3078"/>
      <c r="PRW55" s="3078"/>
      <c r="PRX55" s="3078"/>
      <c r="PRY55" s="3078"/>
      <c r="PRZ55" s="3078"/>
      <c r="PSA55" s="3078"/>
      <c r="PSB55" s="3078"/>
      <c r="PSC55" s="3075" t="s">
        <v>55</v>
      </c>
      <c r="PSD55" s="3078"/>
      <c r="PSE55" s="3078"/>
      <c r="PSF55" s="3078"/>
      <c r="PSG55" s="3078"/>
      <c r="PSH55" s="3078"/>
      <c r="PSI55" s="3078"/>
      <c r="PSJ55" s="3078"/>
      <c r="PSK55" s="3075" t="s">
        <v>55</v>
      </c>
      <c r="PSL55" s="3078"/>
      <c r="PSM55" s="3078"/>
      <c r="PSN55" s="3078"/>
      <c r="PSO55" s="3078"/>
      <c r="PSP55" s="3078"/>
      <c r="PSQ55" s="3078"/>
      <c r="PSR55" s="3078"/>
      <c r="PSS55" s="3075" t="s">
        <v>55</v>
      </c>
      <c r="PST55" s="3078"/>
      <c r="PSU55" s="3078"/>
      <c r="PSV55" s="3078"/>
      <c r="PSW55" s="3078"/>
      <c r="PSX55" s="3078"/>
      <c r="PSY55" s="3078"/>
      <c r="PSZ55" s="3078"/>
      <c r="PTA55" s="3075" t="s">
        <v>55</v>
      </c>
      <c r="PTB55" s="3078"/>
      <c r="PTC55" s="3078"/>
      <c r="PTD55" s="3078"/>
      <c r="PTE55" s="3078"/>
      <c r="PTF55" s="3078"/>
      <c r="PTG55" s="3078"/>
      <c r="PTH55" s="3078"/>
      <c r="PTI55" s="3075" t="s">
        <v>55</v>
      </c>
      <c r="PTJ55" s="3078"/>
      <c r="PTK55" s="3078"/>
      <c r="PTL55" s="3078"/>
      <c r="PTM55" s="3078"/>
      <c r="PTN55" s="3078"/>
      <c r="PTO55" s="3078"/>
      <c r="PTP55" s="3078"/>
      <c r="PTQ55" s="3075" t="s">
        <v>55</v>
      </c>
      <c r="PTR55" s="3078"/>
      <c r="PTS55" s="3078"/>
      <c r="PTT55" s="3078"/>
      <c r="PTU55" s="3078"/>
      <c r="PTV55" s="3078"/>
      <c r="PTW55" s="3078"/>
      <c r="PTX55" s="3078"/>
      <c r="PTY55" s="3075" t="s">
        <v>55</v>
      </c>
      <c r="PTZ55" s="3078"/>
      <c r="PUA55" s="3078"/>
      <c r="PUB55" s="3078"/>
      <c r="PUC55" s="3078"/>
      <c r="PUD55" s="3078"/>
      <c r="PUE55" s="3078"/>
      <c r="PUF55" s="3078"/>
      <c r="PUG55" s="3075" t="s">
        <v>55</v>
      </c>
      <c r="PUH55" s="3078"/>
      <c r="PUI55" s="3078"/>
      <c r="PUJ55" s="3078"/>
      <c r="PUK55" s="3078"/>
      <c r="PUL55" s="3078"/>
      <c r="PUM55" s="3078"/>
      <c r="PUN55" s="3078"/>
      <c r="PUO55" s="3075" t="s">
        <v>55</v>
      </c>
      <c r="PUP55" s="3078"/>
      <c r="PUQ55" s="3078"/>
      <c r="PUR55" s="3078"/>
      <c r="PUS55" s="3078"/>
      <c r="PUT55" s="3078"/>
      <c r="PUU55" s="3078"/>
      <c r="PUV55" s="3078"/>
      <c r="PUW55" s="3075" t="s">
        <v>55</v>
      </c>
      <c r="PUX55" s="3078"/>
      <c r="PUY55" s="3078"/>
      <c r="PUZ55" s="3078"/>
      <c r="PVA55" s="3078"/>
      <c r="PVB55" s="3078"/>
      <c r="PVC55" s="3078"/>
      <c r="PVD55" s="3078"/>
      <c r="PVE55" s="3075" t="s">
        <v>55</v>
      </c>
      <c r="PVF55" s="3078"/>
      <c r="PVG55" s="3078"/>
      <c r="PVH55" s="3078"/>
      <c r="PVI55" s="3078"/>
      <c r="PVJ55" s="3078"/>
      <c r="PVK55" s="3078"/>
      <c r="PVL55" s="3078"/>
      <c r="PVM55" s="3075" t="s">
        <v>55</v>
      </c>
      <c r="PVN55" s="3078"/>
      <c r="PVO55" s="3078"/>
      <c r="PVP55" s="3078"/>
      <c r="PVQ55" s="3078"/>
      <c r="PVR55" s="3078"/>
      <c r="PVS55" s="3078"/>
      <c r="PVT55" s="3078"/>
      <c r="PVU55" s="3075" t="s">
        <v>55</v>
      </c>
      <c r="PVV55" s="3078"/>
      <c r="PVW55" s="3078"/>
      <c r="PVX55" s="3078"/>
      <c r="PVY55" s="3078"/>
      <c r="PVZ55" s="3078"/>
      <c r="PWA55" s="3078"/>
      <c r="PWB55" s="3078"/>
      <c r="PWC55" s="3075" t="s">
        <v>55</v>
      </c>
      <c r="PWD55" s="3078"/>
      <c r="PWE55" s="3078"/>
      <c r="PWF55" s="3078"/>
      <c r="PWG55" s="3078"/>
      <c r="PWH55" s="3078"/>
      <c r="PWI55" s="3078"/>
      <c r="PWJ55" s="3078"/>
      <c r="PWK55" s="3075" t="s">
        <v>55</v>
      </c>
      <c r="PWL55" s="3078"/>
      <c r="PWM55" s="3078"/>
      <c r="PWN55" s="3078"/>
      <c r="PWO55" s="3078"/>
      <c r="PWP55" s="3078"/>
      <c r="PWQ55" s="3078"/>
      <c r="PWR55" s="3078"/>
      <c r="PWS55" s="3075" t="s">
        <v>55</v>
      </c>
      <c r="PWT55" s="3078"/>
      <c r="PWU55" s="3078"/>
      <c r="PWV55" s="3078"/>
      <c r="PWW55" s="3078"/>
      <c r="PWX55" s="3078"/>
      <c r="PWY55" s="3078"/>
      <c r="PWZ55" s="3078"/>
      <c r="PXA55" s="3075" t="s">
        <v>55</v>
      </c>
      <c r="PXB55" s="3078"/>
      <c r="PXC55" s="3078"/>
      <c r="PXD55" s="3078"/>
      <c r="PXE55" s="3078"/>
      <c r="PXF55" s="3078"/>
      <c r="PXG55" s="3078"/>
      <c r="PXH55" s="3078"/>
      <c r="PXI55" s="3075" t="s">
        <v>55</v>
      </c>
      <c r="PXJ55" s="3078"/>
      <c r="PXK55" s="3078"/>
      <c r="PXL55" s="3078"/>
      <c r="PXM55" s="3078"/>
      <c r="PXN55" s="3078"/>
      <c r="PXO55" s="3078"/>
      <c r="PXP55" s="3078"/>
      <c r="PXQ55" s="3075" t="s">
        <v>55</v>
      </c>
      <c r="PXR55" s="3078"/>
      <c r="PXS55" s="3078"/>
      <c r="PXT55" s="3078"/>
      <c r="PXU55" s="3078"/>
      <c r="PXV55" s="3078"/>
      <c r="PXW55" s="3078"/>
      <c r="PXX55" s="3078"/>
      <c r="PXY55" s="3075" t="s">
        <v>55</v>
      </c>
      <c r="PXZ55" s="3078"/>
      <c r="PYA55" s="3078"/>
      <c r="PYB55" s="3078"/>
      <c r="PYC55" s="3078"/>
      <c r="PYD55" s="3078"/>
      <c r="PYE55" s="3078"/>
      <c r="PYF55" s="3078"/>
      <c r="PYG55" s="3075" t="s">
        <v>55</v>
      </c>
      <c r="PYH55" s="3078"/>
      <c r="PYI55" s="3078"/>
      <c r="PYJ55" s="3078"/>
      <c r="PYK55" s="3078"/>
      <c r="PYL55" s="3078"/>
      <c r="PYM55" s="3078"/>
      <c r="PYN55" s="3078"/>
      <c r="PYO55" s="3075" t="s">
        <v>55</v>
      </c>
      <c r="PYP55" s="3078"/>
      <c r="PYQ55" s="3078"/>
      <c r="PYR55" s="3078"/>
      <c r="PYS55" s="3078"/>
      <c r="PYT55" s="3078"/>
      <c r="PYU55" s="3078"/>
      <c r="PYV55" s="3078"/>
      <c r="PYW55" s="3075" t="s">
        <v>55</v>
      </c>
      <c r="PYX55" s="3078"/>
      <c r="PYY55" s="3078"/>
      <c r="PYZ55" s="3078"/>
      <c r="PZA55" s="3078"/>
      <c r="PZB55" s="3078"/>
      <c r="PZC55" s="3078"/>
      <c r="PZD55" s="3078"/>
      <c r="PZE55" s="3075" t="s">
        <v>55</v>
      </c>
      <c r="PZF55" s="3078"/>
      <c r="PZG55" s="3078"/>
      <c r="PZH55" s="3078"/>
      <c r="PZI55" s="3078"/>
      <c r="PZJ55" s="3078"/>
      <c r="PZK55" s="3078"/>
      <c r="PZL55" s="3078"/>
      <c r="PZM55" s="3075" t="s">
        <v>55</v>
      </c>
      <c r="PZN55" s="3078"/>
      <c r="PZO55" s="3078"/>
      <c r="PZP55" s="3078"/>
      <c r="PZQ55" s="3078"/>
      <c r="PZR55" s="3078"/>
      <c r="PZS55" s="3078"/>
      <c r="PZT55" s="3078"/>
      <c r="PZU55" s="3075" t="s">
        <v>55</v>
      </c>
      <c r="PZV55" s="3078"/>
      <c r="PZW55" s="3078"/>
      <c r="PZX55" s="3078"/>
      <c r="PZY55" s="3078"/>
      <c r="PZZ55" s="3078"/>
      <c r="QAA55" s="3078"/>
      <c r="QAB55" s="3078"/>
      <c r="QAC55" s="3075" t="s">
        <v>55</v>
      </c>
      <c r="QAD55" s="3078"/>
      <c r="QAE55" s="3078"/>
      <c r="QAF55" s="3078"/>
      <c r="QAG55" s="3078"/>
      <c r="QAH55" s="3078"/>
      <c r="QAI55" s="3078"/>
      <c r="QAJ55" s="3078"/>
      <c r="QAK55" s="3075" t="s">
        <v>55</v>
      </c>
      <c r="QAL55" s="3078"/>
      <c r="QAM55" s="3078"/>
      <c r="QAN55" s="3078"/>
      <c r="QAO55" s="3078"/>
      <c r="QAP55" s="3078"/>
      <c r="QAQ55" s="3078"/>
      <c r="QAR55" s="3078"/>
      <c r="QAS55" s="3075" t="s">
        <v>55</v>
      </c>
      <c r="QAT55" s="3078"/>
      <c r="QAU55" s="3078"/>
      <c r="QAV55" s="3078"/>
      <c r="QAW55" s="3078"/>
      <c r="QAX55" s="3078"/>
      <c r="QAY55" s="3078"/>
      <c r="QAZ55" s="3078"/>
      <c r="QBA55" s="3075" t="s">
        <v>55</v>
      </c>
      <c r="QBB55" s="3078"/>
      <c r="QBC55" s="3078"/>
      <c r="QBD55" s="3078"/>
      <c r="QBE55" s="3078"/>
      <c r="QBF55" s="3078"/>
      <c r="QBG55" s="3078"/>
      <c r="QBH55" s="3078"/>
      <c r="QBI55" s="3075" t="s">
        <v>55</v>
      </c>
      <c r="QBJ55" s="3078"/>
      <c r="QBK55" s="3078"/>
      <c r="QBL55" s="3078"/>
      <c r="QBM55" s="3078"/>
      <c r="QBN55" s="3078"/>
      <c r="QBO55" s="3078"/>
      <c r="QBP55" s="3078"/>
      <c r="QBQ55" s="3075" t="s">
        <v>55</v>
      </c>
      <c r="QBR55" s="3078"/>
      <c r="QBS55" s="3078"/>
      <c r="QBT55" s="3078"/>
      <c r="QBU55" s="3078"/>
      <c r="QBV55" s="3078"/>
      <c r="QBW55" s="3078"/>
      <c r="QBX55" s="3078"/>
      <c r="QBY55" s="3075" t="s">
        <v>55</v>
      </c>
      <c r="QBZ55" s="3078"/>
      <c r="QCA55" s="3078"/>
      <c r="QCB55" s="3078"/>
      <c r="QCC55" s="3078"/>
      <c r="QCD55" s="3078"/>
      <c r="QCE55" s="3078"/>
      <c r="QCF55" s="3078"/>
      <c r="QCG55" s="3075" t="s">
        <v>55</v>
      </c>
      <c r="QCH55" s="3078"/>
      <c r="QCI55" s="3078"/>
      <c r="QCJ55" s="3078"/>
      <c r="QCK55" s="3078"/>
      <c r="QCL55" s="3078"/>
      <c r="QCM55" s="3078"/>
      <c r="QCN55" s="3078"/>
      <c r="QCO55" s="3075" t="s">
        <v>55</v>
      </c>
      <c r="QCP55" s="3078"/>
      <c r="QCQ55" s="3078"/>
      <c r="QCR55" s="3078"/>
      <c r="QCS55" s="3078"/>
      <c r="QCT55" s="3078"/>
      <c r="QCU55" s="3078"/>
      <c r="QCV55" s="3078"/>
      <c r="QCW55" s="3075" t="s">
        <v>55</v>
      </c>
      <c r="QCX55" s="3078"/>
      <c r="QCY55" s="3078"/>
      <c r="QCZ55" s="3078"/>
      <c r="QDA55" s="3078"/>
      <c r="QDB55" s="3078"/>
      <c r="QDC55" s="3078"/>
      <c r="QDD55" s="3078"/>
      <c r="QDE55" s="3075" t="s">
        <v>55</v>
      </c>
      <c r="QDF55" s="3078"/>
      <c r="QDG55" s="3078"/>
      <c r="QDH55" s="3078"/>
      <c r="QDI55" s="3078"/>
      <c r="QDJ55" s="3078"/>
      <c r="QDK55" s="3078"/>
      <c r="QDL55" s="3078"/>
      <c r="QDM55" s="3075" t="s">
        <v>55</v>
      </c>
      <c r="QDN55" s="3078"/>
      <c r="QDO55" s="3078"/>
      <c r="QDP55" s="3078"/>
      <c r="QDQ55" s="3078"/>
      <c r="QDR55" s="3078"/>
      <c r="QDS55" s="3078"/>
      <c r="QDT55" s="3078"/>
      <c r="QDU55" s="3075" t="s">
        <v>55</v>
      </c>
      <c r="QDV55" s="3078"/>
      <c r="QDW55" s="3078"/>
      <c r="QDX55" s="3078"/>
      <c r="QDY55" s="3078"/>
      <c r="QDZ55" s="3078"/>
      <c r="QEA55" s="3078"/>
      <c r="QEB55" s="3078"/>
      <c r="QEC55" s="3075" t="s">
        <v>55</v>
      </c>
      <c r="QED55" s="3078"/>
      <c r="QEE55" s="3078"/>
      <c r="QEF55" s="3078"/>
      <c r="QEG55" s="3078"/>
      <c r="QEH55" s="3078"/>
      <c r="QEI55" s="3078"/>
      <c r="QEJ55" s="3078"/>
      <c r="QEK55" s="3075" t="s">
        <v>55</v>
      </c>
      <c r="QEL55" s="3078"/>
      <c r="QEM55" s="3078"/>
      <c r="QEN55" s="3078"/>
      <c r="QEO55" s="3078"/>
      <c r="QEP55" s="3078"/>
      <c r="QEQ55" s="3078"/>
      <c r="QER55" s="3078"/>
      <c r="QES55" s="3075" t="s">
        <v>55</v>
      </c>
      <c r="QET55" s="3078"/>
      <c r="QEU55" s="3078"/>
      <c r="QEV55" s="3078"/>
      <c r="QEW55" s="3078"/>
      <c r="QEX55" s="3078"/>
      <c r="QEY55" s="3078"/>
      <c r="QEZ55" s="3078"/>
      <c r="QFA55" s="3075" t="s">
        <v>55</v>
      </c>
      <c r="QFB55" s="3078"/>
      <c r="QFC55" s="3078"/>
      <c r="QFD55" s="3078"/>
      <c r="QFE55" s="3078"/>
      <c r="QFF55" s="3078"/>
      <c r="QFG55" s="3078"/>
      <c r="QFH55" s="3078"/>
      <c r="QFI55" s="3075" t="s">
        <v>55</v>
      </c>
      <c r="QFJ55" s="3078"/>
      <c r="QFK55" s="3078"/>
      <c r="QFL55" s="3078"/>
      <c r="QFM55" s="3078"/>
      <c r="QFN55" s="3078"/>
      <c r="QFO55" s="3078"/>
      <c r="QFP55" s="3078"/>
      <c r="QFQ55" s="3075" t="s">
        <v>55</v>
      </c>
      <c r="QFR55" s="3078"/>
      <c r="QFS55" s="3078"/>
      <c r="QFT55" s="3078"/>
      <c r="QFU55" s="3078"/>
      <c r="QFV55" s="3078"/>
      <c r="QFW55" s="3078"/>
      <c r="QFX55" s="3078"/>
      <c r="QFY55" s="3075" t="s">
        <v>55</v>
      </c>
      <c r="QFZ55" s="3078"/>
      <c r="QGA55" s="3078"/>
      <c r="QGB55" s="3078"/>
      <c r="QGC55" s="3078"/>
      <c r="QGD55" s="3078"/>
      <c r="QGE55" s="3078"/>
      <c r="QGF55" s="3078"/>
      <c r="QGG55" s="3075" t="s">
        <v>55</v>
      </c>
      <c r="QGH55" s="3078"/>
      <c r="QGI55" s="3078"/>
      <c r="QGJ55" s="3078"/>
      <c r="QGK55" s="3078"/>
      <c r="QGL55" s="3078"/>
      <c r="QGM55" s="3078"/>
      <c r="QGN55" s="3078"/>
      <c r="QGO55" s="3075" t="s">
        <v>55</v>
      </c>
      <c r="QGP55" s="3078"/>
      <c r="QGQ55" s="3078"/>
      <c r="QGR55" s="3078"/>
      <c r="QGS55" s="3078"/>
      <c r="QGT55" s="3078"/>
      <c r="QGU55" s="3078"/>
      <c r="QGV55" s="3078"/>
      <c r="QGW55" s="3075" t="s">
        <v>55</v>
      </c>
      <c r="QGX55" s="3078"/>
      <c r="QGY55" s="3078"/>
      <c r="QGZ55" s="3078"/>
      <c r="QHA55" s="3078"/>
      <c r="QHB55" s="3078"/>
      <c r="QHC55" s="3078"/>
      <c r="QHD55" s="3078"/>
      <c r="QHE55" s="3075" t="s">
        <v>55</v>
      </c>
      <c r="QHF55" s="3078"/>
      <c r="QHG55" s="3078"/>
      <c r="QHH55" s="3078"/>
      <c r="QHI55" s="3078"/>
      <c r="QHJ55" s="3078"/>
      <c r="QHK55" s="3078"/>
      <c r="QHL55" s="3078"/>
      <c r="QHM55" s="3075" t="s">
        <v>55</v>
      </c>
      <c r="QHN55" s="3078"/>
      <c r="QHO55" s="3078"/>
      <c r="QHP55" s="3078"/>
      <c r="QHQ55" s="3078"/>
      <c r="QHR55" s="3078"/>
      <c r="QHS55" s="3078"/>
      <c r="QHT55" s="3078"/>
      <c r="QHU55" s="3075" t="s">
        <v>55</v>
      </c>
      <c r="QHV55" s="3078"/>
      <c r="QHW55" s="3078"/>
      <c r="QHX55" s="3078"/>
      <c r="QHY55" s="3078"/>
      <c r="QHZ55" s="3078"/>
      <c r="QIA55" s="3078"/>
      <c r="QIB55" s="3078"/>
      <c r="QIC55" s="3075" t="s">
        <v>55</v>
      </c>
      <c r="QID55" s="3078"/>
      <c r="QIE55" s="3078"/>
      <c r="QIF55" s="3078"/>
      <c r="QIG55" s="3078"/>
      <c r="QIH55" s="3078"/>
      <c r="QII55" s="3078"/>
      <c r="QIJ55" s="3078"/>
      <c r="QIK55" s="3075" t="s">
        <v>55</v>
      </c>
      <c r="QIL55" s="3078"/>
      <c r="QIM55" s="3078"/>
      <c r="QIN55" s="3078"/>
      <c r="QIO55" s="3078"/>
      <c r="QIP55" s="3078"/>
      <c r="QIQ55" s="3078"/>
      <c r="QIR55" s="3078"/>
      <c r="QIS55" s="3075" t="s">
        <v>55</v>
      </c>
      <c r="QIT55" s="3078"/>
      <c r="QIU55" s="3078"/>
      <c r="QIV55" s="3078"/>
      <c r="QIW55" s="3078"/>
      <c r="QIX55" s="3078"/>
      <c r="QIY55" s="3078"/>
      <c r="QIZ55" s="3078"/>
      <c r="QJA55" s="3075" t="s">
        <v>55</v>
      </c>
      <c r="QJB55" s="3078"/>
      <c r="QJC55" s="3078"/>
      <c r="QJD55" s="3078"/>
      <c r="QJE55" s="3078"/>
      <c r="QJF55" s="3078"/>
      <c r="QJG55" s="3078"/>
      <c r="QJH55" s="3078"/>
      <c r="QJI55" s="3075" t="s">
        <v>55</v>
      </c>
      <c r="QJJ55" s="3078"/>
      <c r="QJK55" s="3078"/>
      <c r="QJL55" s="3078"/>
      <c r="QJM55" s="3078"/>
      <c r="QJN55" s="3078"/>
      <c r="QJO55" s="3078"/>
      <c r="QJP55" s="3078"/>
      <c r="QJQ55" s="3075" t="s">
        <v>55</v>
      </c>
      <c r="QJR55" s="3078"/>
      <c r="QJS55" s="3078"/>
      <c r="QJT55" s="3078"/>
      <c r="QJU55" s="3078"/>
      <c r="QJV55" s="3078"/>
      <c r="QJW55" s="3078"/>
      <c r="QJX55" s="3078"/>
      <c r="QJY55" s="3075" t="s">
        <v>55</v>
      </c>
      <c r="QJZ55" s="3078"/>
      <c r="QKA55" s="3078"/>
      <c r="QKB55" s="3078"/>
      <c r="QKC55" s="3078"/>
      <c r="QKD55" s="3078"/>
      <c r="QKE55" s="3078"/>
      <c r="QKF55" s="3078"/>
      <c r="QKG55" s="3075" t="s">
        <v>55</v>
      </c>
      <c r="QKH55" s="3078"/>
      <c r="QKI55" s="3078"/>
      <c r="QKJ55" s="3078"/>
      <c r="QKK55" s="3078"/>
      <c r="QKL55" s="3078"/>
      <c r="QKM55" s="3078"/>
      <c r="QKN55" s="3078"/>
      <c r="QKO55" s="3075" t="s">
        <v>55</v>
      </c>
      <c r="QKP55" s="3078"/>
      <c r="QKQ55" s="3078"/>
      <c r="QKR55" s="3078"/>
      <c r="QKS55" s="3078"/>
      <c r="QKT55" s="3078"/>
      <c r="QKU55" s="3078"/>
      <c r="QKV55" s="3078"/>
      <c r="QKW55" s="3075" t="s">
        <v>55</v>
      </c>
      <c r="QKX55" s="3078"/>
      <c r="QKY55" s="3078"/>
      <c r="QKZ55" s="3078"/>
      <c r="QLA55" s="3078"/>
      <c r="QLB55" s="3078"/>
      <c r="QLC55" s="3078"/>
      <c r="QLD55" s="3078"/>
      <c r="QLE55" s="3075" t="s">
        <v>55</v>
      </c>
      <c r="QLF55" s="3078"/>
      <c r="QLG55" s="3078"/>
      <c r="QLH55" s="3078"/>
      <c r="QLI55" s="3078"/>
      <c r="QLJ55" s="3078"/>
      <c r="QLK55" s="3078"/>
      <c r="QLL55" s="3078"/>
      <c r="QLM55" s="3075" t="s">
        <v>55</v>
      </c>
      <c r="QLN55" s="3078"/>
      <c r="QLO55" s="3078"/>
      <c r="QLP55" s="3078"/>
      <c r="QLQ55" s="3078"/>
      <c r="QLR55" s="3078"/>
      <c r="QLS55" s="3078"/>
      <c r="QLT55" s="3078"/>
      <c r="QLU55" s="3075" t="s">
        <v>55</v>
      </c>
      <c r="QLV55" s="3078"/>
      <c r="QLW55" s="3078"/>
      <c r="QLX55" s="3078"/>
      <c r="QLY55" s="3078"/>
      <c r="QLZ55" s="3078"/>
      <c r="QMA55" s="3078"/>
      <c r="QMB55" s="3078"/>
      <c r="QMC55" s="3075" t="s">
        <v>55</v>
      </c>
      <c r="QMD55" s="3078"/>
      <c r="QME55" s="3078"/>
      <c r="QMF55" s="3078"/>
      <c r="QMG55" s="3078"/>
      <c r="QMH55" s="3078"/>
      <c r="QMI55" s="3078"/>
      <c r="QMJ55" s="3078"/>
      <c r="QMK55" s="3075" t="s">
        <v>55</v>
      </c>
      <c r="QML55" s="3078"/>
      <c r="QMM55" s="3078"/>
      <c r="QMN55" s="3078"/>
      <c r="QMO55" s="3078"/>
      <c r="QMP55" s="3078"/>
      <c r="QMQ55" s="3078"/>
      <c r="QMR55" s="3078"/>
      <c r="QMS55" s="3075" t="s">
        <v>55</v>
      </c>
      <c r="QMT55" s="3078"/>
      <c r="QMU55" s="3078"/>
      <c r="QMV55" s="3078"/>
      <c r="QMW55" s="3078"/>
      <c r="QMX55" s="3078"/>
      <c r="QMY55" s="3078"/>
      <c r="QMZ55" s="3078"/>
      <c r="QNA55" s="3075" t="s">
        <v>55</v>
      </c>
      <c r="QNB55" s="3078"/>
      <c r="QNC55" s="3078"/>
      <c r="QND55" s="3078"/>
      <c r="QNE55" s="3078"/>
      <c r="QNF55" s="3078"/>
      <c r="QNG55" s="3078"/>
      <c r="QNH55" s="3078"/>
      <c r="QNI55" s="3075" t="s">
        <v>55</v>
      </c>
      <c r="QNJ55" s="3078"/>
      <c r="QNK55" s="3078"/>
      <c r="QNL55" s="3078"/>
      <c r="QNM55" s="3078"/>
      <c r="QNN55" s="3078"/>
      <c r="QNO55" s="3078"/>
      <c r="QNP55" s="3078"/>
      <c r="QNQ55" s="3075" t="s">
        <v>55</v>
      </c>
      <c r="QNR55" s="3078"/>
      <c r="QNS55" s="3078"/>
      <c r="QNT55" s="3078"/>
      <c r="QNU55" s="3078"/>
      <c r="QNV55" s="3078"/>
      <c r="QNW55" s="3078"/>
      <c r="QNX55" s="3078"/>
      <c r="QNY55" s="3075" t="s">
        <v>55</v>
      </c>
      <c r="QNZ55" s="3078"/>
      <c r="QOA55" s="3078"/>
      <c r="QOB55" s="3078"/>
      <c r="QOC55" s="3078"/>
      <c r="QOD55" s="3078"/>
      <c r="QOE55" s="3078"/>
      <c r="QOF55" s="3078"/>
      <c r="QOG55" s="3075" t="s">
        <v>55</v>
      </c>
      <c r="QOH55" s="3078"/>
      <c r="QOI55" s="3078"/>
      <c r="QOJ55" s="3078"/>
      <c r="QOK55" s="3078"/>
      <c r="QOL55" s="3078"/>
      <c r="QOM55" s="3078"/>
      <c r="QON55" s="3078"/>
      <c r="QOO55" s="3075" t="s">
        <v>55</v>
      </c>
      <c r="QOP55" s="3078"/>
      <c r="QOQ55" s="3078"/>
      <c r="QOR55" s="3078"/>
      <c r="QOS55" s="3078"/>
      <c r="QOT55" s="3078"/>
      <c r="QOU55" s="3078"/>
      <c r="QOV55" s="3078"/>
      <c r="QOW55" s="3075" t="s">
        <v>55</v>
      </c>
      <c r="QOX55" s="3078"/>
      <c r="QOY55" s="3078"/>
      <c r="QOZ55" s="3078"/>
      <c r="QPA55" s="3078"/>
      <c r="QPB55" s="3078"/>
      <c r="QPC55" s="3078"/>
      <c r="QPD55" s="3078"/>
      <c r="QPE55" s="3075" t="s">
        <v>55</v>
      </c>
      <c r="QPF55" s="3078"/>
      <c r="QPG55" s="3078"/>
      <c r="QPH55" s="3078"/>
      <c r="QPI55" s="3078"/>
      <c r="QPJ55" s="3078"/>
      <c r="QPK55" s="3078"/>
      <c r="QPL55" s="3078"/>
      <c r="QPM55" s="3075" t="s">
        <v>55</v>
      </c>
      <c r="QPN55" s="3078"/>
      <c r="QPO55" s="3078"/>
      <c r="QPP55" s="3078"/>
      <c r="QPQ55" s="3078"/>
      <c r="QPR55" s="3078"/>
      <c r="QPS55" s="3078"/>
      <c r="QPT55" s="3078"/>
      <c r="QPU55" s="3075" t="s">
        <v>55</v>
      </c>
      <c r="QPV55" s="3078"/>
      <c r="QPW55" s="3078"/>
      <c r="QPX55" s="3078"/>
      <c r="QPY55" s="3078"/>
      <c r="QPZ55" s="3078"/>
      <c r="QQA55" s="3078"/>
      <c r="QQB55" s="3078"/>
      <c r="QQC55" s="3075" t="s">
        <v>55</v>
      </c>
      <c r="QQD55" s="3078"/>
      <c r="QQE55" s="3078"/>
      <c r="QQF55" s="3078"/>
      <c r="QQG55" s="3078"/>
      <c r="QQH55" s="3078"/>
      <c r="QQI55" s="3078"/>
      <c r="QQJ55" s="3078"/>
      <c r="QQK55" s="3075" t="s">
        <v>55</v>
      </c>
      <c r="QQL55" s="3078"/>
      <c r="QQM55" s="3078"/>
      <c r="QQN55" s="3078"/>
      <c r="QQO55" s="3078"/>
      <c r="QQP55" s="3078"/>
      <c r="QQQ55" s="3078"/>
      <c r="QQR55" s="3078"/>
      <c r="QQS55" s="3075" t="s">
        <v>55</v>
      </c>
      <c r="QQT55" s="3078"/>
      <c r="QQU55" s="3078"/>
      <c r="QQV55" s="3078"/>
      <c r="QQW55" s="3078"/>
      <c r="QQX55" s="3078"/>
      <c r="QQY55" s="3078"/>
      <c r="QQZ55" s="3078"/>
      <c r="QRA55" s="3075" t="s">
        <v>55</v>
      </c>
      <c r="QRB55" s="3078"/>
      <c r="QRC55" s="3078"/>
      <c r="QRD55" s="3078"/>
      <c r="QRE55" s="3078"/>
      <c r="QRF55" s="3078"/>
      <c r="QRG55" s="3078"/>
      <c r="QRH55" s="3078"/>
      <c r="QRI55" s="3075" t="s">
        <v>55</v>
      </c>
      <c r="QRJ55" s="3078"/>
      <c r="QRK55" s="3078"/>
      <c r="QRL55" s="3078"/>
      <c r="QRM55" s="3078"/>
      <c r="QRN55" s="3078"/>
      <c r="QRO55" s="3078"/>
      <c r="QRP55" s="3078"/>
      <c r="QRQ55" s="3075" t="s">
        <v>55</v>
      </c>
      <c r="QRR55" s="3078"/>
      <c r="QRS55" s="3078"/>
      <c r="QRT55" s="3078"/>
      <c r="QRU55" s="3078"/>
      <c r="QRV55" s="3078"/>
      <c r="QRW55" s="3078"/>
      <c r="QRX55" s="3078"/>
      <c r="QRY55" s="3075" t="s">
        <v>55</v>
      </c>
      <c r="QRZ55" s="3078"/>
      <c r="QSA55" s="3078"/>
      <c r="QSB55" s="3078"/>
      <c r="QSC55" s="3078"/>
      <c r="QSD55" s="3078"/>
      <c r="QSE55" s="3078"/>
      <c r="QSF55" s="3078"/>
      <c r="QSG55" s="3075" t="s">
        <v>55</v>
      </c>
      <c r="QSH55" s="3078"/>
      <c r="QSI55" s="3078"/>
      <c r="QSJ55" s="3078"/>
      <c r="QSK55" s="3078"/>
      <c r="QSL55" s="3078"/>
      <c r="QSM55" s="3078"/>
      <c r="QSN55" s="3078"/>
      <c r="QSO55" s="3075" t="s">
        <v>55</v>
      </c>
      <c r="QSP55" s="3078"/>
      <c r="QSQ55" s="3078"/>
      <c r="QSR55" s="3078"/>
      <c r="QSS55" s="3078"/>
      <c r="QST55" s="3078"/>
      <c r="QSU55" s="3078"/>
      <c r="QSV55" s="3078"/>
      <c r="QSW55" s="3075" t="s">
        <v>55</v>
      </c>
      <c r="QSX55" s="3078"/>
      <c r="QSY55" s="3078"/>
      <c r="QSZ55" s="3078"/>
      <c r="QTA55" s="3078"/>
      <c r="QTB55" s="3078"/>
      <c r="QTC55" s="3078"/>
      <c r="QTD55" s="3078"/>
      <c r="QTE55" s="3075" t="s">
        <v>55</v>
      </c>
      <c r="QTF55" s="3078"/>
      <c r="QTG55" s="3078"/>
      <c r="QTH55" s="3078"/>
      <c r="QTI55" s="3078"/>
      <c r="QTJ55" s="3078"/>
      <c r="QTK55" s="3078"/>
      <c r="QTL55" s="3078"/>
      <c r="QTM55" s="3075" t="s">
        <v>55</v>
      </c>
      <c r="QTN55" s="3078"/>
      <c r="QTO55" s="3078"/>
      <c r="QTP55" s="3078"/>
      <c r="QTQ55" s="3078"/>
      <c r="QTR55" s="3078"/>
      <c r="QTS55" s="3078"/>
      <c r="QTT55" s="3078"/>
      <c r="QTU55" s="3075" t="s">
        <v>55</v>
      </c>
      <c r="QTV55" s="3078"/>
      <c r="QTW55" s="3078"/>
      <c r="QTX55" s="3078"/>
      <c r="QTY55" s="3078"/>
      <c r="QTZ55" s="3078"/>
      <c r="QUA55" s="3078"/>
      <c r="QUB55" s="3078"/>
      <c r="QUC55" s="3075" t="s">
        <v>55</v>
      </c>
      <c r="QUD55" s="3078"/>
      <c r="QUE55" s="3078"/>
      <c r="QUF55" s="3078"/>
      <c r="QUG55" s="3078"/>
      <c r="QUH55" s="3078"/>
      <c r="QUI55" s="3078"/>
      <c r="QUJ55" s="3078"/>
      <c r="QUK55" s="3075" t="s">
        <v>55</v>
      </c>
      <c r="QUL55" s="3078"/>
      <c r="QUM55" s="3078"/>
      <c r="QUN55" s="3078"/>
      <c r="QUO55" s="3078"/>
      <c r="QUP55" s="3078"/>
      <c r="QUQ55" s="3078"/>
      <c r="QUR55" s="3078"/>
      <c r="QUS55" s="3075" t="s">
        <v>55</v>
      </c>
      <c r="QUT55" s="3078"/>
      <c r="QUU55" s="3078"/>
      <c r="QUV55" s="3078"/>
      <c r="QUW55" s="3078"/>
      <c r="QUX55" s="3078"/>
      <c r="QUY55" s="3078"/>
      <c r="QUZ55" s="3078"/>
      <c r="QVA55" s="3075" t="s">
        <v>55</v>
      </c>
      <c r="QVB55" s="3078"/>
      <c r="QVC55" s="3078"/>
      <c r="QVD55" s="3078"/>
      <c r="QVE55" s="3078"/>
      <c r="QVF55" s="3078"/>
      <c r="QVG55" s="3078"/>
      <c r="QVH55" s="3078"/>
      <c r="QVI55" s="3075" t="s">
        <v>55</v>
      </c>
      <c r="QVJ55" s="3078"/>
      <c r="QVK55" s="3078"/>
      <c r="QVL55" s="3078"/>
      <c r="QVM55" s="3078"/>
      <c r="QVN55" s="3078"/>
      <c r="QVO55" s="3078"/>
      <c r="QVP55" s="3078"/>
      <c r="QVQ55" s="3075" t="s">
        <v>55</v>
      </c>
      <c r="QVR55" s="3078"/>
      <c r="QVS55" s="3078"/>
      <c r="QVT55" s="3078"/>
      <c r="QVU55" s="3078"/>
      <c r="QVV55" s="3078"/>
      <c r="QVW55" s="3078"/>
      <c r="QVX55" s="3078"/>
      <c r="QVY55" s="3075" t="s">
        <v>55</v>
      </c>
      <c r="QVZ55" s="3078"/>
      <c r="QWA55" s="3078"/>
      <c r="QWB55" s="3078"/>
      <c r="QWC55" s="3078"/>
      <c r="QWD55" s="3078"/>
      <c r="QWE55" s="3078"/>
      <c r="QWF55" s="3078"/>
      <c r="QWG55" s="3075" t="s">
        <v>55</v>
      </c>
      <c r="QWH55" s="3078"/>
      <c r="QWI55" s="3078"/>
      <c r="QWJ55" s="3078"/>
      <c r="QWK55" s="3078"/>
      <c r="QWL55" s="3078"/>
      <c r="QWM55" s="3078"/>
      <c r="QWN55" s="3078"/>
      <c r="QWO55" s="3075" t="s">
        <v>55</v>
      </c>
      <c r="QWP55" s="3078"/>
      <c r="QWQ55" s="3078"/>
      <c r="QWR55" s="3078"/>
      <c r="QWS55" s="3078"/>
      <c r="QWT55" s="3078"/>
      <c r="QWU55" s="3078"/>
      <c r="QWV55" s="3078"/>
      <c r="QWW55" s="3075" t="s">
        <v>55</v>
      </c>
      <c r="QWX55" s="3078"/>
      <c r="QWY55" s="3078"/>
      <c r="QWZ55" s="3078"/>
      <c r="QXA55" s="3078"/>
      <c r="QXB55" s="3078"/>
      <c r="QXC55" s="3078"/>
      <c r="QXD55" s="3078"/>
      <c r="QXE55" s="3075" t="s">
        <v>55</v>
      </c>
      <c r="QXF55" s="3078"/>
      <c r="QXG55" s="3078"/>
      <c r="QXH55" s="3078"/>
      <c r="QXI55" s="3078"/>
      <c r="QXJ55" s="3078"/>
      <c r="QXK55" s="3078"/>
      <c r="QXL55" s="3078"/>
      <c r="QXM55" s="3075" t="s">
        <v>55</v>
      </c>
      <c r="QXN55" s="3078"/>
      <c r="QXO55" s="3078"/>
      <c r="QXP55" s="3078"/>
      <c r="QXQ55" s="3078"/>
      <c r="QXR55" s="3078"/>
      <c r="QXS55" s="3078"/>
      <c r="QXT55" s="3078"/>
      <c r="QXU55" s="3075" t="s">
        <v>55</v>
      </c>
      <c r="QXV55" s="3078"/>
      <c r="QXW55" s="3078"/>
      <c r="QXX55" s="3078"/>
      <c r="QXY55" s="3078"/>
      <c r="QXZ55" s="3078"/>
      <c r="QYA55" s="3078"/>
      <c r="QYB55" s="3078"/>
      <c r="QYC55" s="3075" t="s">
        <v>55</v>
      </c>
      <c r="QYD55" s="3078"/>
      <c r="QYE55" s="3078"/>
      <c r="QYF55" s="3078"/>
      <c r="QYG55" s="3078"/>
      <c r="QYH55" s="3078"/>
      <c r="QYI55" s="3078"/>
      <c r="QYJ55" s="3078"/>
      <c r="QYK55" s="3075" t="s">
        <v>55</v>
      </c>
      <c r="QYL55" s="3078"/>
      <c r="QYM55" s="3078"/>
      <c r="QYN55" s="3078"/>
      <c r="QYO55" s="3078"/>
      <c r="QYP55" s="3078"/>
      <c r="QYQ55" s="3078"/>
      <c r="QYR55" s="3078"/>
      <c r="QYS55" s="3075" t="s">
        <v>55</v>
      </c>
      <c r="QYT55" s="3078"/>
      <c r="QYU55" s="3078"/>
      <c r="QYV55" s="3078"/>
      <c r="QYW55" s="3078"/>
      <c r="QYX55" s="3078"/>
      <c r="QYY55" s="3078"/>
      <c r="QYZ55" s="3078"/>
      <c r="QZA55" s="3075" t="s">
        <v>55</v>
      </c>
      <c r="QZB55" s="3078"/>
      <c r="QZC55" s="3078"/>
      <c r="QZD55" s="3078"/>
      <c r="QZE55" s="3078"/>
      <c r="QZF55" s="3078"/>
      <c r="QZG55" s="3078"/>
      <c r="QZH55" s="3078"/>
      <c r="QZI55" s="3075" t="s">
        <v>55</v>
      </c>
      <c r="QZJ55" s="3078"/>
      <c r="QZK55" s="3078"/>
      <c r="QZL55" s="3078"/>
      <c r="QZM55" s="3078"/>
      <c r="QZN55" s="3078"/>
      <c r="QZO55" s="3078"/>
      <c r="QZP55" s="3078"/>
      <c r="QZQ55" s="3075" t="s">
        <v>55</v>
      </c>
      <c r="QZR55" s="3078"/>
      <c r="QZS55" s="3078"/>
      <c r="QZT55" s="3078"/>
      <c r="QZU55" s="3078"/>
      <c r="QZV55" s="3078"/>
      <c r="QZW55" s="3078"/>
      <c r="QZX55" s="3078"/>
      <c r="QZY55" s="3075" t="s">
        <v>55</v>
      </c>
      <c r="QZZ55" s="3078"/>
      <c r="RAA55" s="3078"/>
      <c r="RAB55" s="3078"/>
      <c r="RAC55" s="3078"/>
      <c r="RAD55" s="3078"/>
      <c r="RAE55" s="3078"/>
      <c r="RAF55" s="3078"/>
      <c r="RAG55" s="3075" t="s">
        <v>55</v>
      </c>
      <c r="RAH55" s="3078"/>
      <c r="RAI55" s="3078"/>
      <c r="RAJ55" s="3078"/>
      <c r="RAK55" s="3078"/>
      <c r="RAL55" s="3078"/>
      <c r="RAM55" s="3078"/>
      <c r="RAN55" s="3078"/>
      <c r="RAO55" s="3075" t="s">
        <v>55</v>
      </c>
      <c r="RAP55" s="3078"/>
      <c r="RAQ55" s="3078"/>
      <c r="RAR55" s="3078"/>
      <c r="RAS55" s="3078"/>
      <c r="RAT55" s="3078"/>
      <c r="RAU55" s="3078"/>
      <c r="RAV55" s="3078"/>
      <c r="RAW55" s="3075" t="s">
        <v>55</v>
      </c>
      <c r="RAX55" s="3078"/>
      <c r="RAY55" s="3078"/>
      <c r="RAZ55" s="3078"/>
      <c r="RBA55" s="3078"/>
      <c r="RBB55" s="3078"/>
      <c r="RBC55" s="3078"/>
      <c r="RBD55" s="3078"/>
      <c r="RBE55" s="3075" t="s">
        <v>55</v>
      </c>
      <c r="RBF55" s="3078"/>
      <c r="RBG55" s="3078"/>
      <c r="RBH55" s="3078"/>
      <c r="RBI55" s="3078"/>
      <c r="RBJ55" s="3078"/>
      <c r="RBK55" s="3078"/>
      <c r="RBL55" s="3078"/>
      <c r="RBM55" s="3075" t="s">
        <v>55</v>
      </c>
      <c r="RBN55" s="3078"/>
      <c r="RBO55" s="3078"/>
      <c r="RBP55" s="3078"/>
      <c r="RBQ55" s="3078"/>
      <c r="RBR55" s="3078"/>
      <c r="RBS55" s="3078"/>
      <c r="RBT55" s="3078"/>
      <c r="RBU55" s="3075" t="s">
        <v>55</v>
      </c>
      <c r="RBV55" s="3078"/>
      <c r="RBW55" s="3078"/>
      <c r="RBX55" s="3078"/>
      <c r="RBY55" s="3078"/>
      <c r="RBZ55" s="3078"/>
      <c r="RCA55" s="3078"/>
      <c r="RCB55" s="3078"/>
      <c r="RCC55" s="3075" t="s">
        <v>55</v>
      </c>
      <c r="RCD55" s="3078"/>
      <c r="RCE55" s="3078"/>
      <c r="RCF55" s="3078"/>
      <c r="RCG55" s="3078"/>
      <c r="RCH55" s="3078"/>
      <c r="RCI55" s="3078"/>
      <c r="RCJ55" s="3078"/>
      <c r="RCK55" s="3075" t="s">
        <v>55</v>
      </c>
      <c r="RCL55" s="3078"/>
      <c r="RCM55" s="3078"/>
      <c r="RCN55" s="3078"/>
      <c r="RCO55" s="3078"/>
      <c r="RCP55" s="3078"/>
      <c r="RCQ55" s="3078"/>
      <c r="RCR55" s="3078"/>
      <c r="RCS55" s="3075" t="s">
        <v>55</v>
      </c>
      <c r="RCT55" s="3078"/>
      <c r="RCU55" s="3078"/>
      <c r="RCV55" s="3078"/>
      <c r="RCW55" s="3078"/>
      <c r="RCX55" s="3078"/>
      <c r="RCY55" s="3078"/>
      <c r="RCZ55" s="3078"/>
      <c r="RDA55" s="3075" t="s">
        <v>55</v>
      </c>
      <c r="RDB55" s="3078"/>
      <c r="RDC55" s="3078"/>
      <c r="RDD55" s="3078"/>
      <c r="RDE55" s="3078"/>
      <c r="RDF55" s="3078"/>
      <c r="RDG55" s="3078"/>
      <c r="RDH55" s="3078"/>
      <c r="RDI55" s="3075" t="s">
        <v>55</v>
      </c>
      <c r="RDJ55" s="3078"/>
      <c r="RDK55" s="3078"/>
      <c r="RDL55" s="3078"/>
      <c r="RDM55" s="3078"/>
      <c r="RDN55" s="3078"/>
      <c r="RDO55" s="3078"/>
      <c r="RDP55" s="3078"/>
      <c r="RDQ55" s="3075" t="s">
        <v>55</v>
      </c>
      <c r="RDR55" s="3078"/>
      <c r="RDS55" s="3078"/>
      <c r="RDT55" s="3078"/>
      <c r="RDU55" s="3078"/>
      <c r="RDV55" s="3078"/>
      <c r="RDW55" s="3078"/>
      <c r="RDX55" s="3078"/>
      <c r="RDY55" s="3075" t="s">
        <v>55</v>
      </c>
      <c r="RDZ55" s="3078"/>
      <c r="REA55" s="3078"/>
      <c r="REB55" s="3078"/>
      <c r="REC55" s="3078"/>
      <c r="RED55" s="3078"/>
      <c r="REE55" s="3078"/>
      <c r="REF55" s="3078"/>
      <c r="REG55" s="3075" t="s">
        <v>55</v>
      </c>
      <c r="REH55" s="3078"/>
      <c r="REI55" s="3078"/>
      <c r="REJ55" s="3078"/>
      <c r="REK55" s="3078"/>
      <c r="REL55" s="3078"/>
      <c r="REM55" s="3078"/>
      <c r="REN55" s="3078"/>
      <c r="REO55" s="3075" t="s">
        <v>55</v>
      </c>
      <c r="REP55" s="3078"/>
      <c r="REQ55" s="3078"/>
      <c r="RER55" s="3078"/>
      <c r="RES55" s="3078"/>
      <c r="RET55" s="3078"/>
      <c r="REU55" s="3078"/>
      <c r="REV55" s="3078"/>
      <c r="REW55" s="3075" t="s">
        <v>55</v>
      </c>
      <c r="REX55" s="3078"/>
      <c r="REY55" s="3078"/>
      <c r="REZ55" s="3078"/>
      <c r="RFA55" s="3078"/>
      <c r="RFB55" s="3078"/>
      <c r="RFC55" s="3078"/>
      <c r="RFD55" s="3078"/>
      <c r="RFE55" s="3075" t="s">
        <v>55</v>
      </c>
      <c r="RFF55" s="3078"/>
      <c r="RFG55" s="3078"/>
      <c r="RFH55" s="3078"/>
      <c r="RFI55" s="3078"/>
      <c r="RFJ55" s="3078"/>
      <c r="RFK55" s="3078"/>
      <c r="RFL55" s="3078"/>
      <c r="RFM55" s="3075" t="s">
        <v>55</v>
      </c>
      <c r="RFN55" s="3078"/>
      <c r="RFO55" s="3078"/>
      <c r="RFP55" s="3078"/>
      <c r="RFQ55" s="3078"/>
      <c r="RFR55" s="3078"/>
      <c r="RFS55" s="3078"/>
      <c r="RFT55" s="3078"/>
      <c r="RFU55" s="3075" t="s">
        <v>55</v>
      </c>
      <c r="RFV55" s="3078"/>
      <c r="RFW55" s="3078"/>
      <c r="RFX55" s="3078"/>
      <c r="RFY55" s="3078"/>
      <c r="RFZ55" s="3078"/>
      <c r="RGA55" s="3078"/>
      <c r="RGB55" s="3078"/>
      <c r="RGC55" s="3075" t="s">
        <v>55</v>
      </c>
      <c r="RGD55" s="3078"/>
      <c r="RGE55" s="3078"/>
      <c r="RGF55" s="3078"/>
      <c r="RGG55" s="3078"/>
      <c r="RGH55" s="3078"/>
      <c r="RGI55" s="3078"/>
      <c r="RGJ55" s="3078"/>
      <c r="RGK55" s="3075" t="s">
        <v>55</v>
      </c>
      <c r="RGL55" s="3078"/>
      <c r="RGM55" s="3078"/>
      <c r="RGN55" s="3078"/>
      <c r="RGO55" s="3078"/>
      <c r="RGP55" s="3078"/>
      <c r="RGQ55" s="3078"/>
      <c r="RGR55" s="3078"/>
      <c r="RGS55" s="3075" t="s">
        <v>55</v>
      </c>
      <c r="RGT55" s="3078"/>
      <c r="RGU55" s="3078"/>
      <c r="RGV55" s="3078"/>
      <c r="RGW55" s="3078"/>
      <c r="RGX55" s="3078"/>
      <c r="RGY55" s="3078"/>
      <c r="RGZ55" s="3078"/>
      <c r="RHA55" s="3075" t="s">
        <v>55</v>
      </c>
      <c r="RHB55" s="3078"/>
      <c r="RHC55" s="3078"/>
      <c r="RHD55" s="3078"/>
      <c r="RHE55" s="3078"/>
      <c r="RHF55" s="3078"/>
      <c r="RHG55" s="3078"/>
      <c r="RHH55" s="3078"/>
      <c r="RHI55" s="3075" t="s">
        <v>55</v>
      </c>
      <c r="RHJ55" s="3078"/>
      <c r="RHK55" s="3078"/>
      <c r="RHL55" s="3078"/>
      <c r="RHM55" s="3078"/>
      <c r="RHN55" s="3078"/>
      <c r="RHO55" s="3078"/>
      <c r="RHP55" s="3078"/>
      <c r="RHQ55" s="3075" t="s">
        <v>55</v>
      </c>
      <c r="RHR55" s="3078"/>
      <c r="RHS55" s="3078"/>
      <c r="RHT55" s="3078"/>
      <c r="RHU55" s="3078"/>
      <c r="RHV55" s="3078"/>
      <c r="RHW55" s="3078"/>
      <c r="RHX55" s="3078"/>
      <c r="RHY55" s="3075" t="s">
        <v>55</v>
      </c>
      <c r="RHZ55" s="3078"/>
      <c r="RIA55" s="3078"/>
      <c r="RIB55" s="3078"/>
      <c r="RIC55" s="3078"/>
      <c r="RID55" s="3078"/>
      <c r="RIE55" s="3078"/>
      <c r="RIF55" s="3078"/>
      <c r="RIG55" s="3075" t="s">
        <v>55</v>
      </c>
      <c r="RIH55" s="3078"/>
      <c r="RII55" s="3078"/>
      <c r="RIJ55" s="3078"/>
      <c r="RIK55" s="3078"/>
      <c r="RIL55" s="3078"/>
      <c r="RIM55" s="3078"/>
      <c r="RIN55" s="3078"/>
      <c r="RIO55" s="3075" t="s">
        <v>55</v>
      </c>
      <c r="RIP55" s="3078"/>
      <c r="RIQ55" s="3078"/>
      <c r="RIR55" s="3078"/>
      <c r="RIS55" s="3078"/>
      <c r="RIT55" s="3078"/>
      <c r="RIU55" s="3078"/>
      <c r="RIV55" s="3078"/>
      <c r="RIW55" s="3075" t="s">
        <v>55</v>
      </c>
      <c r="RIX55" s="3078"/>
      <c r="RIY55" s="3078"/>
      <c r="RIZ55" s="3078"/>
      <c r="RJA55" s="3078"/>
      <c r="RJB55" s="3078"/>
      <c r="RJC55" s="3078"/>
      <c r="RJD55" s="3078"/>
      <c r="RJE55" s="3075" t="s">
        <v>55</v>
      </c>
      <c r="RJF55" s="3078"/>
      <c r="RJG55" s="3078"/>
      <c r="RJH55" s="3078"/>
      <c r="RJI55" s="3078"/>
      <c r="RJJ55" s="3078"/>
      <c r="RJK55" s="3078"/>
      <c r="RJL55" s="3078"/>
      <c r="RJM55" s="3075" t="s">
        <v>55</v>
      </c>
      <c r="RJN55" s="3078"/>
      <c r="RJO55" s="3078"/>
      <c r="RJP55" s="3078"/>
      <c r="RJQ55" s="3078"/>
      <c r="RJR55" s="3078"/>
      <c r="RJS55" s="3078"/>
      <c r="RJT55" s="3078"/>
      <c r="RJU55" s="3075" t="s">
        <v>55</v>
      </c>
      <c r="RJV55" s="3078"/>
      <c r="RJW55" s="3078"/>
      <c r="RJX55" s="3078"/>
      <c r="RJY55" s="3078"/>
      <c r="RJZ55" s="3078"/>
      <c r="RKA55" s="3078"/>
      <c r="RKB55" s="3078"/>
      <c r="RKC55" s="3075" t="s">
        <v>55</v>
      </c>
      <c r="RKD55" s="3078"/>
      <c r="RKE55" s="3078"/>
      <c r="RKF55" s="3078"/>
      <c r="RKG55" s="3078"/>
      <c r="RKH55" s="3078"/>
      <c r="RKI55" s="3078"/>
      <c r="RKJ55" s="3078"/>
      <c r="RKK55" s="3075" t="s">
        <v>55</v>
      </c>
      <c r="RKL55" s="3078"/>
      <c r="RKM55" s="3078"/>
      <c r="RKN55" s="3078"/>
      <c r="RKO55" s="3078"/>
      <c r="RKP55" s="3078"/>
      <c r="RKQ55" s="3078"/>
      <c r="RKR55" s="3078"/>
      <c r="RKS55" s="3075" t="s">
        <v>55</v>
      </c>
      <c r="RKT55" s="3078"/>
      <c r="RKU55" s="3078"/>
      <c r="RKV55" s="3078"/>
      <c r="RKW55" s="3078"/>
      <c r="RKX55" s="3078"/>
      <c r="RKY55" s="3078"/>
      <c r="RKZ55" s="3078"/>
      <c r="RLA55" s="3075" t="s">
        <v>55</v>
      </c>
      <c r="RLB55" s="3078"/>
      <c r="RLC55" s="3078"/>
      <c r="RLD55" s="3078"/>
      <c r="RLE55" s="3078"/>
      <c r="RLF55" s="3078"/>
      <c r="RLG55" s="3078"/>
      <c r="RLH55" s="3078"/>
      <c r="RLI55" s="3075" t="s">
        <v>55</v>
      </c>
      <c r="RLJ55" s="3078"/>
      <c r="RLK55" s="3078"/>
      <c r="RLL55" s="3078"/>
      <c r="RLM55" s="3078"/>
      <c r="RLN55" s="3078"/>
      <c r="RLO55" s="3078"/>
      <c r="RLP55" s="3078"/>
      <c r="RLQ55" s="3075" t="s">
        <v>55</v>
      </c>
      <c r="RLR55" s="3078"/>
      <c r="RLS55" s="3078"/>
      <c r="RLT55" s="3078"/>
      <c r="RLU55" s="3078"/>
      <c r="RLV55" s="3078"/>
      <c r="RLW55" s="3078"/>
      <c r="RLX55" s="3078"/>
      <c r="RLY55" s="3075" t="s">
        <v>55</v>
      </c>
      <c r="RLZ55" s="3078"/>
      <c r="RMA55" s="3078"/>
      <c r="RMB55" s="3078"/>
      <c r="RMC55" s="3078"/>
      <c r="RMD55" s="3078"/>
      <c r="RME55" s="3078"/>
      <c r="RMF55" s="3078"/>
      <c r="RMG55" s="3075" t="s">
        <v>55</v>
      </c>
      <c r="RMH55" s="3078"/>
      <c r="RMI55" s="3078"/>
      <c r="RMJ55" s="3078"/>
      <c r="RMK55" s="3078"/>
      <c r="RML55" s="3078"/>
      <c r="RMM55" s="3078"/>
      <c r="RMN55" s="3078"/>
      <c r="RMO55" s="3075" t="s">
        <v>55</v>
      </c>
      <c r="RMP55" s="3078"/>
      <c r="RMQ55" s="3078"/>
      <c r="RMR55" s="3078"/>
      <c r="RMS55" s="3078"/>
      <c r="RMT55" s="3078"/>
      <c r="RMU55" s="3078"/>
      <c r="RMV55" s="3078"/>
      <c r="RMW55" s="3075" t="s">
        <v>55</v>
      </c>
      <c r="RMX55" s="3078"/>
      <c r="RMY55" s="3078"/>
      <c r="RMZ55" s="3078"/>
      <c r="RNA55" s="3078"/>
      <c r="RNB55" s="3078"/>
      <c r="RNC55" s="3078"/>
      <c r="RND55" s="3078"/>
      <c r="RNE55" s="3075" t="s">
        <v>55</v>
      </c>
      <c r="RNF55" s="3078"/>
      <c r="RNG55" s="3078"/>
      <c r="RNH55" s="3078"/>
      <c r="RNI55" s="3078"/>
      <c r="RNJ55" s="3078"/>
      <c r="RNK55" s="3078"/>
      <c r="RNL55" s="3078"/>
      <c r="RNM55" s="3075" t="s">
        <v>55</v>
      </c>
      <c r="RNN55" s="3078"/>
      <c r="RNO55" s="3078"/>
      <c r="RNP55" s="3078"/>
      <c r="RNQ55" s="3078"/>
      <c r="RNR55" s="3078"/>
      <c r="RNS55" s="3078"/>
      <c r="RNT55" s="3078"/>
      <c r="RNU55" s="3075" t="s">
        <v>55</v>
      </c>
      <c r="RNV55" s="3078"/>
      <c r="RNW55" s="3078"/>
      <c r="RNX55" s="3078"/>
      <c r="RNY55" s="3078"/>
      <c r="RNZ55" s="3078"/>
      <c r="ROA55" s="3078"/>
      <c r="ROB55" s="3078"/>
      <c r="ROC55" s="3075" t="s">
        <v>55</v>
      </c>
      <c r="ROD55" s="3078"/>
      <c r="ROE55" s="3078"/>
      <c r="ROF55" s="3078"/>
      <c r="ROG55" s="3078"/>
      <c r="ROH55" s="3078"/>
      <c r="ROI55" s="3078"/>
      <c r="ROJ55" s="3078"/>
      <c r="ROK55" s="3075" t="s">
        <v>55</v>
      </c>
      <c r="ROL55" s="3078"/>
      <c r="ROM55" s="3078"/>
      <c r="RON55" s="3078"/>
      <c r="ROO55" s="3078"/>
      <c r="ROP55" s="3078"/>
      <c r="ROQ55" s="3078"/>
      <c r="ROR55" s="3078"/>
      <c r="ROS55" s="3075" t="s">
        <v>55</v>
      </c>
      <c r="ROT55" s="3078"/>
      <c r="ROU55" s="3078"/>
      <c r="ROV55" s="3078"/>
      <c r="ROW55" s="3078"/>
      <c r="ROX55" s="3078"/>
      <c r="ROY55" s="3078"/>
      <c r="ROZ55" s="3078"/>
      <c r="RPA55" s="3075" t="s">
        <v>55</v>
      </c>
      <c r="RPB55" s="3078"/>
      <c r="RPC55" s="3078"/>
      <c r="RPD55" s="3078"/>
      <c r="RPE55" s="3078"/>
      <c r="RPF55" s="3078"/>
      <c r="RPG55" s="3078"/>
      <c r="RPH55" s="3078"/>
      <c r="RPI55" s="3075" t="s">
        <v>55</v>
      </c>
      <c r="RPJ55" s="3078"/>
      <c r="RPK55" s="3078"/>
      <c r="RPL55" s="3078"/>
      <c r="RPM55" s="3078"/>
      <c r="RPN55" s="3078"/>
      <c r="RPO55" s="3078"/>
      <c r="RPP55" s="3078"/>
      <c r="RPQ55" s="3075" t="s">
        <v>55</v>
      </c>
      <c r="RPR55" s="3078"/>
      <c r="RPS55" s="3078"/>
      <c r="RPT55" s="3078"/>
      <c r="RPU55" s="3078"/>
      <c r="RPV55" s="3078"/>
      <c r="RPW55" s="3078"/>
      <c r="RPX55" s="3078"/>
      <c r="RPY55" s="3075" t="s">
        <v>55</v>
      </c>
      <c r="RPZ55" s="3078"/>
      <c r="RQA55" s="3078"/>
      <c r="RQB55" s="3078"/>
      <c r="RQC55" s="3078"/>
      <c r="RQD55" s="3078"/>
      <c r="RQE55" s="3078"/>
      <c r="RQF55" s="3078"/>
      <c r="RQG55" s="3075" t="s">
        <v>55</v>
      </c>
      <c r="RQH55" s="3078"/>
      <c r="RQI55" s="3078"/>
      <c r="RQJ55" s="3078"/>
      <c r="RQK55" s="3078"/>
      <c r="RQL55" s="3078"/>
      <c r="RQM55" s="3078"/>
      <c r="RQN55" s="3078"/>
      <c r="RQO55" s="3075" t="s">
        <v>55</v>
      </c>
      <c r="RQP55" s="3078"/>
      <c r="RQQ55" s="3078"/>
      <c r="RQR55" s="3078"/>
      <c r="RQS55" s="3078"/>
      <c r="RQT55" s="3078"/>
      <c r="RQU55" s="3078"/>
      <c r="RQV55" s="3078"/>
      <c r="RQW55" s="3075" t="s">
        <v>55</v>
      </c>
      <c r="RQX55" s="3078"/>
      <c r="RQY55" s="3078"/>
      <c r="RQZ55" s="3078"/>
      <c r="RRA55" s="3078"/>
      <c r="RRB55" s="3078"/>
      <c r="RRC55" s="3078"/>
      <c r="RRD55" s="3078"/>
      <c r="RRE55" s="3075" t="s">
        <v>55</v>
      </c>
      <c r="RRF55" s="3078"/>
      <c r="RRG55" s="3078"/>
      <c r="RRH55" s="3078"/>
      <c r="RRI55" s="3078"/>
      <c r="RRJ55" s="3078"/>
      <c r="RRK55" s="3078"/>
      <c r="RRL55" s="3078"/>
      <c r="RRM55" s="3075" t="s">
        <v>55</v>
      </c>
      <c r="RRN55" s="3078"/>
      <c r="RRO55" s="3078"/>
      <c r="RRP55" s="3078"/>
      <c r="RRQ55" s="3078"/>
      <c r="RRR55" s="3078"/>
      <c r="RRS55" s="3078"/>
      <c r="RRT55" s="3078"/>
      <c r="RRU55" s="3075" t="s">
        <v>55</v>
      </c>
      <c r="RRV55" s="3078"/>
      <c r="RRW55" s="3078"/>
      <c r="RRX55" s="3078"/>
      <c r="RRY55" s="3078"/>
      <c r="RRZ55" s="3078"/>
      <c r="RSA55" s="3078"/>
      <c r="RSB55" s="3078"/>
      <c r="RSC55" s="3075" t="s">
        <v>55</v>
      </c>
      <c r="RSD55" s="3078"/>
      <c r="RSE55" s="3078"/>
      <c r="RSF55" s="3078"/>
      <c r="RSG55" s="3078"/>
      <c r="RSH55" s="3078"/>
      <c r="RSI55" s="3078"/>
      <c r="RSJ55" s="3078"/>
      <c r="RSK55" s="3075" t="s">
        <v>55</v>
      </c>
      <c r="RSL55" s="3078"/>
      <c r="RSM55" s="3078"/>
      <c r="RSN55" s="3078"/>
      <c r="RSO55" s="3078"/>
      <c r="RSP55" s="3078"/>
      <c r="RSQ55" s="3078"/>
      <c r="RSR55" s="3078"/>
      <c r="RSS55" s="3075" t="s">
        <v>55</v>
      </c>
      <c r="RST55" s="3078"/>
      <c r="RSU55" s="3078"/>
      <c r="RSV55" s="3078"/>
      <c r="RSW55" s="3078"/>
      <c r="RSX55" s="3078"/>
      <c r="RSY55" s="3078"/>
      <c r="RSZ55" s="3078"/>
      <c r="RTA55" s="3075" t="s">
        <v>55</v>
      </c>
      <c r="RTB55" s="3078"/>
      <c r="RTC55" s="3078"/>
      <c r="RTD55" s="3078"/>
      <c r="RTE55" s="3078"/>
      <c r="RTF55" s="3078"/>
      <c r="RTG55" s="3078"/>
      <c r="RTH55" s="3078"/>
      <c r="RTI55" s="3075" t="s">
        <v>55</v>
      </c>
      <c r="RTJ55" s="3078"/>
      <c r="RTK55" s="3078"/>
      <c r="RTL55" s="3078"/>
      <c r="RTM55" s="3078"/>
      <c r="RTN55" s="3078"/>
      <c r="RTO55" s="3078"/>
      <c r="RTP55" s="3078"/>
      <c r="RTQ55" s="3075" t="s">
        <v>55</v>
      </c>
      <c r="RTR55" s="3078"/>
      <c r="RTS55" s="3078"/>
      <c r="RTT55" s="3078"/>
      <c r="RTU55" s="3078"/>
      <c r="RTV55" s="3078"/>
      <c r="RTW55" s="3078"/>
      <c r="RTX55" s="3078"/>
      <c r="RTY55" s="3075" t="s">
        <v>55</v>
      </c>
      <c r="RTZ55" s="3078"/>
      <c r="RUA55" s="3078"/>
      <c r="RUB55" s="3078"/>
      <c r="RUC55" s="3078"/>
      <c r="RUD55" s="3078"/>
      <c r="RUE55" s="3078"/>
      <c r="RUF55" s="3078"/>
      <c r="RUG55" s="3075" t="s">
        <v>55</v>
      </c>
      <c r="RUH55" s="3078"/>
      <c r="RUI55" s="3078"/>
      <c r="RUJ55" s="3078"/>
      <c r="RUK55" s="3078"/>
      <c r="RUL55" s="3078"/>
      <c r="RUM55" s="3078"/>
      <c r="RUN55" s="3078"/>
      <c r="RUO55" s="3075" t="s">
        <v>55</v>
      </c>
      <c r="RUP55" s="3078"/>
      <c r="RUQ55" s="3078"/>
      <c r="RUR55" s="3078"/>
      <c r="RUS55" s="3078"/>
      <c r="RUT55" s="3078"/>
      <c r="RUU55" s="3078"/>
      <c r="RUV55" s="3078"/>
      <c r="RUW55" s="3075" t="s">
        <v>55</v>
      </c>
      <c r="RUX55" s="3078"/>
      <c r="RUY55" s="3078"/>
      <c r="RUZ55" s="3078"/>
      <c r="RVA55" s="3078"/>
      <c r="RVB55" s="3078"/>
      <c r="RVC55" s="3078"/>
      <c r="RVD55" s="3078"/>
      <c r="RVE55" s="3075" t="s">
        <v>55</v>
      </c>
      <c r="RVF55" s="3078"/>
      <c r="RVG55" s="3078"/>
      <c r="RVH55" s="3078"/>
      <c r="RVI55" s="3078"/>
      <c r="RVJ55" s="3078"/>
      <c r="RVK55" s="3078"/>
      <c r="RVL55" s="3078"/>
      <c r="RVM55" s="3075" t="s">
        <v>55</v>
      </c>
      <c r="RVN55" s="3078"/>
      <c r="RVO55" s="3078"/>
      <c r="RVP55" s="3078"/>
      <c r="RVQ55" s="3078"/>
      <c r="RVR55" s="3078"/>
      <c r="RVS55" s="3078"/>
      <c r="RVT55" s="3078"/>
      <c r="RVU55" s="3075" t="s">
        <v>55</v>
      </c>
      <c r="RVV55" s="3078"/>
      <c r="RVW55" s="3078"/>
      <c r="RVX55" s="3078"/>
      <c r="RVY55" s="3078"/>
      <c r="RVZ55" s="3078"/>
      <c r="RWA55" s="3078"/>
      <c r="RWB55" s="3078"/>
      <c r="RWC55" s="3075" t="s">
        <v>55</v>
      </c>
      <c r="RWD55" s="3078"/>
      <c r="RWE55" s="3078"/>
      <c r="RWF55" s="3078"/>
      <c r="RWG55" s="3078"/>
      <c r="RWH55" s="3078"/>
      <c r="RWI55" s="3078"/>
      <c r="RWJ55" s="3078"/>
      <c r="RWK55" s="3075" t="s">
        <v>55</v>
      </c>
      <c r="RWL55" s="3078"/>
      <c r="RWM55" s="3078"/>
      <c r="RWN55" s="3078"/>
      <c r="RWO55" s="3078"/>
      <c r="RWP55" s="3078"/>
      <c r="RWQ55" s="3078"/>
      <c r="RWR55" s="3078"/>
      <c r="RWS55" s="3075" t="s">
        <v>55</v>
      </c>
      <c r="RWT55" s="3078"/>
      <c r="RWU55" s="3078"/>
      <c r="RWV55" s="3078"/>
      <c r="RWW55" s="3078"/>
      <c r="RWX55" s="3078"/>
      <c r="RWY55" s="3078"/>
      <c r="RWZ55" s="3078"/>
      <c r="RXA55" s="3075" t="s">
        <v>55</v>
      </c>
      <c r="RXB55" s="3078"/>
      <c r="RXC55" s="3078"/>
      <c r="RXD55" s="3078"/>
      <c r="RXE55" s="3078"/>
      <c r="RXF55" s="3078"/>
      <c r="RXG55" s="3078"/>
      <c r="RXH55" s="3078"/>
      <c r="RXI55" s="3075" t="s">
        <v>55</v>
      </c>
      <c r="RXJ55" s="3078"/>
      <c r="RXK55" s="3078"/>
      <c r="RXL55" s="3078"/>
      <c r="RXM55" s="3078"/>
      <c r="RXN55" s="3078"/>
      <c r="RXO55" s="3078"/>
      <c r="RXP55" s="3078"/>
      <c r="RXQ55" s="3075" t="s">
        <v>55</v>
      </c>
      <c r="RXR55" s="3078"/>
      <c r="RXS55" s="3078"/>
      <c r="RXT55" s="3078"/>
      <c r="RXU55" s="3078"/>
      <c r="RXV55" s="3078"/>
      <c r="RXW55" s="3078"/>
      <c r="RXX55" s="3078"/>
      <c r="RXY55" s="3075" t="s">
        <v>55</v>
      </c>
      <c r="RXZ55" s="3078"/>
      <c r="RYA55" s="3078"/>
      <c r="RYB55" s="3078"/>
      <c r="RYC55" s="3078"/>
      <c r="RYD55" s="3078"/>
      <c r="RYE55" s="3078"/>
      <c r="RYF55" s="3078"/>
      <c r="RYG55" s="3075" t="s">
        <v>55</v>
      </c>
      <c r="RYH55" s="3078"/>
      <c r="RYI55" s="3078"/>
      <c r="RYJ55" s="3078"/>
      <c r="RYK55" s="3078"/>
      <c r="RYL55" s="3078"/>
      <c r="RYM55" s="3078"/>
      <c r="RYN55" s="3078"/>
      <c r="RYO55" s="3075" t="s">
        <v>55</v>
      </c>
      <c r="RYP55" s="3078"/>
      <c r="RYQ55" s="3078"/>
      <c r="RYR55" s="3078"/>
      <c r="RYS55" s="3078"/>
      <c r="RYT55" s="3078"/>
      <c r="RYU55" s="3078"/>
      <c r="RYV55" s="3078"/>
      <c r="RYW55" s="3075" t="s">
        <v>55</v>
      </c>
      <c r="RYX55" s="3078"/>
      <c r="RYY55" s="3078"/>
      <c r="RYZ55" s="3078"/>
      <c r="RZA55" s="3078"/>
      <c r="RZB55" s="3078"/>
      <c r="RZC55" s="3078"/>
      <c r="RZD55" s="3078"/>
      <c r="RZE55" s="3075" t="s">
        <v>55</v>
      </c>
      <c r="RZF55" s="3078"/>
      <c r="RZG55" s="3078"/>
      <c r="RZH55" s="3078"/>
      <c r="RZI55" s="3078"/>
      <c r="RZJ55" s="3078"/>
      <c r="RZK55" s="3078"/>
      <c r="RZL55" s="3078"/>
      <c r="RZM55" s="3075" t="s">
        <v>55</v>
      </c>
      <c r="RZN55" s="3078"/>
      <c r="RZO55" s="3078"/>
      <c r="RZP55" s="3078"/>
      <c r="RZQ55" s="3078"/>
      <c r="RZR55" s="3078"/>
      <c r="RZS55" s="3078"/>
      <c r="RZT55" s="3078"/>
      <c r="RZU55" s="3075" t="s">
        <v>55</v>
      </c>
      <c r="RZV55" s="3078"/>
      <c r="RZW55" s="3078"/>
      <c r="RZX55" s="3078"/>
      <c r="RZY55" s="3078"/>
      <c r="RZZ55" s="3078"/>
      <c r="SAA55" s="3078"/>
      <c r="SAB55" s="3078"/>
      <c r="SAC55" s="3075" t="s">
        <v>55</v>
      </c>
      <c r="SAD55" s="3078"/>
      <c r="SAE55" s="3078"/>
      <c r="SAF55" s="3078"/>
      <c r="SAG55" s="3078"/>
      <c r="SAH55" s="3078"/>
      <c r="SAI55" s="3078"/>
      <c r="SAJ55" s="3078"/>
      <c r="SAK55" s="3075" t="s">
        <v>55</v>
      </c>
      <c r="SAL55" s="3078"/>
      <c r="SAM55" s="3078"/>
      <c r="SAN55" s="3078"/>
      <c r="SAO55" s="3078"/>
      <c r="SAP55" s="3078"/>
      <c r="SAQ55" s="3078"/>
      <c r="SAR55" s="3078"/>
      <c r="SAS55" s="3075" t="s">
        <v>55</v>
      </c>
      <c r="SAT55" s="3078"/>
      <c r="SAU55" s="3078"/>
      <c r="SAV55" s="3078"/>
      <c r="SAW55" s="3078"/>
      <c r="SAX55" s="3078"/>
      <c r="SAY55" s="3078"/>
      <c r="SAZ55" s="3078"/>
      <c r="SBA55" s="3075" t="s">
        <v>55</v>
      </c>
      <c r="SBB55" s="3078"/>
      <c r="SBC55" s="3078"/>
      <c r="SBD55" s="3078"/>
      <c r="SBE55" s="3078"/>
      <c r="SBF55" s="3078"/>
      <c r="SBG55" s="3078"/>
      <c r="SBH55" s="3078"/>
      <c r="SBI55" s="3075" t="s">
        <v>55</v>
      </c>
      <c r="SBJ55" s="3078"/>
      <c r="SBK55" s="3078"/>
      <c r="SBL55" s="3078"/>
      <c r="SBM55" s="3078"/>
      <c r="SBN55" s="3078"/>
      <c r="SBO55" s="3078"/>
      <c r="SBP55" s="3078"/>
      <c r="SBQ55" s="3075" t="s">
        <v>55</v>
      </c>
      <c r="SBR55" s="3078"/>
      <c r="SBS55" s="3078"/>
      <c r="SBT55" s="3078"/>
      <c r="SBU55" s="3078"/>
      <c r="SBV55" s="3078"/>
      <c r="SBW55" s="3078"/>
      <c r="SBX55" s="3078"/>
      <c r="SBY55" s="3075" t="s">
        <v>55</v>
      </c>
      <c r="SBZ55" s="3078"/>
      <c r="SCA55" s="3078"/>
      <c r="SCB55" s="3078"/>
      <c r="SCC55" s="3078"/>
      <c r="SCD55" s="3078"/>
      <c r="SCE55" s="3078"/>
      <c r="SCF55" s="3078"/>
      <c r="SCG55" s="3075" t="s">
        <v>55</v>
      </c>
      <c r="SCH55" s="3078"/>
      <c r="SCI55" s="3078"/>
      <c r="SCJ55" s="3078"/>
      <c r="SCK55" s="3078"/>
      <c r="SCL55" s="3078"/>
      <c r="SCM55" s="3078"/>
      <c r="SCN55" s="3078"/>
      <c r="SCO55" s="3075" t="s">
        <v>55</v>
      </c>
      <c r="SCP55" s="3078"/>
      <c r="SCQ55" s="3078"/>
      <c r="SCR55" s="3078"/>
      <c r="SCS55" s="3078"/>
      <c r="SCT55" s="3078"/>
      <c r="SCU55" s="3078"/>
      <c r="SCV55" s="3078"/>
      <c r="SCW55" s="3075" t="s">
        <v>55</v>
      </c>
      <c r="SCX55" s="3078"/>
      <c r="SCY55" s="3078"/>
      <c r="SCZ55" s="3078"/>
      <c r="SDA55" s="3078"/>
      <c r="SDB55" s="3078"/>
      <c r="SDC55" s="3078"/>
      <c r="SDD55" s="3078"/>
      <c r="SDE55" s="3075" t="s">
        <v>55</v>
      </c>
      <c r="SDF55" s="3078"/>
      <c r="SDG55" s="3078"/>
      <c r="SDH55" s="3078"/>
      <c r="SDI55" s="3078"/>
      <c r="SDJ55" s="3078"/>
      <c r="SDK55" s="3078"/>
      <c r="SDL55" s="3078"/>
      <c r="SDM55" s="3075" t="s">
        <v>55</v>
      </c>
      <c r="SDN55" s="3078"/>
      <c r="SDO55" s="3078"/>
      <c r="SDP55" s="3078"/>
      <c r="SDQ55" s="3078"/>
      <c r="SDR55" s="3078"/>
      <c r="SDS55" s="3078"/>
      <c r="SDT55" s="3078"/>
      <c r="SDU55" s="3075" t="s">
        <v>55</v>
      </c>
      <c r="SDV55" s="3078"/>
      <c r="SDW55" s="3078"/>
      <c r="SDX55" s="3078"/>
      <c r="SDY55" s="3078"/>
      <c r="SDZ55" s="3078"/>
      <c r="SEA55" s="3078"/>
      <c r="SEB55" s="3078"/>
      <c r="SEC55" s="3075" t="s">
        <v>55</v>
      </c>
      <c r="SED55" s="3078"/>
      <c r="SEE55" s="3078"/>
      <c r="SEF55" s="3078"/>
      <c r="SEG55" s="3078"/>
      <c r="SEH55" s="3078"/>
      <c r="SEI55" s="3078"/>
      <c r="SEJ55" s="3078"/>
      <c r="SEK55" s="3075" t="s">
        <v>55</v>
      </c>
      <c r="SEL55" s="3078"/>
      <c r="SEM55" s="3078"/>
      <c r="SEN55" s="3078"/>
      <c r="SEO55" s="3078"/>
      <c r="SEP55" s="3078"/>
      <c r="SEQ55" s="3078"/>
      <c r="SER55" s="3078"/>
      <c r="SES55" s="3075" t="s">
        <v>55</v>
      </c>
      <c r="SET55" s="3078"/>
      <c r="SEU55" s="3078"/>
      <c r="SEV55" s="3078"/>
      <c r="SEW55" s="3078"/>
      <c r="SEX55" s="3078"/>
      <c r="SEY55" s="3078"/>
      <c r="SEZ55" s="3078"/>
      <c r="SFA55" s="3075" t="s">
        <v>55</v>
      </c>
      <c r="SFB55" s="3078"/>
      <c r="SFC55" s="3078"/>
      <c r="SFD55" s="3078"/>
      <c r="SFE55" s="3078"/>
      <c r="SFF55" s="3078"/>
      <c r="SFG55" s="3078"/>
      <c r="SFH55" s="3078"/>
      <c r="SFI55" s="3075" t="s">
        <v>55</v>
      </c>
      <c r="SFJ55" s="3078"/>
      <c r="SFK55" s="3078"/>
      <c r="SFL55" s="3078"/>
      <c r="SFM55" s="3078"/>
      <c r="SFN55" s="3078"/>
      <c r="SFO55" s="3078"/>
      <c r="SFP55" s="3078"/>
      <c r="SFQ55" s="3075" t="s">
        <v>55</v>
      </c>
      <c r="SFR55" s="3078"/>
      <c r="SFS55" s="3078"/>
      <c r="SFT55" s="3078"/>
      <c r="SFU55" s="3078"/>
      <c r="SFV55" s="3078"/>
      <c r="SFW55" s="3078"/>
      <c r="SFX55" s="3078"/>
      <c r="SFY55" s="3075" t="s">
        <v>55</v>
      </c>
      <c r="SFZ55" s="3078"/>
      <c r="SGA55" s="3078"/>
      <c r="SGB55" s="3078"/>
      <c r="SGC55" s="3078"/>
      <c r="SGD55" s="3078"/>
      <c r="SGE55" s="3078"/>
      <c r="SGF55" s="3078"/>
      <c r="SGG55" s="3075" t="s">
        <v>55</v>
      </c>
      <c r="SGH55" s="3078"/>
      <c r="SGI55" s="3078"/>
      <c r="SGJ55" s="3078"/>
      <c r="SGK55" s="3078"/>
      <c r="SGL55" s="3078"/>
      <c r="SGM55" s="3078"/>
      <c r="SGN55" s="3078"/>
      <c r="SGO55" s="3075" t="s">
        <v>55</v>
      </c>
      <c r="SGP55" s="3078"/>
      <c r="SGQ55" s="3078"/>
      <c r="SGR55" s="3078"/>
      <c r="SGS55" s="3078"/>
      <c r="SGT55" s="3078"/>
      <c r="SGU55" s="3078"/>
      <c r="SGV55" s="3078"/>
      <c r="SGW55" s="3075" t="s">
        <v>55</v>
      </c>
      <c r="SGX55" s="3078"/>
      <c r="SGY55" s="3078"/>
      <c r="SGZ55" s="3078"/>
      <c r="SHA55" s="3078"/>
      <c r="SHB55" s="3078"/>
      <c r="SHC55" s="3078"/>
      <c r="SHD55" s="3078"/>
      <c r="SHE55" s="3075" t="s">
        <v>55</v>
      </c>
      <c r="SHF55" s="3078"/>
      <c r="SHG55" s="3078"/>
      <c r="SHH55" s="3078"/>
      <c r="SHI55" s="3078"/>
      <c r="SHJ55" s="3078"/>
      <c r="SHK55" s="3078"/>
      <c r="SHL55" s="3078"/>
      <c r="SHM55" s="3075" t="s">
        <v>55</v>
      </c>
      <c r="SHN55" s="3078"/>
      <c r="SHO55" s="3078"/>
      <c r="SHP55" s="3078"/>
      <c r="SHQ55" s="3078"/>
      <c r="SHR55" s="3078"/>
      <c r="SHS55" s="3078"/>
      <c r="SHT55" s="3078"/>
      <c r="SHU55" s="3075" t="s">
        <v>55</v>
      </c>
      <c r="SHV55" s="3078"/>
      <c r="SHW55" s="3078"/>
      <c r="SHX55" s="3078"/>
      <c r="SHY55" s="3078"/>
      <c r="SHZ55" s="3078"/>
      <c r="SIA55" s="3078"/>
      <c r="SIB55" s="3078"/>
      <c r="SIC55" s="3075" t="s">
        <v>55</v>
      </c>
      <c r="SID55" s="3078"/>
      <c r="SIE55" s="3078"/>
      <c r="SIF55" s="3078"/>
      <c r="SIG55" s="3078"/>
      <c r="SIH55" s="3078"/>
      <c r="SII55" s="3078"/>
      <c r="SIJ55" s="3078"/>
      <c r="SIK55" s="3075" t="s">
        <v>55</v>
      </c>
      <c r="SIL55" s="3078"/>
      <c r="SIM55" s="3078"/>
      <c r="SIN55" s="3078"/>
      <c r="SIO55" s="3078"/>
      <c r="SIP55" s="3078"/>
      <c r="SIQ55" s="3078"/>
      <c r="SIR55" s="3078"/>
      <c r="SIS55" s="3075" t="s">
        <v>55</v>
      </c>
      <c r="SIT55" s="3078"/>
      <c r="SIU55" s="3078"/>
      <c r="SIV55" s="3078"/>
      <c r="SIW55" s="3078"/>
      <c r="SIX55" s="3078"/>
      <c r="SIY55" s="3078"/>
      <c r="SIZ55" s="3078"/>
      <c r="SJA55" s="3075" t="s">
        <v>55</v>
      </c>
      <c r="SJB55" s="3078"/>
      <c r="SJC55" s="3078"/>
      <c r="SJD55" s="3078"/>
      <c r="SJE55" s="3078"/>
      <c r="SJF55" s="3078"/>
      <c r="SJG55" s="3078"/>
      <c r="SJH55" s="3078"/>
      <c r="SJI55" s="3075" t="s">
        <v>55</v>
      </c>
      <c r="SJJ55" s="3078"/>
      <c r="SJK55" s="3078"/>
      <c r="SJL55" s="3078"/>
      <c r="SJM55" s="3078"/>
      <c r="SJN55" s="3078"/>
      <c r="SJO55" s="3078"/>
      <c r="SJP55" s="3078"/>
      <c r="SJQ55" s="3075" t="s">
        <v>55</v>
      </c>
      <c r="SJR55" s="3078"/>
      <c r="SJS55" s="3078"/>
      <c r="SJT55" s="3078"/>
      <c r="SJU55" s="3078"/>
      <c r="SJV55" s="3078"/>
      <c r="SJW55" s="3078"/>
      <c r="SJX55" s="3078"/>
      <c r="SJY55" s="3075" t="s">
        <v>55</v>
      </c>
      <c r="SJZ55" s="3078"/>
      <c r="SKA55" s="3078"/>
      <c r="SKB55" s="3078"/>
      <c r="SKC55" s="3078"/>
      <c r="SKD55" s="3078"/>
      <c r="SKE55" s="3078"/>
      <c r="SKF55" s="3078"/>
      <c r="SKG55" s="3075" t="s">
        <v>55</v>
      </c>
      <c r="SKH55" s="3078"/>
      <c r="SKI55" s="3078"/>
      <c r="SKJ55" s="3078"/>
      <c r="SKK55" s="3078"/>
      <c r="SKL55" s="3078"/>
      <c r="SKM55" s="3078"/>
      <c r="SKN55" s="3078"/>
      <c r="SKO55" s="3075" t="s">
        <v>55</v>
      </c>
      <c r="SKP55" s="3078"/>
      <c r="SKQ55" s="3078"/>
      <c r="SKR55" s="3078"/>
      <c r="SKS55" s="3078"/>
      <c r="SKT55" s="3078"/>
      <c r="SKU55" s="3078"/>
      <c r="SKV55" s="3078"/>
      <c r="SKW55" s="3075" t="s">
        <v>55</v>
      </c>
      <c r="SKX55" s="3078"/>
      <c r="SKY55" s="3078"/>
      <c r="SKZ55" s="3078"/>
      <c r="SLA55" s="3078"/>
      <c r="SLB55" s="3078"/>
      <c r="SLC55" s="3078"/>
      <c r="SLD55" s="3078"/>
      <c r="SLE55" s="3075" t="s">
        <v>55</v>
      </c>
      <c r="SLF55" s="3078"/>
      <c r="SLG55" s="3078"/>
      <c r="SLH55" s="3078"/>
      <c r="SLI55" s="3078"/>
      <c r="SLJ55" s="3078"/>
      <c r="SLK55" s="3078"/>
      <c r="SLL55" s="3078"/>
      <c r="SLM55" s="3075" t="s">
        <v>55</v>
      </c>
      <c r="SLN55" s="3078"/>
      <c r="SLO55" s="3078"/>
      <c r="SLP55" s="3078"/>
      <c r="SLQ55" s="3078"/>
      <c r="SLR55" s="3078"/>
      <c r="SLS55" s="3078"/>
      <c r="SLT55" s="3078"/>
      <c r="SLU55" s="3075" t="s">
        <v>55</v>
      </c>
      <c r="SLV55" s="3078"/>
      <c r="SLW55" s="3078"/>
      <c r="SLX55" s="3078"/>
      <c r="SLY55" s="3078"/>
      <c r="SLZ55" s="3078"/>
      <c r="SMA55" s="3078"/>
      <c r="SMB55" s="3078"/>
      <c r="SMC55" s="3075" t="s">
        <v>55</v>
      </c>
      <c r="SMD55" s="3078"/>
      <c r="SME55" s="3078"/>
      <c r="SMF55" s="3078"/>
      <c r="SMG55" s="3078"/>
      <c r="SMH55" s="3078"/>
      <c r="SMI55" s="3078"/>
      <c r="SMJ55" s="3078"/>
      <c r="SMK55" s="3075" t="s">
        <v>55</v>
      </c>
      <c r="SML55" s="3078"/>
      <c r="SMM55" s="3078"/>
      <c r="SMN55" s="3078"/>
      <c r="SMO55" s="3078"/>
      <c r="SMP55" s="3078"/>
      <c r="SMQ55" s="3078"/>
      <c r="SMR55" s="3078"/>
      <c r="SMS55" s="3075" t="s">
        <v>55</v>
      </c>
      <c r="SMT55" s="3078"/>
      <c r="SMU55" s="3078"/>
      <c r="SMV55" s="3078"/>
      <c r="SMW55" s="3078"/>
      <c r="SMX55" s="3078"/>
      <c r="SMY55" s="3078"/>
      <c r="SMZ55" s="3078"/>
      <c r="SNA55" s="3075" t="s">
        <v>55</v>
      </c>
      <c r="SNB55" s="3078"/>
      <c r="SNC55" s="3078"/>
      <c r="SND55" s="3078"/>
      <c r="SNE55" s="3078"/>
      <c r="SNF55" s="3078"/>
      <c r="SNG55" s="3078"/>
      <c r="SNH55" s="3078"/>
      <c r="SNI55" s="3075" t="s">
        <v>55</v>
      </c>
      <c r="SNJ55" s="3078"/>
      <c r="SNK55" s="3078"/>
      <c r="SNL55" s="3078"/>
      <c r="SNM55" s="3078"/>
      <c r="SNN55" s="3078"/>
      <c r="SNO55" s="3078"/>
      <c r="SNP55" s="3078"/>
      <c r="SNQ55" s="3075" t="s">
        <v>55</v>
      </c>
      <c r="SNR55" s="3078"/>
      <c r="SNS55" s="3078"/>
      <c r="SNT55" s="3078"/>
      <c r="SNU55" s="3078"/>
      <c r="SNV55" s="3078"/>
      <c r="SNW55" s="3078"/>
      <c r="SNX55" s="3078"/>
      <c r="SNY55" s="3075" t="s">
        <v>55</v>
      </c>
      <c r="SNZ55" s="3078"/>
      <c r="SOA55" s="3078"/>
      <c r="SOB55" s="3078"/>
      <c r="SOC55" s="3078"/>
      <c r="SOD55" s="3078"/>
      <c r="SOE55" s="3078"/>
      <c r="SOF55" s="3078"/>
      <c r="SOG55" s="3075" t="s">
        <v>55</v>
      </c>
      <c r="SOH55" s="3078"/>
      <c r="SOI55" s="3078"/>
      <c r="SOJ55" s="3078"/>
      <c r="SOK55" s="3078"/>
      <c r="SOL55" s="3078"/>
      <c r="SOM55" s="3078"/>
      <c r="SON55" s="3078"/>
      <c r="SOO55" s="3075" t="s">
        <v>55</v>
      </c>
      <c r="SOP55" s="3078"/>
      <c r="SOQ55" s="3078"/>
      <c r="SOR55" s="3078"/>
      <c r="SOS55" s="3078"/>
      <c r="SOT55" s="3078"/>
      <c r="SOU55" s="3078"/>
      <c r="SOV55" s="3078"/>
      <c r="SOW55" s="3075" t="s">
        <v>55</v>
      </c>
      <c r="SOX55" s="3078"/>
      <c r="SOY55" s="3078"/>
      <c r="SOZ55" s="3078"/>
      <c r="SPA55" s="3078"/>
      <c r="SPB55" s="3078"/>
      <c r="SPC55" s="3078"/>
      <c r="SPD55" s="3078"/>
      <c r="SPE55" s="3075" t="s">
        <v>55</v>
      </c>
      <c r="SPF55" s="3078"/>
      <c r="SPG55" s="3078"/>
      <c r="SPH55" s="3078"/>
      <c r="SPI55" s="3078"/>
      <c r="SPJ55" s="3078"/>
      <c r="SPK55" s="3078"/>
      <c r="SPL55" s="3078"/>
      <c r="SPM55" s="3075" t="s">
        <v>55</v>
      </c>
      <c r="SPN55" s="3078"/>
      <c r="SPO55" s="3078"/>
      <c r="SPP55" s="3078"/>
      <c r="SPQ55" s="3078"/>
      <c r="SPR55" s="3078"/>
      <c r="SPS55" s="3078"/>
      <c r="SPT55" s="3078"/>
      <c r="SPU55" s="3075" t="s">
        <v>55</v>
      </c>
      <c r="SPV55" s="3078"/>
      <c r="SPW55" s="3078"/>
      <c r="SPX55" s="3078"/>
      <c r="SPY55" s="3078"/>
      <c r="SPZ55" s="3078"/>
      <c r="SQA55" s="3078"/>
      <c r="SQB55" s="3078"/>
      <c r="SQC55" s="3075" t="s">
        <v>55</v>
      </c>
      <c r="SQD55" s="3078"/>
      <c r="SQE55" s="3078"/>
      <c r="SQF55" s="3078"/>
      <c r="SQG55" s="3078"/>
      <c r="SQH55" s="3078"/>
      <c r="SQI55" s="3078"/>
      <c r="SQJ55" s="3078"/>
      <c r="SQK55" s="3075" t="s">
        <v>55</v>
      </c>
      <c r="SQL55" s="3078"/>
      <c r="SQM55" s="3078"/>
      <c r="SQN55" s="3078"/>
      <c r="SQO55" s="3078"/>
      <c r="SQP55" s="3078"/>
      <c r="SQQ55" s="3078"/>
      <c r="SQR55" s="3078"/>
      <c r="SQS55" s="3075" t="s">
        <v>55</v>
      </c>
      <c r="SQT55" s="3078"/>
      <c r="SQU55" s="3078"/>
      <c r="SQV55" s="3078"/>
      <c r="SQW55" s="3078"/>
      <c r="SQX55" s="3078"/>
      <c r="SQY55" s="3078"/>
      <c r="SQZ55" s="3078"/>
      <c r="SRA55" s="3075" t="s">
        <v>55</v>
      </c>
      <c r="SRB55" s="3078"/>
      <c r="SRC55" s="3078"/>
      <c r="SRD55" s="3078"/>
      <c r="SRE55" s="3078"/>
      <c r="SRF55" s="3078"/>
      <c r="SRG55" s="3078"/>
      <c r="SRH55" s="3078"/>
      <c r="SRI55" s="3075" t="s">
        <v>55</v>
      </c>
      <c r="SRJ55" s="3078"/>
      <c r="SRK55" s="3078"/>
      <c r="SRL55" s="3078"/>
      <c r="SRM55" s="3078"/>
      <c r="SRN55" s="3078"/>
      <c r="SRO55" s="3078"/>
      <c r="SRP55" s="3078"/>
      <c r="SRQ55" s="3075" t="s">
        <v>55</v>
      </c>
      <c r="SRR55" s="3078"/>
      <c r="SRS55" s="3078"/>
      <c r="SRT55" s="3078"/>
      <c r="SRU55" s="3078"/>
      <c r="SRV55" s="3078"/>
      <c r="SRW55" s="3078"/>
      <c r="SRX55" s="3078"/>
      <c r="SRY55" s="3075" t="s">
        <v>55</v>
      </c>
      <c r="SRZ55" s="3078"/>
      <c r="SSA55" s="3078"/>
      <c r="SSB55" s="3078"/>
      <c r="SSC55" s="3078"/>
      <c r="SSD55" s="3078"/>
      <c r="SSE55" s="3078"/>
      <c r="SSF55" s="3078"/>
      <c r="SSG55" s="3075" t="s">
        <v>55</v>
      </c>
      <c r="SSH55" s="3078"/>
      <c r="SSI55" s="3078"/>
      <c r="SSJ55" s="3078"/>
      <c r="SSK55" s="3078"/>
      <c r="SSL55" s="3078"/>
      <c r="SSM55" s="3078"/>
      <c r="SSN55" s="3078"/>
      <c r="SSO55" s="3075" t="s">
        <v>55</v>
      </c>
      <c r="SSP55" s="3078"/>
      <c r="SSQ55" s="3078"/>
      <c r="SSR55" s="3078"/>
      <c r="SSS55" s="3078"/>
      <c r="SST55" s="3078"/>
      <c r="SSU55" s="3078"/>
      <c r="SSV55" s="3078"/>
      <c r="SSW55" s="3075" t="s">
        <v>55</v>
      </c>
      <c r="SSX55" s="3078"/>
      <c r="SSY55" s="3078"/>
      <c r="SSZ55" s="3078"/>
      <c r="STA55" s="3078"/>
      <c r="STB55" s="3078"/>
      <c r="STC55" s="3078"/>
      <c r="STD55" s="3078"/>
      <c r="STE55" s="3075" t="s">
        <v>55</v>
      </c>
      <c r="STF55" s="3078"/>
      <c r="STG55" s="3078"/>
      <c r="STH55" s="3078"/>
      <c r="STI55" s="3078"/>
      <c r="STJ55" s="3078"/>
      <c r="STK55" s="3078"/>
      <c r="STL55" s="3078"/>
      <c r="STM55" s="3075" t="s">
        <v>55</v>
      </c>
      <c r="STN55" s="3078"/>
      <c r="STO55" s="3078"/>
      <c r="STP55" s="3078"/>
      <c r="STQ55" s="3078"/>
      <c r="STR55" s="3078"/>
      <c r="STS55" s="3078"/>
      <c r="STT55" s="3078"/>
      <c r="STU55" s="3075" t="s">
        <v>55</v>
      </c>
      <c r="STV55" s="3078"/>
      <c r="STW55" s="3078"/>
      <c r="STX55" s="3078"/>
      <c r="STY55" s="3078"/>
      <c r="STZ55" s="3078"/>
      <c r="SUA55" s="3078"/>
      <c r="SUB55" s="3078"/>
      <c r="SUC55" s="3075" t="s">
        <v>55</v>
      </c>
      <c r="SUD55" s="3078"/>
      <c r="SUE55" s="3078"/>
      <c r="SUF55" s="3078"/>
      <c r="SUG55" s="3078"/>
      <c r="SUH55" s="3078"/>
      <c r="SUI55" s="3078"/>
      <c r="SUJ55" s="3078"/>
      <c r="SUK55" s="3075" t="s">
        <v>55</v>
      </c>
      <c r="SUL55" s="3078"/>
      <c r="SUM55" s="3078"/>
      <c r="SUN55" s="3078"/>
      <c r="SUO55" s="3078"/>
      <c r="SUP55" s="3078"/>
      <c r="SUQ55" s="3078"/>
      <c r="SUR55" s="3078"/>
      <c r="SUS55" s="3075" t="s">
        <v>55</v>
      </c>
      <c r="SUT55" s="3078"/>
      <c r="SUU55" s="3078"/>
      <c r="SUV55" s="3078"/>
      <c r="SUW55" s="3078"/>
      <c r="SUX55" s="3078"/>
      <c r="SUY55" s="3078"/>
      <c r="SUZ55" s="3078"/>
      <c r="SVA55" s="3075" t="s">
        <v>55</v>
      </c>
      <c r="SVB55" s="3078"/>
      <c r="SVC55" s="3078"/>
      <c r="SVD55" s="3078"/>
      <c r="SVE55" s="3078"/>
      <c r="SVF55" s="3078"/>
      <c r="SVG55" s="3078"/>
      <c r="SVH55" s="3078"/>
      <c r="SVI55" s="3075" t="s">
        <v>55</v>
      </c>
      <c r="SVJ55" s="3078"/>
      <c r="SVK55" s="3078"/>
      <c r="SVL55" s="3078"/>
      <c r="SVM55" s="3078"/>
      <c r="SVN55" s="3078"/>
      <c r="SVO55" s="3078"/>
      <c r="SVP55" s="3078"/>
      <c r="SVQ55" s="3075" t="s">
        <v>55</v>
      </c>
      <c r="SVR55" s="3078"/>
      <c r="SVS55" s="3078"/>
      <c r="SVT55" s="3078"/>
      <c r="SVU55" s="3078"/>
      <c r="SVV55" s="3078"/>
      <c r="SVW55" s="3078"/>
      <c r="SVX55" s="3078"/>
      <c r="SVY55" s="3075" t="s">
        <v>55</v>
      </c>
      <c r="SVZ55" s="3078"/>
      <c r="SWA55" s="3078"/>
      <c r="SWB55" s="3078"/>
      <c r="SWC55" s="3078"/>
      <c r="SWD55" s="3078"/>
      <c r="SWE55" s="3078"/>
      <c r="SWF55" s="3078"/>
      <c r="SWG55" s="3075" t="s">
        <v>55</v>
      </c>
      <c r="SWH55" s="3078"/>
      <c r="SWI55" s="3078"/>
      <c r="SWJ55" s="3078"/>
      <c r="SWK55" s="3078"/>
      <c r="SWL55" s="3078"/>
      <c r="SWM55" s="3078"/>
      <c r="SWN55" s="3078"/>
      <c r="SWO55" s="3075" t="s">
        <v>55</v>
      </c>
      <c r="SWP55" s="3078"/>
      <c r="SWQ55" s="3078"/>
      <c r="SWR55" s="3078"/>
      <c r="SWS55" s="3078"/>
      <c r="SWT55" s="3078"/>
      <c r="SWU55" s="3078"/>
      <c r="SWV55" s="3078"/>
      <c r="SWW55" s="3075" t="s">
        <v>55</v>
      </c>
      <c r="SWX55" s="3078"/>
      <c r="SWY55" s="3078"/>
      <c r="SWZ55" s="3078"/>
      <c r="SXA55" s="3078"/>
      <c r="SXB55" s="3078"/>
      <c r="SXC55" s="3078"/>
      <c r="SXD55" s="3078"/>
      <c r="SXE55" s="3075" t="s">
        <v>55</v>
      </c>
      <c r="SXF55" s="3078"/>
      <c r="SXG55" s="3078"/>
      <c r="SXH55" s="3078"/>
      <c r="SXI55" s="3078"/>
      <c r="SXJ55" s="3078"/>
      <c r="SXK55" s="3078"/>
      <c r="SXL55" s="3078"/>
      <c r="SXM55" s="3075" t="s">
        <v>55</v>
      </c>
      <c r="SXN55" s="3078"/>
      <c r="SXO55" s="3078"/>
      <c r="SXP55" s="3078"/>
      <c r="SXQ55" s="3078"/>
      <c r="SXR55" s="3078"/>
      <c r="SXS55" s="3078"/>
      <c r="SXT55" s="3078"/>
      <c r="SXU55" s="3075" t="s">
        <v>55</v>
      </c>
      <c r="SXV55" s="3078"/>
      <c r="SXW55" s="3078"/>
      <c r="SXX55" s="3078"/>
      <c r="SXY55" s="3078"/>
      <c r="SXZ55" s="3078"/>
      <c r="SYA55" s="3078"/>
      <c r="SYB55" s="3078"/>
      <c r="SYC55" s="3075" t="s">
        <v>55</v>
      </c>
      <c r="SYD55" s="3078"/>
      <c r="SYE55" s="3078"/>
      <c r="SYF55" s="3078"/>
      <c r="SYG55" s="3078"/>
      <c r="SYH55" s="3078"/>
      <c r="SYI55" s="3078"/>
      <c r="SYJ55" s="3078"/>
      <c r="SYK55" s="3075" t="s">
        <v>55</v>
      </c>
      <c r="SYL55" s="3078"/>
      <c r="SYM55" s="3078"/>
      <c r="SYN55" s="3078"/>
      <c r="SYO55" s="3078"/>
      <c r="SYP55" s="3078"/>
      <c r="SYQ55" s="3078"/>
      <c r="SYR55" s="3078"/>
      <c r="SYS55" s="3075" t="s">
        <v>55</v>
      </c>
      <c r="SYT55" s="3078"/>
      <c r="SYU55" s="3078"/>
      <c r="SYV55" s="3078"/>
      <c r="SYW55" s="3078"/>
      <c r="SYX55" s="3078"/>
      <c r="SYY55" s="3078"/>
      <c r="SYZ55" s="3078"/>
      <c r="SZA55" s="3075" t="s">
        <v>55</v>
      </c>
      <c r="SZB55" s="3078"/>
      <c r="SZC55" s="3078"/>
      <c r="SZD55" s="3078"/>
      <c r="SZE55" s="3078"/>
      <c r="SZF55" s="3078"/>
      <c r="SZG55" s="3078"/>
      <c r="SZH55" s="3078"/>
      <c r="SZI55" s="3075" t="s">
        <v>55</v>
      </c>
      <c r="SZJ55" s="3078"/>
      <c r="SZK55" s="3078"/>
      <c r="SZL55" s="3078"/>
      <c r="SZM55" s="3078"/>
      <c r="SZN55" s="3078"/>
      <c r="SZO55" s="3078"/>
      <c r="SZP55" s="3078"/>
      <c r="SZQ55" s="3075" t="s">
        <v>55</v>
      </c>
      <c r="SZR55" s="3078"/>
      <c r="SZS55" s="3078"/>
      <c r="SZT55" s="3078"/>
      <c r="SZU55" s="3078"/>
      <c r="SZV55" s="3078"/>
      <c r="SZW55" s="3078"/>
      <c r="SZX55" s="3078"/>
      <c r="SZY55" s="3075" t="s">
        <v>55</v>
      </c>
      <c r="SZZ55" s="3078"/>
      <c r="TAA55" s="3078"/>
      <c r="TAB55" s="3078"/>
      <c r="TAC55" s="3078"/>
      <c r="TAD55" s="3078"/>
      <c r="TAE55" s="3078"/>
      <c r="TAF55" s="3078"/>
      <c r="TAG55" s="3075" t="s">
        <v>55</v>
      </c>
      <c r="TAH55" s="3078"/>
      <c r="TAI55" s="3078"/>
      <c r="TAJ55" s="3078"/>
      <c r="TAK55" s="3078"/>
      <c r="TAL55" s="3078"/>
      <c r="TAM55" s="3078"/>
      <c r="TAN55" s="3078"/>
      <c r="TAO55" s="3075" t="s">
        <v>55</v>
      </c>
      <c r="TAP55" s="3078"/>
      <c r="TAQ55" s="3078"/>
      <c r="TAR55" s="3078"/>
      <c r="TAS55" s="3078"/>
      <c r="TAT55" s="3078"/>
      <c r="TAU55" s="3078"/>
      <c r="TAV55" s="3078"/>
      <c r="TAW55" s="3075" t="s">
        <v>55</v>
      </c>
      <c r="TAX55" s="3078"/>
      <c r="TAY55" s="3078"/>
      <c r="TAZ55" s="3078"/>
      <c r="TBA55" s="3078"/>
      <c r="TBB55" s="3078"/>
      <c r="TBC55" s="3078"/>
      <c r="TBD55" s="3078"/>
      <c r="TBE55" s="3075" t="s">
        <v>55</v>
      </c>
      <c r="TBF55" s="3078"/>
      <c r="TBG55" s="3078"/>
      <c r="TBH55" s="3078"/>
      <c r="TBI55" s="3078"/>
      <c r="TBJ55" s="3078"/>
      <c r="TBK55" s="3078"/>
      <c r="TBL55" s="3078"/>
      <c r="TBM55" s="3075" t="s">
        <v>55</v>
      </c>
      <c r="TBN55" s="3078"/>
      <c r="TBO55" s="3078"/>
      <c r="TBP55" s="3078"/>
      <c r="TBQ55" s="3078"/>
      <c r="TBR55" s="3078"/>
      <c r="TBS55" s="3078"/>
      <c r="TBT55" s="3078"/>
      <c r="TBU55" s="3075" t="s">
        <v>55</v>
      </c>
      <c r="TBV55" s="3078"/>
      <c r="TBW55" s="3078"/>
      <c r="TBX55" s="3078"/>
      <c r="TBY55" s="3078"/>
      <c r="TBZ55" s="3078"/>
      <c r="TCA55" s="3078"/>
      <c r="TCB55" s="3078"/>
      <c r="TCC55" s="3075" t="s">
        <v>55</v>
      </c>
      <c r="TCD55" s="3078"/>
      <c r="TCE55" s="3078"/>
      <c r="TCF55" s="3078"/>
      <c r="TCG55" s="3078"/>
      <c r="TCH55" s="3078"/>
      <c r="TCI55" s="3078"/>
      <c r="TCJ55" s="3078"/>
      <c r="TCK55" s="3075" t="s">
        <v>55</v>
      </c>
      <c r="TCL55" s="3078"/>
      <c r="TCM55" s="3078"/>
      <c r="TCN55" s="3078"/>
      <c r="TCO55" s="3078"/>
      <c r="TCP55" s="3078"/>
      <c r="TCQ55" s="3078"/>
      <c r="TCR55" s="3078"/>
      <c r="TCS55" s="3075" t="s">
        <v>55</v>
      </c>
      <c r="TCT55" s="3078"/>
      <c r="TCU55" s="3078"/>
      <c r="TCV55" s="3078"/>
      <c r="TCW55" s="3078"/>
      <c r="TCX55" s="3078"/>
      <c r="TCY55" s="3078"/>
      <c r="TCZ55" s="3078"/>
      <c r="TDA55" s="3075" t="s">
        <v>55</v>
      </c>
      <c r="TDB55" s="3078"/>
      <c r="TDC55" s="3078"/>
      <c r="TDD55" s="3078"/>
      <c r="TDE55" s="3078"/>
      <c r="TDF55" s="3078"/>
      <c r="TDG55" s="3078"/>
      <c r="TDH55" s="3078"/>
      <c r="TDI55" s="3075" t="s">
        <v>55</v>
      </c>
      <c r="TDJ55" s="3078"/>
      <c r="TDK55" s="3078"/>
      <c r="TDL55" s="3078"/>
      <c r="TDM55" s="3078"/>
      <c r="TDN55" s="3078"/>
      <c r="TDO55" s="3078"/>
      <c r="TDP55" s="3078"/>
      <c r="TDQ55" s="3075" t="s">
        <v>55</v>
      </c>
      <c r="TDR55" s="3078"/>
      <c r="TDS55" s="3078"/>
      <c r="TDT55" s="3078"/>
      <c r="TDU55" s="3078"/>
      <c r="TDV55" s="3078"/>
      <c r="TDW55" s="3078"/>
      <c r="TDX55" s="3078"/>
      <c r="TDY55" s="3075" t="s">
        <v>55</v>
      </c>
      <c r="TDZ55" s="3078"/>
      <c r="TEA55" s="3078"/>
      <c r="TEB55" s="3078"/>
      <c r="TEC55" s="3078"/>
      <c r="TED55" s="3078"/>
      <c r="TEE55" s="3078"/>
      <c r="TEF55" s="3078"/>
      <c r="TEG55" s="3075" t="s">
        <v>55</v>
      </c>
      <c r="TEH55" s="3078"/>
      <c r="TEI55" s="3078"/>
      <c r="TEJ55" s="3078"/>
      <c r="TEK55" s="3078"/>
      <c r="TEL55" s="3078"/>
      <c r="TEM55" s="3078"/>
      <c r="TEN55" s="3078"/>
      <c r="TEO55" s="3075" t="s">
        <v>55</v>
      </c>
      <c r="TEP55" s="3078"/>
      <c r="TEQ55" s="3078"/>
      <c r="TER55" s="3078"/>
      <c r="TES55" s="3078"/>
      <c r="TET55" s="3078"/>
      <c r="TEU55" s="3078"/>
      <c r="TEV55" s="3078"/>
      <c r="TEW55" s="3075" t="s">
        <v>55</v>
      </c>
      <c r="TEX55" s="3078"/>
      <c r="TEY55" s="3078"/>
      <c r="TEZ55" s="3078"/>
      <c r="TFA55" s="3078"/>
      <c r="TFB55" s="3078"/>
      <c r="TFC55" s="3078"/>
      <c r="TFD55" s="3078"/>
      <c r="TFE55" s="3075" t="s">
        <v>55</v>
      </c>
      <c r="TFF55" s="3078"/>
      <c r="TFG55" s="3078"/>
      <c r="TFH55" s="3078"/>
      <c r="TFI55" s="3078"/>
      <c r="TFJ55" s="3078"/>
      <c r="TFK55" s="3078"/>
      <c r="TFL55" s="3078"/>
      <c r="TFM55" s="3075" t="s">
        <v>55</v>
      </c>
      <c r="TFN55" s="3078"/>
      <c r="TFO55" s="3078"/>
      <c r="TFP55" s="3078"/>
      <c r="TFQ55" s="3078"/>
      <c r="TFR55" s="3078"/>
      <c r="TFS55" s="3078"/>
      <c r="TFT55" s="3078"/>
      <c r="TFU55" s="3075" t="s">
        <v>55</v>
      </c>
      <c r="TFV55" s="3078"/>
      <c r="TFW55" s="3078"/>
      <c r="TFX55" s="3078"/>
      <c r="TFY55" s="3078"/>
      <c r="TFZ55" s="3078"/>
      <c r="TGA55" s="3078"/>
      <c r="TGB55" s="3078"/>
      <c r="TGC55" s="3075" t="s">
        <v>55</v>
      </c>
      <c r="TGD55" s="3078"/>
      <c r="TGE55" s="3078"/>
      <c r="TGF55" s="3078"/>
      <c r="TGG55" s="3078"/>
      <c r="TGH55" s="3078"/>
      <c r="TGI55" s="3078"/>
      <c r="TGJ55" s="3078"/>
      <c r="TGK55" s="3075" t="s">
        <v>55</v>
      </c>
      <c r="TGL55" s="3078"/>
      <c r="TGM55" s="3078"/>
      <c r="TGN55" s="3078"/>
      <c r="TGO55" s="3078"/>
      <c r="TGP55" s="3078"/>
      <c r="TGQ55" s="3078"/>
      <c r="TGR55" s="3078"/>
      <c r="TGS55" s="3075" t="s">
        <v>55</v>
      </c>
      <c r="TGT55" s="3078"/>
      <c r="TGU55" s="3078"/>
      <c r="TGV55" s="3078"/>
      <c r="TGW55" s="3078"/>
      <c r="TGX55" s="3078"/>
      <c r="TGY55" s="3078"/>
      <c r="TGZ55" s="3078"/>
      <c r="THA55" s="3075" t="s">
        <v>55</v>
      </c>
      <c r="THB55" s="3078"/>
      <c r="THC55" s="3078"/>
      <c r="THD55" s="3078"/>
      <c r="THE55" s="3078"/>
      <c r="THF55" s="3078"/>
      <c r="THG55" s="3078"/>
      <c r="THH55" s="3078"/>
      <c r="THI55" s="3075" t="s">
        <v>55</v>
      </c>
      <c r="THJ55" s="3078"/>
      <c r="THK55" s="3078"/>
      <c r="THL55" s="3078"/>
      <c r="THM55" s="3078"/>
      <c r="THN55" s="3078"/>
      <c r="THO55" s="3078"/>
      <c r="THP55" s="3078"/>
      <c r="THQ55" s="3075" t="s">
        <v>55</v>
      </c>
      <c r="THR55" s="3078"/>
      <c r="THS55" s="3078"/>
      <c r="THT55" s="3078"/>
      <c r="THU55" s="3078"/>
      <c r="THV55" s="3078"/>
      <c r="THW55" s="3078"/>
      <c r="THX55" s="3078"/>
      <c r="THY55" s="3075" t="s">
        <v>55</v>
      </c>
      <c r="THZ55" s="3078"/>
      <c r="TIA55" s="3078"/>
      <c r="TIB55" s="3078"/>
      <c r="TIC55" s="3078"/>
      <c r="TID55" s="3078"/>
      <c r="TIE55" s="3078"/>
      <c r="TIF55" s="3078"/>
      <c r="TIG55" s="3075" t="s">
        <v>55</v>
      </c>
      <c r="TIH55" s="3078"/>
      <c r="TII55" s="3078"/>
      <c r="TIJ55" s="3078"/>
      <c r="TIK55" s="3078"/>
      <c r="TIL55" s="3078"/>
      <c r="TIM55" s="3078"/>
      <c r="TIN55" s="3078"/>
      <c r="TIO55" s="3075" t="s">
        <v>55</v>
      </c>
      <c r="TIP55" s="3078"/>
      <c r="TIQ55" s="3078"/>
      <c r="TIR55" s="3078"/>
      <c r="TIS55" s="3078"/>
      <c r="TIT55" s="3078"/>
      <c r="TIU55" s="3078"/>
      <c r="TIV55" s="3078"/>
      <c r="TIW55" s="3075" t="s">
        <v>55</v>
      </c>
      <c r="TIX55" s="3078"/>
      <c r="TIY55" s="3078"/>
      <c r="TIZ55" s="3078"/>
      <c r="TJA55" s="3078"/>
      <c r="TJB55" s="3078"/>
      <c r="TJC55" s="3078"/>
      <c r="TJD55" s="3078"/>
      <c r="TJE55" s="3075" t="s">
        <v>55</v>
      </c>
      <c r="TJF55" s="3078"/>
      <c r="TJG55" s="3078"/>
      <c r="TJH55" s="3078"/>
      <c r="TJI55" s="3078"/>
      <c r="TJJ55" s="3078"/>
      <c r="TJK55" s="3078"/>
      <c r="TJL55" s="3078"/>
      <c r="TJM55" s="3075" t="s">
        <v>55</v>
      </c>
      <c r="TJN55" s="3078"/>
      <c r="TJO55" s="3078"/>
      <c r="TJP55" s="3078"/>
      <c r="TJQ55" s="3078"/>
      <c r="TJR55" s="3078"/>
      <c r="TJS55" s="3078"/>
      <c r="TJT55" s="3078"/>
      <c r="TJU55" s="3075" t="s">
        <v>55</v>
      </c>
      <c r="TJV55" s="3078"/>
      <c r="TJW55" s="3078"/>
      <c r="TJX55" s="3078"/>
      <c r="TJY55" s="3078"/>
      <c r="TJZ55" s="3078"/>
      <c r="TKA55" s="3078"/>
      <c r="TKB55" s="3078"/>
      <c r="TKC55" s="3075" t="s">
        <v>55</v>
      </c>
      <c r="TKD55" s="3078"/>
      <c r="TKE55" s="3078"/>
      <c r="TKF55" s="3078"/>
      <c r="TKG55" s="3078"/>
      <c r="TKH55" s="3078"/>
      <c r="TKI55" s="3078"/>
      <c r="TKJ55" s="3078"/>
      <c r="TKK55" s="3075" t="s">
        <v>55</v>
      </c>
      <c r="TKL55" s="3078"/>
      <c r="TKM55" s="3078"/>
      <c r="TKN55" s="3078"/>
      <c r="TKO55" s="3078"/>
      <c r="TKP55" s="3078"/>
      <c r="TKQ55" s="3078"/>
      <c r="TKR55" s="3078"/>
      <c r="TKS55" s="3075" t="s">
        <v>55</v>
      </c>
      <c r="TKT55" s="3078"/>
      <c r="TKU55" s="3078"/>
      <c r="TKV55" s="3078"/>
      <c r="TKW55" s="3078"/>
      <c r="TKX55" s="3078"/>
      <c r="TKY55" s="3078"/>
      <c r="TKZ55" s="3078"/>
      <c r="TLA55" s="3075" t="s">
        <v>55</v>
      </c>
      <c r="TLB55" s="3078"/>
      <c r="TLC55" s="3078"/>
      <c r="TLD55" s="3078"/>
      <c r="TLE55" s="3078"/>
      <c r="TLF55" s="3078"/>
      <c r="TLG55" s="3078"/>
      <c r="TLH55" s="3078"/>
      <c r="TLI55" s="3075" t="s">
        <v>55</v>
      </c>
      <c r="TLJ55" s="3078"/>
      <c r="TLK55" s="3078"/>
      <c r="TLL55" s="3078"/>
      <c r="TLM55" s="3078"/>
      <c r="TLN55" s="3078"/>
      <c r="TLO55" s="3078"/>
      <c r="TLP55" s="3078"/>
      <c r="TLQ55" s="3075" t="s">
        <v>55</v>
      </c>
      <c r="TLR55" s="3078"/>
      <c r="TLS55" s="3078"/>
      <c r="TLT55" s="3078"/>
      <c r="TLU55" s="3078"/>
      <c r="TLV55" s="3078"/>
      <c r="TLW55" s="3078"/>
      <c r="TLX55" s="3078"/>
      <c r="TLY55" s="3075" t="s">
        <v>55</v>
      </c>
      <c r="TLZ55" s="3078"/>
      <c r="TMA55" s="3078"/>
      <c r="TMB55" s="3078"/>
      <c r="TMC55" s="3078"/>
      <c r="TMD55" s="3078"/>
      <c r="TME55" s="3078"/>
      <c r="TMF55" s="3078"/>
      <c r="TMG55" s="3075" t="s">
        <v>55</v>
      </c>
      <c r="TMH55" s="3078"/>
      <c r="TMI55" s="3078"/>
      <c r="TMJ55" s="3078"/>
      <c r="TMK55" s="3078"/>
      <c r="TML55" s="3078"/>
      <c r="TMM55" s="3078"/>
      <c r="TMN55" s="3078"/>
      <c r="TMO55" s="3075" t="s">
        <v>55</v>
      </c>
      <c r="TMP55" s="3078"/>
      <c r="TMQ55" s="3078"/>
      <c r="TMR55" s="3078"/>
      <c r="TMS55" s="3078"/>
      <c r="TMT55" s="3078"/>
      <c r="TMU55" s="3078"/>
      <c r="TMV55" s="3078"/>
      <c r="TMW55" s="3075" t="s">
        <v>55</v>
      </c>
      <c r="TMX55" s="3078"/>
      <c r="TMY55" s="3078"/>
      <c r="TMZ55" s="3078"/>
      <c r="TNA55" s="3078"/>
      <c r="TNB55" s="3078"/>
      <c r="TNC55" s="3078"/>
      <c r="TND55" s="3078"/>
      <c r="TNE55" s="3075" t="s">
        <v>55</v>
      </c>
      <c r="TNF55" s="3078"/>
      <c r="TNG55" s="3078"/>
      <c r="TNH55" s="3078"/>
      <c r="TNI55" s="3078"/>
      <c r="TNJ55" s="3078"/>
      <c r="TNK55" s="3078"/>
      <c r="TNL55" s="3078"/>
      <c r="TNM55" s="3075" t="s">
        <v>55</v>
      </c>
      <c r="TNN55" s="3078"/>
      <c r="TNO55" s="3078"/>
      <c r="TNP55" s="3078"/>
      <c r="TNQ55" s="3078"/>
      <c r="TNR55" s="3078"/>
      <c r="TNS55" s="3078"/>
      <c r="TNT55" s="3078"/>
      <c r="TNU55" s="3075" t="s">
        <v>55</v>
      </c>
      <c r="TNV55" s="3078"/>
      <c r="TNW55" s="3078"/>
      <c r="TNX55" s="3078"/>
      <c r="TNY55" s="3078"/>
      <c r="TNZ55" s="3078"/>
      <c r="TOA55" s="3078"/>
      <c r="TOB55" s="3078"/>
      <c r="TOC55" s="3075" t="s">
        <v>55</v>
      </c>
      <c r="TOD55" s="3078"/>
      <c r="TOE55" s="3078"/>
      <c r="TOF55" s="3078"/>
      <c r="TOG55" s="3078"/>
      <c r="TOH55" s="3078"/>
      <c r="TOI55" s="3078"/>
      <c r="TOJ55" s="3078"/>
      <c r="TOK55" s="3075" t="s">
        <v>55</v>
      </c>
      <c r="TOL55" s="3078"/>
      <c r="TOM55" s="3078"/>
      <c r="TON55" s="3078"/>
      <c r="TOO55" s="3078"/>
      <c r="TOP55" s="3078"/>
      <c r="TOQ55" s="3078"/>
      <c r="TOR55" s="3078"/>
      <c r="TOS55" s="3075" t="s">
        <v>55</v>
      </c>
      <c r="TOT55" s="3078"/>
      <c r="TOU55" s="3078"/>
      <c r="TOV55" s="3078"/>
      <c r="TOW55" s="3078"/>
      <c r="TOX55" s="3078"/>
      <c r="TOY55" s="3078"/>
      <c r="TOZ55" s="3078"/>
      <c r="TPA55" s="3075" t="s">
        <v>55</v>
      </c>
      <c r="TPB55" s="3078"/>
      <c r="TPC55" s="3078"/>
      <c r="TPD55" s="3078"/>
      <c r="TPE55" s="3078"/>
      <c r="TPF55" s="3078"/>
      <c r="TPG55" s="3078"/>
      <c r="TPH55" s="3078"/>
      <c r="TPI55" s="3075" t="s">
        <v>55</v>
      </c>
      <c r="TPJ55" s="3078"/>
      <c r="TPK55" s="3078"/>
      <c r="TPL55" s="3078"/>
      <c r="TPM55" s="3078"/>
      <c r="TPN55" s="3078"/>
      <c r="TPO55" s="3078"/>
      <c r="TPP55" s="3078"/>
      <c r="TPQ55" s="3075" t="s">
        <v>55</v>
      </c>
      <c r="TPR55" s="3078"/>
      <c r="TPS55" s="3078"/>
      <c r="TPT55" s="3078"/>
      <c r="TPU55" s="3078"/>
      <c r="TPV55" s="3078"/>
      <c r="TPW55" s="3078"/>
      <c r="TPX55" s="3078"/>
      <c r="TPY55" s="3075" t="s">
        <v>55</v>
      </c>
      <c r="TPZ55" s="3078"/>
      <c r="TQA55" s="3078"/>
      <c r="TQB55" s="3078"/>
      <c r="TQC55" s="3078"/>
      <c r="TQD55" s="3078"/>
      <c r="TQE55" s="3078"/>
      <c r="TQF55" s="3078"/>
      <c r="TQG55" s="3075" t="s">
        <v>55</v>
      </c>
      <c r="TQH55" s="3078"/>
      <c r="TQI55" s="3078"/>
      <c r="TQJ55" s="3078"/>
      <c r="TQK55" s="3078"/>
      <c r="TQL55" s="3078"/>
      <c r="TQM55" s="3078"/>
      <c r="TQN55" s="3078"/>
      <c r="TQO55" s="3075" t="s">
        <v>55</v>
      </c>
      <c r="TQP55" s="3078"/>
      <c r="TQQ55" s="3078"/>
      <c r="TQR55" s="3078"/>
      <c r="TQS55" s="3078"/>
      <c r="TQT55" s="3078"/>
      <c r="TQU55" s="3078"/>
      <c r="TQV55" s="3078"/>
      <c r="TQW55" s="3075" t="s">
        <v>55</v>
      </c>
      <c r="TQX55" s="3078"/>
      <c r="TQY55" s="3078"/>
      <c r="TQZ55" s="3078"/>
      <c r="TRA55" s="3078"/>
      <c r="TRB55" s="3078"/>
      <c r="TRC55" s="3078"/>
      <c r="TRD55" s="3078"/>
      <c r="TRE55" s="3075" t="s">
        <v>55</v>
      </c>
      <c r="TRF55" s="3078"/>
      <c r="TRG55" s="3078"/>
      <c r="TRH55" s="3078"/>
      <c r="TRI55" s="3078"/>
      <c r="TRJ55" s="3078"/>
      <c r="TRK55" s="3078"/>
      <c r="TRL55" s="3078"/>
      <c r="TRM55" s="3075" t="s">
        <v>55</v>
      </c>
      <c r="TRN55" s="3078"/>
      <c r="TRO55" s="3078"/>
      <c r="TRP55" s="3078"/>
      <c r="TRQ55" s="3078"/>
      <c r="TRR55" s="3078"/>
      <c r="TRS55" s="3078"/>
      <c r="TRT55" s="3078"/>
      <c r="TRU55" s="3075" t="s">
        <v>55</v>
      </c>
      <c r="TRV55" s="3078"/>
      <c r="TRW55" s="3078"/>
      <c r="TRX55" s="3078"/>
      <c r="TRY55" s="3078"/>
      <c r="TRZ55" s="3078"/>
      <c r="TSA55" s="3078"/>
      <c r="TSB55" s="3078"/>
      <c r="TSC55" s="3075" t="s">
        <v>55</v>
      </c>
      <c r="TSD55" s="3078"/>
      <c r="TSE55" s="3078"/>
      <c r="TSF55" s="3078"/>
      <c r="TSG55" s="3078"/>
      <c r="TSH55" s="3078"/>
      <c r="TSI55" s="3078"/>
      <c r="TSJ55" s="3078"/>
      <c r="TSK55" s="3075" t="s">
        <v>55</v>
      </c>
      <c r="TSL55" s="3078"/>
      <c r="TSM55" s="3078"/>
      <c r="TSN55" s="3078"/>
      <c r="TSO55" s="3078"/>
      <c r="TSP55" s="3078"/>
      <c r="TSQ55" s="3078"/>
      <c r="TSR55" s="3078"/>
      <c r="TSS55" s="3075" t="s">
        <v>55</v>
      </c>
      <c r="TST55" s="3078"/>
      <c r="TSU55" s="3078"/>
      <c r="TSV55" s="3078"/>
      <c r="TSW55" s="3078"/>
      <c r="TSX55" s="3078"/>
      <c r="TSY55" s="3078"/>
      <c r="TSZ55" s="3078"/>
      <c r="TTA55" s="3075" t="s">
        <v>55</v>
      </c>
      <c r="TTB55" s="3078"/>
      <c r="TTC55" s="3078"/>
      <c r="TTD55" s="3078"/>
      <c r="TTE55" s="3078"/>
      <c r="TTF55" s="3078"/>
      <c r="TTG55" s="3078"/>
      <c r="TTH55" s="3078"/>
      <c r="TTI55" s="3075" t="s">
        <v>55</v>
      </c>
      <c r="TTJ55" s="3078"/>
      <c r="TTK55" s="3078"/>
      <c r="TTL55" s="3078"/>
      <c r="TTM55" s="3078"/>
      <c r="TTN55" s="3078"/>
      <c r="TTO55" s="3078"/>
      <c r="TTP55" s="3078"/>
      <c r="TTQ55" s="3075" t="s">
        <v>55</v>
      </c>
      <c r="TTR55" s="3078"/>
      <c r="TTS55" s="3078"/>
      <c r="TTT55" s="3078"/>
      <c r="TTU55" s="3078"/>
      <c r="TTV55" s="3078"/>
      <c r="TTW55" s="3078"/>
      <c r="TTX55" s="3078"/>
      <c r="TTY55" s="3075" t="s">
        <v>55</v>
      </c>
      <c r="TTZ55" s="3078"/>
      <c r="TUA55" s="3078"/>
      <c r="TUB55" s="3078"/>
      <c r="TUC55" s="3078"/>
      <c r="TUD55" s="3078"/>
      <c r="TUE55" s="3078"/>
      <c r="TUF55" s="3078"/>
      <c r="TUG55" s="3075" t="s">
        <v>55</v>
      </c>
      <c r="TUH55" s="3078"/>
      <c r="TUI55" s="3078"/>
      <c r="TUJ55" s="3078"/>
      <c r="TUK55" s="3078"/>
      <c r="TUL55" s="3078"/>
      <c r="TUM55" s="3078"/>
      <c r="TUN55" s="3078"/>
      <c r="TUO55" s="3075" t="s">
        <v>55</v>
      </c>
      <c r="TUP55" s="3078"/>
      <c r="TUQ55" s="3078"/>
      <c r="TUR55" s="3078"/>
      <c r="TUS55" s="3078"/>
      <c r="TUT55" s="3078"/>
      <c r="TUU55" s="3078"/>
      <c r="TUV55" s="3078"/>
      <c r="TUW55" s="3075" t="s">
        <v>55</v>
      </c>
      <c r="TUX55" s="3078"/>
      <c r="TUY55" s="3078"/>
      <c r="TUZ55" s="3078"/>
      <c r="TVA55" s="3078"/>
      <c r="TVB55" s="3078"/>
      <c r="TVC55" s="3078"/>
      <c r="TVD55" s="3078"/>
      <c r="TVE55" s="3075" t="s">
        <v>55</v>
      </c>
      <c r="TVF55" s="3078"/>
      <c r="TVG55" s="3078"/>
      <c r="TVH55" s="3078"/>
      <c r="TVI55" s="3078"/>
      <c r="TVJ55" s="3078"/>
      <c r="TVK55" s="3078"/>
      <c r="TVL55" s="3078"/>
      <c r="TVM55" s="3075" t="s">
        <v>55</v>
      </c>
      <c r="TVN55" s="3078"/>
      <c r="TVO55" s="3078"/>
      <c r="TVP55" s="3078"/>
      <c r="TVQ55" s="3078"/>
      <c r="TVR55" s="3078"/>
      <c r="TVS55" s="3078"/>
      <c r="TVT55" s="3078"/>
      <c r="TVU55" s="3075" t="s">
        <v>55</v>
      </c>
      <c r="TVV55" s="3078"/>
      <c r="TVW55" s="3078"/>
      <c r="TVX55" s="3078"/>
      <c r="TVY55" s="3078"/>
      <c r="TVZ55" s="3078"/>
      <c r="TWA55" s="3078"/>
      <c r="TWB55" s="3078"/>
      <c r="TWC55" s="3075" t="s">
        <v>55</v>
      </c>
      <c r="TWD55" s="3078"/>
      <c r="TWE55" s="3078"/>
      <c r="TWF55" s="3078"/>
      <c r="TWG55" s="3078"/>
      <c r="TWH55" s="3078"/>
      <c r="TWI55" s="3078"/>
      <c r="TWJ55" s="3078"/>
      <c r="TWK55" s="3075" t="s">
        <v>55</v>
      </c>
      <c r="TWL55" s="3078"/>
      <c r="TWM55" s="3078"/>
      <c r="TWN55" s="3078"/>
      <c r="TWO55" s="3078"/>
      <c r="TWP55" s="3078"/>
      <c r="TWQ55" s="3078"/>
      <c r="TWR55" s="3078"/>
      <c r="TWS55" s="3075" t="s">
        <v>55</v>
      </c>
      <c r="TWT55" s="3078"/>
      <c r="TWU55" s="3078"/>
      <c r="TWV55" s="3078"/>
      <c r="TWW55" s="3078"/>
      <c r="TWX55" s="3078"/>
      <c r="TWY55" s="3078"/>
      <c r="TWZ55" s="3078"/>
      <c r="TXA55" s="3075" t="s">
        <v>55</v>
      </c>
      <c r="TXB55" s="3078"/>
      <c r="TXC55" s="3078"/>
      <c r="TXD55" s="3078"/>
      <c r="TXE55" s="3078"/>
      <c r="TXF55" s="3078"/>
      <c r="TXG55" s="3078"/>
      <c r="TXH55" s="3078"/>
      <c r="TXI55" s="3075" t="s">
        <v>55</v>
      </c>
      <c r="TXJ55" s="3078"/>
      <c r="TXK55" s="3078"/>
      <c r="TXL55" s="3078"/>
      <c r="TXM55" s="3078"/>
      <c r="TXN55" s="3078"/>
      <c r="TXO55" s="3078"/>
      <c r="TXP55" s="3078"/>
      <c r="TXQ55" s="3075" t="s">
        <v>55</v>
      </c>
      <c r="TXR55" s="3078"/>
      <c r="TXS55" s="3078"/>
      <c r="TXT55" s="3078"/>
      <c r="TXU55" s="3078"/>
      <c r="TXV55" s="3078"/>
      <c r="TXW55" s="3078"/>
      <c r="TXX55" s="3078"/>
      <c r="TXY55" s="3075" t="s">
        <v>55</v>
      </c>
      <c r="TXZ55" s="3078"/>
      <c r="TYA55" s="3078"/>
      <c r="TYB55" s="3078"/>
      <c r="TYC55" s="3078"/>
      <c r="TYD55" s="3078"/>
      <c r="TYE55" s="3078"/>
      <c r="TYF55" s="3078"/>
      <c r="TYG55" s="3075" t="s">
        <v>55</v>
      </c>
      <c r="TYH55" s="3078"/>
      <c r="TYI55" s="3078"/>
      <c r="TYJ55" s="3078"/>
      <c r="TYK55" s="3078"/>
      <c r="TYL55" s="3078"/>
      <c r="TYM55" s="3078"/>
      <c r="TYN55" s="3078"/>
      <c r="TYO55" s="3075" t="s">
        <v>55</v>
      </c>
      <c r="TYP55" s="3078"/>
      <c r="TYQ55" s="3078"/>
      <c r="TYR55" s="3078"/>
      <c r="TYS55" s="3078"/>
      <c r="TYT55" s="3078"/>
      <c r="TYU55" s="3078"/>
      <c r="TYV55" s="3078"/>
      <c r="TYW55" s="3075" t="s">
        <v>55</v>
      </c>
      <c r="TYX55" s="3078"/>
      <c r="TYY55" s="3078"/>
      <c r="TYZ55" s="3078"/>
      <c r="TZA55" s="3078"/>
      <c r="TZB55" s="3078"/>
      <c r="TZC55" s="3078"/>
      <c r="TZD55" s="3078"/>
      <c r="TZE55" s="3075" t="s">
        <v>55</v>
      </c>
      <c r="TZF55" s="3078"/>
      <c r="TZG55" s="3078"/>
      <c r="TZH55" s="3078"/>
      <c r="TZI55" s="3078"/>
      <c r="TZJ55" s="3078"/>
      <c r="TZK55" s="3078"/>
      <c r="TZL55" s="3078"/>
      <c r="TZM55" s="3075" t="s">
        <v>55</v>
      </c>
      <c r="TZN55" s="3078"/>
      <c r="TZO55" s="3078"/>
      <c r="TZP55" s="3078"/>
      <c r="TZQ55" s="3078"/>
      <c r="TZR55" s="3078"/>
      <c r="TZS55" s="3078"/>
      <c r="TZT55" s="3078"/>
      <c r="TZU55" s="3075" t="s">
        <v>55</v>
      </c>
      <c r="TZV55" s="3078"/>
      <c r="TZW55" s="3078"/>
      <c r="TZX55" s="3078"/>
      <c r="TZY55" s="3078"/>
      <c r="TZZ55" s="3078"/>
      <c r="UAA55" s="3078"/>
      <c r="UAB55" s="3078"/>
      <c r="UAC55" s="3075" t="s">
        <v>55</v>
      </c>
      <c r="UAD55" s="3078"/>
      <c r="UAE55" s="3078"/>
      <c r="UAF55" s="3078"/>
      <c r="UAG55" s="3078"/>
      <c r="UAH55" s="3078"/>
      <c r="UAI55" s="3078"/>
      <c r="UAJ55" s="3078"/>
      <c r="UAK55" s="3075" t="s">
        <v>55</v>
      </c>
      <c r="UAL55" s="3078"/>
      <c r="UAM55" s="3078"/>
      <c r="UAN55" s="3078"/>
      <c r="UAO55" s="3078"/>
      <c r="UAP55" s="3078"/>
      <c r="UAQ55" s="3078"/>
      <c r="UAR55" s="3078"/>
      <c r="UAS55" s="3075" t="s">
        <v>55</v>
      </c>
      <c r="UAT55" s="3078"/>
      <c r="UAU55" s="3078"/>
      <c r="UAV55" s="3078"/>
      <c r="UAW55" s="3078"/>
      <c r="UAX55" s="3078"/>
      <c r="UAY55" s="3078"/>
      <c r="UAZ55" s="3078"/>
      <c r="UBA55" s="3075" t="s">
        <v>55</v>
      </c>
      <c r="UBB55" s="3078"/>
      <c r="UBC55" s="3078"/>
      <c r="UBD55" s="3078"/>
      <c r="UBE55" s="3078"/>
      <c r="UBF55" s="3078"/>
      <c r="UBG55" s="3078"/>
      <c r="UBH55" s="3078"/>
      <c r="UBI55" s="3075" t="s">
        <v>55</v>
      </c>
      <c r="UBJ55" s="3078"/>
      <c r="UBK55" s="3078"/>
      <c r="UBL55" s="3078"/>
      <c r="UBM55" s="3078"/>
      <c r="UBN55" s="3078"/>
      <c r="UBO55" s="3078"/>
      <c r="UBP55" s="3078"/>
      <c r="UBQ55" s="3075" t="s">
        <v>55</v>
      </c>
      <c r="UBR55" s="3078"/>
      <c r="UBS55" s="3078"/>
      <c r="UBT55" s="3078"/>
      <c r="UBU55" s="3078"/>
      <c r="UBV55" s="3078"/>
      <c r="UBW55" s="3078"/>
      <c r="UBX55" s="3078"/>
      <c r="UBY55" s="3075" t="s">
        <v>55</v>
      </c>
      <c r="UBZ55" s="3078"/>
      <c r="UCA55" s="3078"/>
      <c r="UCB55" s="3078"/>
      <c r="UCC55" s="3078"/>
      <c r="UCD55" s="3078"/>
      <c r="UCE55" s="3078"/>
      <c r="UCF55" s="3078"/>
      <c r="UCG55" s="3075" t="s">
        <v>55</v>
      </c>
      <c r="UCH55" s="3078"/>
      <c r="UCI55" s="3078"/>
      <c r="UCJ55" s="3078"/>
      <c r="UCK55" s="3078"/>
      <c r="UCL55" s="3078"/>
      <c r="UCM55" s="3078"/>
      <c r="UCN55" s="3078"/>
      <c r="UCO55" s="3075" t="s">
        <v>55</v>
      </c>
      <c r="UCP55" s="3078"/>
      <c r="UCQ55" s="3078"/>
      <c r="UCR55" s="3078"/>
      <c r="UCS55" s="3078"/>
      <c r="UCT55" s="3078"/>
      <c r="UCU55" s="3078"/>
      <c r="UCV55" s="3078"/>
      <c r="UCW55" s="3075" t="s">
        <v>55</v>
      </c>
      <c r="UCX55" s="3078"/>
      <c r="UCY55" s="3078"/>
      <c r="UCZ55" s="3078"/>
      <c r="UDA55" s="3078"/>
      <c r="UDB55" s="3078"/>
      <c r="UDC55" s="3078"/>
      <c r="UDD55" s="3078"/>
      <c r="UDE55" s="3075" t="s">
        <v>55</v>
      </c>
      <c r="UDF55" s="3078"/>
      <c r="UDG55" s="3078"/>
      <c r="UDH55" s="3078"/>
      <c r="UDI55" s="3078"/>
      <c r="UDJ55" s="3078"/>
      <c r="UDK55" s="3078"/>
      <c r="UDL55" s="3078"/>
      <c r="UDM55" s="3075" t="s">
        <v>55</v>
      </c>
      <c r="UDN55" s="3078"/>
      <c r="UDO55" s="3078"/>
      <c r="UDP55" s="3078"/>
      <c r="UDQ55" s="3078"/>
      <c r="UDR55" s="3078"/>
      <c r="UDS55" s="3078"/>
      <c r="UDT55" s="3078"/>
      <c r="UDU55" s="3075" t="s">
        <v>55</v>
      </c>
      <c r="UDV55" s="3078"/>
      <c r="UDW55" s="3078"/>
      <c r="UDX55" s="3078"/>
      <c r="UDY55" s="3078"/>
      <c r="UDZ55" s="3078"/>
      <c r="UEA55" s="3078"/>
      <c r="UEB55" s="3078"/>
      <c r="UEC55" s="3075" t="s">
        <v>55</v>
      </c>
      <c r="UED55" s="3078"/>
      <c r="UEE55" s="3078"/>
      <c r="UEF55" s="3078"/>
      <c r="UEG55" s="3078"/>
      <c r="UEH55" s="3078"/>
      <c r="UEI55" s="3078"/>
      <c r="UEJ55" s="3078"/>
      <c r="UEK55" s="3075" t="s">
        <v>55</v>
      </c>
      <c r="UEL55" s="3078"/>
      <c r="UEM55" s="3078"/>
      <c r="UEN55" s="3078"/>
      <c r="UEO55" s="3078"/>
      <c r="UEP55" s="3078"/>
      <c r="UEQ55" s="3078"/>
      <c r="UER55" s="3078"/>
      <c r="UES55" s="3075" t="s">
        <v>55</v>
      </c>
      <c r="UET55" s="3078"/>
      <c r="UEU55" s="3078"/>
      <c r="UEV55" s="3078"/>
      <c r="UEW55" s="3078"/>
      <c r="UEX55" s="3078"/>
      <c r="UEY55" s="3078"/>
      <c r="UEZ55" s="3078"/>
      <c r="UFA55" s="3075" t="s">
        <v>55</v>
      </c>
      <c r="UFB55" s="3078"/>
      <c r="UFC55" s="3078"/>
      <c r="UFD55" s="3078"/>
      <c r="UFE55" s="3078"/>
      <c r="UFF55" s="3078"/>
      <c r="UFG55" s="3078"/>
      <c r="UFH55" s="3078"/>
      <c r="UFI55" s="3075" t="s">
        <v>55</v>
      </c>
      <c r="UFJ55" s="3078"/>
      <c r="UFK55" s="3078"/>
      <c r="UFL55" s="3078"/>
      <c r="UFM55" s="3078"/>
      <c r="UFN55" s="3078"/>
      <c r="UFO55" s="3078"/>
      <c r="UFP55" s="3078"/>
      <c r="UFQ55" s="3075" t="s">
        <v>55</v>
      </c>
      <c r="UFR55" s="3078"/>
      <c r="UFS55" s="3078"/>
      <c r="UFT55" s="3078"/>
      <c r="UFU55" s="3078"/>
      <c r="UFV55" s="3078"/>
      <c r="UFW55" s="3078"/>
      <c r="UFX55" s="3078"/>
      <c r="UFY55" s="3075" t="s">
        <v>55</v>
      </c>
      <c r="UFZ55" s="3078"/>
      <c r="UGA55" s="3078"/>
      <c r="UGB55" s="3078"/>
      <c r="UGC55" s="3078"/>
      <c r="UGD55" s="3078"/>
      <c r="UGE55" s="3078"/>
      <c r="UGF55" s="3078"/>
      <c r="UGG55" s="3075" t="s">
        <v>55</v>
      </c>
      <c r="UGH55" s="3078"/>
      <c r="UGI55" s="3078"/>
      <c r="UGJ55" s="3078"/>
      <c r="UGK55" s="3078"/>
      <c r="UGL55" s="3078"/>
      <c r="UGM55" s="3078"/>
      <c r="UGN55" s="3078"/>
      <c r="UGO55" s="3075" t="s">
        <v>55</v>
      </c>
      <c r="UGP55" s="3078"/>
      <c r="UGQ55" s="3078"/>
      <c r="UGR55" s="3078"/>
      <c r="UGS55" s="3078"/>
      <c r="UGT55" s="3078"/>
      <c r="UGU55" s="3078"/>
      <c r="UGV55" s="3078"/>
      <c r="UGW55" s="3075" t="s">
        <v>55</v>
      </c>
      <c r="UGX55" s="3078"/>
      <c r="UGY55" s="3078"/>
      <c r="UGZ55" s="3078"/>
      <c r="UHA55" s="3078"/>
      <c r="UHB55" s="3078"/>
      <c r="UHC55" s="3078"/>
      <c r="UHD55" s="3078"/>
      <c r="UHE55" s="3075" t="s">
        <v>55</v>
      </c>
      <c r="UHF55" s="3078"/>
      <c r="UHG55" s="3078"/>
      <c r="UHH55" s="3078"/>
      <c r="UHI55" s="3078"/>
      <c r="UHJ55" s="3078"/>
      <c r="UHK55" s="3078"/>
      <c r="UHL55" s="3078"/>
      <c r="UHM55" s="3075" t="s">
        <v>55</v>
      </c>
      <c r="UHN55" s="3078"/>
      <c r="UHO55" s="3078"/>
      <c r="UHP55" s="3078"/>
      <c r="UHQ55" s="3078"/>
      <c r="UHR55" s="3078"/>
      <c r="UHS55" s="3078"/>
      <c r="UHT55" s="3078"/>
      <c r="UHU55" s="3075" t="s">
        <v>55</v>
      </c>
      <c r="UHV55" s="3078"/>
      <c r="UHW55" s="3078"/>
      <c r="UHX55" s="3078"/>
      <c r="UHY55" s="3078"/>
      <c r="UHZ55" s="3078"/>
      <c r="UIA55" s="3078"/>
      <c r="UIB55" s="3078"/>
      <c r="UIC55" s="3075" t="s">
        <v>55</v>
      </c>
      <c r="UID55" s="3078"/>
      <c r="UIE55" s="3078"/>
      <c r="UIF55" s="3078"/>
      <c r="UIG55" s="3078"/>
      <c r="UIH55" s="3078"/>
      <c r="UII55" s="3078"/>
      <c r="UIJ55" s="3078"/>
      <c r="UIK55" s="3075" t="s">
        <v>55</v>
      </c>
      <c r="UIL55" s="3078"/>
      <c r="UIM55" s="3078"/>
      <c r="UIN55" s="3078"/>
      <c r="UIO55" s="3078"/>
      <c r="UIP55" s="3078"/>
      <c r="UIQ55" s="3078"/>
      <c r="UIR55" s="3078"/>
      <c r="UIS55" s="3075" t="s">
        <v>55</v>
      </c>
      <c r="UIT55" s="3078"/>
      <c r="UIU55" s="3078"/>
      <c r="UIV55" s="3078"/>
      <c r="UIW55" s="3078"/>
      <c r="UIX55" s="3078"/>
      <c r="UIY55" s="3078"/>
      <c r="UIZ55" s="3078"/>
      <c r="UJA55" s="3075" t="s">
        <v>55</v>
      </c>
      <c r="UJB55" s="3078"/>
      <c r="UJC55" s="3078"/>
      <c r="UJD55" s="3078"/>
      <c r="UJE55" s="3078"/>
      <c r="UJF55" s="3078"/>
      <c r="UJG55" s="3078"/>
      <c r="UJH55" s="3078"/>
      <c r="UJI55" s="3075" t="s">
        <v>55</v>
      </c>
      <c r="UJJ55" s="3078"/>
      <c r="UJK55" s="3078"/>
      <c r="UJL55" s="3078"/>
      <c r="UJM55" s="3078"/>
      <c r="UJN55" s="3078"/>
      <c r="UJO55" s="3078"/>
      <c r="UJP55" s="3078"/>
      <c r="UJQ55" s="3075" t="s">
        <v>55</v>
      </c>
      <c r="UJR55" s="3078"/>
      <c r="UJS55" s="3078"/>
      <c r="UJT55" s="3078"/>
      <c r="UJU55" s="3078"/>
      <c r="UJV55" s="3078"/>
      <c r="UJW55" s="3078"/>
      <c r="UJX55" s="3078"/>
      <c r="UJY55" s="3075" t="s">
        <v>55</v>
      </c>
      <c r="UJZ55" s="3078"/>
      <c r="UKA55" s="3078"/>
      <c r="UKB55" s="3078"/>
      <c r="UKC55" s="3078"/>
      <c r="UKD55" s="3078"/>
      <c r="UKE55" s="3078"/>
      <c r="UKF55" s="3078"/>
      <c r="UKG55" s="3075" t="s">
        <v>55</v>
      </c>
      <c r="UKH55" s="3078"/>
      <c r="UKI55" s="3078"/>
      <c r="UKJ55" s="3078"/>
      <c r="UKK55" s="3078"/>
      <c r="UKL55" s="3078"/>
      <c r="UKM55" s="3078"/>
      <c r="UKN55" s="3078"/>
      <c r="UKO55" s="3075" t="s">
        <v>55</v>
      </c>
      <c r="UKP55" s="3078"/>
      <c r="UKQ55" s="3078"/>
      <c r="UKR55" s="3078"/>
      <c r="UKS55" s="3078"/>
      <c r="UKT55" s="3078"/>
      <c r="UKU55" s="3078"/>
      <c r="UKV55" s="3078"/>
      <c r="UKW55" s="3075" t="s">
        <v>55</v>
      </c>
      <c r="UKX55" s="3078"/>
      <c r="UKY55" s="3078"/>
      <c r="UKZ55" s="3078"/>
      <c r="ULA55" s="3078"/>
      <c r="ULB55" s="3078"/>
      <c r="ULC55" s="3078"/>
      <c r="ULD55" s="3078"/>
      <c r="ULE55" s="3075" t="s">
        <v>55</v>
      </c>
      <c r="ULF55" s="3078"/>
      <c r="ULG55" s="3078"/>
      <c r="ULH55" s="3078"/>
      <c r="ULI55" s="3078"/>
      <c r="ULJ55" s="3078"/>
      <c r="ULK55" s="3078"/>
      <c r="ULL55" s="3078"/>
      <c r="ULM55" s="3075" t="s">
        <v>55</v>
      </c>
      <c r="ULN55" s="3078"/>
      <c r="ULO55" s="3078"/>
      <c r="ULP55" s="3078"/>
      <c r="ULQ55" s="3078"/>
      <c r="ULR55" s="3078"/>
      <c r="ULS55" s="3078"/>
      <c r="ULT55" s="3078"/>
      <c r="ULU55" s="3075" t="s">
        <v>55</v>
      </c>
      <c r="ULV55" s="3078"/>
      <c r="ULW55" s="3078"/>
      <c r="ULX55" s="3078"/>
      <c r="ULY55" s="3078"/>
      <c r="ULZ55" s="3078"/>
      <c r="UMA55" s="3078"/>
      <c r="UMB55" s="3078"/>
      <c r="UMC55" s="3075" t="s">
        <v>55</v>
      </c>
      <c r="UMD55" s="3078"/>
      <c r="UME55" s="3078"/>
      <c r="UMF55" s="3078"/>
      <c r="UMG55" s="3078"/>
      <c r="UMH55" s="3078"/>
      <c r="UMI55" s="3078"/>
      <c r="UMJ55" s="3078"/>
      <c r="UMK55" s="3075" t="s">
        <v>55</v>
      </c>
      <c r="UML55" s="3078"/>
      <c r="UMM55" s="3078"/>
      <c r="UMN55" s="3078"/>
      <c r="UMO55" s="3078"/>
      <c r="UMP55" s="3078"/>
      <c r="UMQ55" s="3078"/>
      <c r="UMR55" s="3078"/>
      <c r="UMS55" s="3075" t="s">
        <v>55</v>
      </c>
      <c r="UMT55" s="3078"/>
      <c r="UMU55" s="3078"/>
      <c r="UMV55" s="3078"/>
      <c r="UMW55" s="3078"/>
      <c r="UMX55" s="3078"/>
      <c r="UMY55" s="3078"/>
      <c r="UMZ55" s="3078"/>
      <c r="UNA55" s="3075" t="s">
        <v>55</v>
      </c>
      <c r="UNB55" s="3078"/>
      <c r="UNC55" s="3078"/>
      <c r="UND55" s="3078"/>
      <c r="UNE55" s="3078"/>
      <c r="UNF55" s="3078"/>
      <c r="UNG55" s="3078"/>
      <c r="UNH55" s="3078"/>
      <c r="UNI55" s="3075" t="s">
        <v>55</v>
      </c>
      <c r="UNJ55" s="3078"/>
      <c r="UNK55" s="3078"/>
      <c r="UNL55" s="3078"/>
      <c r="UNM55" s="3078"/>
      <c r="UNN55" s="3078"/>
      <c r="UNO55" s="3078"/>
      <c r="UNP55" s="3078"/>
      <c r="UNQ55" s="3075" t="s">
        <v>55</v>
      </c>
      <c r="UNR55" s="3078"/>
      <c r="UNS55" s="3078"/>
      <c r="UNT55" s="3078"/>
      <c r="UNU55" s="3078"/>
      <c r="UNV55" s="3078"/>
      <c r="UNW55" s="3078"/>
      <c r="UNX55" s="3078"/>
      <c r="UNY55" s="3075" t="s">
        <v>55</v>
      </c>
      <c r="UNZ55" s="3078"/>
      <c r="UOA55" s="3078"/>
      <c r="UOB55" s="3078"/>
      <c r="UOC55" s="3078"/>
      <c r="UOD55" s="3078"/>
      <c r="UOE55" s="3078"/>
      <c r="UOF55" s="3078"/>
      <c r="UOG55" s="3075" t="s">
        <v>55</v>
      </c>
      <c r="UOH55" s="3078"/>
      <c r="UOI55" s="3078"/>
      <c r="UOJ55" s="3078"/>
      <c r="UOK55" s="3078"/>
      <c r="UOL55" s="3078"/>
      <c r="UOM55" s="3078"/>
      <c r="UON55" s="3078"/>
      <c r="UOO55" s="3075" t="s">
        <v>55</v>
      </c>
      <c r="UOP55" s="3078"/>
      <c r="UOQ55" s="3078"/>
      <c r="UOR55" s="3078"/>
      <c r="UOS55" s="3078"/>
      <c r="UOT55" s="3078"/>
      <c r="UOU55" s="3078"/>
      <c r="UOV55" s="3078"/>
      <c r="UOW55" s="3075" t="s">
        <v>55</v>
      </c>
      <c r="UOX55" s="3078"/>
      <c r="UOY55" s="3078"/>
      <c r="UOZ55" s="3078"/>
      <c r="UPA55" s="3078"/>
      <c r="UPB55" s="3078"/>
      <c r="UPC55" s="3078"/>
      <c r="UPD55" s="3078"/>
      <c r="UPE55" s="3075" t="s">
        <v>55</v>
      </c>
      <c r="UPF55" s="3078"/>
      <c r="UPG55" s="3078"/>
      <c r="UPH55" s="3078"/>
      <c r="UPI55" s="3078"/>
      <c r="UPJ55" s="3078"/>
      <c r="UPK55" s="3078"/>
      <c r="UPL55" s="3078"/>
      <c r="UPM55" s="3075" t="s">
        <v>55</v>
      </c>
      <c r="UPN55" s="3078"/>
      <c r="UPO55" s="3078"/>
      <c r="UPP55" s="3078"/>
      <c r="UPQ55" s="3078"/>
      <c r="UPR55" s="3078"/>
      <c r="UPS55" s="3078"/>
      <c r="UPT55" s="3078"/>
      <c r="UPU55" s="3075" t="s">
        <v>55</v>
      </c>
      <c r="UPV55" s="3078"/>
      <c r="UPW55" s="3078"/>
      <c r="UPX55" s="3078"/>
      <c r="UPY55" s="3078"/>
      <c r="UPZ55" s="3078"/>
      <c r="UQA55" s="3078"/>
      <c r="UQB55" s="3078"/>
      <c r="UQC55" s="3075" t="s">
        <v>55</v>
      </c>
      <c r="UQD55" s="3078"/>
      <c r="UQE55" s="3078"/>
      <c r="UQF55" s="3078"/>
      <c r="UQG55" s="3078"/>
      <c r="UQH55" s="3078"/>
      <c r="UQI55" s="3078"/>
      <c r="UQJ55" s="3078"/>
      <c r="UQK55" s="3075" t="s">
        <v>55</v>
      </c>
      <c r="UQL55" s="3078"/>
      <c r="UQM55" s="3078"/>
      <c r="UQN55" s="3078"/>
      <c r="UQO55" s="3078"/>
      <c r="UQP55" s="3078"/>
      <c r="UQQ55" s="3078"/>
      <c r="UQR55" s="3078"/>
      <c r="UQS55" s="3075" t="s">
        <v>55</v>
      </c>
      <c r="UQT55" s="3078"/>
      <c r="UQU55" s="3078"/>
      <c r="UQV55" s="3078"/>
      <c r="UQW55" s="3078"/>
      <c r="UQX55" s="3078"/>
      <c r="UQY55" s="3078"/>
      <c r="UQZ55" s="3078"/>
      <c r="URA55" s="3075" t="s">
        <v>55</v>
      </c>
      <c r="URB55" s="3078"/>
      <c r="URC55" s="3078"/>
      <c r="URD55" s="3078"/>
      <c r="URE55" s="3078"/>
      <c r="URF55" s="3078"/>
      <c r="URG55" s="3078"/>
      <c r="URH55" s="3078"/>
      <c r="URI55" s="3075" t="s">
        <v>55</v>
      </c>
      <c r="URJ55" s="3078"/>
      <c r="URK55" s="3078"/>
      <c r="URL55" s="3078"/>
      <c r="URM55" s="3078"/>
      <c r="URN55" s="3078"/>
      <c r="URO55" s="3078"/>
      <c r="URP55" s="3078"/>
      <c r="URQ55" s="3075" t="s">
        <v>55</v>
      </c>
      <c r="URR55" s="3078"/>
      <c r="URS55" s="3078"/>
      <c r="URT55" s="3078"/>
      <c r="URU55" s="3078"/>
      <c r="URV55" s="3078"/>
      <c r="URW55" s="3078"/>
      <c r="URX55" s="3078"/>
      <c r="URY55" s="3075" t="s">
        <v>55</v>
      </c>
      <c r="URZ55" s="3078"/>
      <c r="USA55" s="3078"/>
      <c r="USB55" s="3078"/>
      <c r="USC55" s="3078"/>
      <c r="USD55" s="3078"/>
      <c r="USE55" s="3078"/>
      <c r="USF55" s="3078"/>
      <c r="USG55" s="3075" t="s">
        <v>55</v>
      </c>
      <c r="USH55" s="3078"/>
      <c r="USI55" s="3078"/>
      <c r="USJ55" s="3078"/>
      <c r="USK55" s="3078"/>
      <c r="USL55" s="3078"/>
      <c r="USM55" s="3078"/>
      <c r="USN55" s="3078"/>
      <c r="USO55" s="3075" t="s">
        <v>55</v>
      </c>
      <c r="USP55" s="3078"/>
      <c r="USQ55" s="3078"/>
      <c r="USR55" s="3078"/>
      <c r="USS55" s="3078"/>
      <c r="UST55" s="3078"/>
      <c r="USU55" s="3078"/>
      <c r="USV55" s="3078"/>
      <c r="USW55" s="3075" t="s">
        <v>55</v>
      </c>
      <c r="USX55" s="3078"/>
      <c r="USY55" s="3078"/>
      <c r="USZ55" s="3078"/>
      <c r="UTA55" s="3078"/>
      <c r="UTB55" s="3078"/>
      <c r="UTC55" s="3078"/>
      <c r="UTD55" s="3078"/>
      <c r="UTE55" s="3075" t="s">
        <v>55</v>
      </c>
      <c r="UTF55" s="3078"/>
      <c r="UTG55" s="3078"/>
      <c r="UTH55" s="3078"/>
      <c r="UTI55" s="3078"/>
      <c r="UTJ55" s="3078"/>
      <c r="UTK55" s="3078"/>
      <c r="UTL55" s="3078"/>
      <c r="UTM55" s="3075" t="s">
        <v>55</v>
      </c>
      <c r="UTN55" s="3078"/>
      <c r="UTO55" s="3078"/>
      <c r="UTP55" s="3078"/>
      <c r="UTQ55" s="3078"/>
      <c r="UTR55" s="3078"/>
      <c r="UTS55" s="3078"/>
      <c r="UTT55" s="3078"/>
      <c r="UTU55" s="3075" t="s">
        <v>55</v>
      </c>
      <c r="UTV55" s="3078"/>
      <c r="UTW55" s="3078"/>
      <c r="UTX55" s="3078"/>
      <c r="UTY55" s="3078"/>
      <c r="UTZ55" s="3078"/>
      <c r="UUA55" s="3078"/>
      <c r="UUB55" s="3078"/>
      <c r="UUC55" s="3075" t="s">
        <v>55</v>
      </c>
      <c r="UUD55" s="3078"/>
      <c r="UUE55" s="3078"/>
      <c r="UUF55" s="3078"/>
      <c r="UUG55" s="3078"/>
      <c r="UUH55" s="3078"/>
      <c r="UUI55" s="3078"/>
      <c r="UUJ55" s="3078"/>
      <c r="UUK55" s="3075" t="s">
        <v>55</v>
      </c>
      <c r="UUL55" s="3078"/>
      <c r="UUM55" s="3078"/>
      <c r="UUN55" s="3078"/>
      <c r="UUO55" s="3078"/>
      <c r="UUP55" s="3078"/>
      <c r="UUQ55" s="3078"/>
      <c r="UUR55" s="3078"/>
      <c r="UUS55" s="3075" t="s">
        <v>55</v>
      </c>
      <c r="UUT55" s="3078"/>
      <c r="UUU55" s="3078"/>
      <c r="UUV55" s="3078"/>
      <c r="UUW55" s="3078"/>
      <c r="UUX55" s="3078"/>
      <c r="UUY55" s="3078"/>
      <c r="UUZ55" s="3078"/>
      <c r="UVA55" s="3075" t="s">
        <v>55</v>
      </c>
      <c r="UVB55" s="3078"/>
      <c r="UVC55" s="3078"/>
      <c r="UVD55" s="3078"/>
      <c r="UVE55" s="3078"/>
      <c r="UVF55" s="3078"/>
      <c r="UVG55" s="3078"/>
      <c r="UVH55" s="3078"/>
      <c r="UVI55" s="3075" t="s">
        <v>55</v>
      </c>
      <c r="UVJ55" s="3078"/>
      <c r="UVK55" s="3078"/>
      <c r="UVL55" s="3078"/>
      <c r="UVM55" s="3078"/>
      <c r="UVN55" s="3078"/>
      <c r="UVO55" s="3078"/>
      <c r="UVP55" s="3078"/>
      <c r="UVQ55" s="3075" t="s">
        <v>55</v>
      </c>
      <c r="UVR55" s="3078"/>
      <c r="UVS55" s="3078"/>
      <c r="UVT55" s="3078"/>
      <c r="UVU55" s="3078"/>
      <c r="UVV55" s="3078"/>
      <c r="UVW55" s="3078"/>
      <c r="UVX55" s="3078"/>
      <c r="UVY55" s="3075" t="s">
        <v>55</v>
      </c>
      <c r="UVZ55" s="3078"/>
      <c r="UWA55" s="3078"/>
      <c r="UWB55" s="3078"/>
      <c r="UWC55" s="3078"/>
      <c r="UWD55" s="3078"/>
      <c r="UWE55" s="3078"/>
      <c r="UWF55" s="3078"/>
      <c r="UWG55" s="3075" t="s">
        <v>55</v>
      </c>
      <c r="UWH55" s="3078"/>
      <c r="UWI55" s="3078"/>
      <c r="UWJ55" s="3078"/>
      <c r="UWK55" s="3078"/>
      <c r="UWL55" s="3078"/>
      <c r="UWM55" s="3078"/>
      <c r="UWN55" s="3078"/>
      <c r="UWO55" s="3075" t="s">
        <v>55</v>
      </c>
      <c r="UWP55" s="3078"/>
      <c r="UWQ55" s="3078"/>
      <c r="UWR55" s="3078"/>
      <c r="UWS55" s="3078"/>
      <c r="UWT55" s="3078"/>
      <c r="UWU55" s="3078"/>
      <c r="UWV55" s="3078"/>
      <c r="UWW55" s="3075" t="s">
        <v>55</v>
      </c>
      <c r="UWX55" s="3078"/>
      <c r="UWY55" s="3078"/>
      <c r="UWZ55" s="3078"/>
      <c r="UXA55" s="3078"/>
      <c r="UXB55" s="3078"/>
      <c r="UXC55" s="3078"/>
      <c r="UXD55" s="3078"/>
      <c r="UXE55" s="3075" t="s">
        <v>55</v>
      </c>
      <c r="UXF55" s="3078"/>
      <c r="UXG55" s="3078"/>
      <c r="UXH55" s="3078"/>
      <c r="UXI55" s="3078"/>
      <c r="UXJ55" s="3078"/>
      <c r="UXK55" s="3078"/>
      <c r="UXL55" s="3078"/>
      <c r="UXM55" s="3075" t="s">
        <v>55</v>
      </c>
      <c r="UXN55" s="3078"/>
      <c r="UXO55" s="3078"/>
      <c r="UXP55" s="3078"/>
      <c r="UXQ55" s="3078"/>
      <c r="UXR55" s="3078"/>
      <c r="UXS55" s="3078"/>
      <c r="UXT55" s="3078"/>
      <c r="UXU55" s="3075" t="s">
        <v>55</v>
      </c>
      <c r="UXV55" s="3078"/>
      <c r="UXW55" s="3078"/>
      <c r="UXX55" s="3078"/>
      <c r="UXY55" s="3078"/>
      <c r="UXZ55" s="3078"/>
      <c r="UYA55" s="3078"/>
      <c r="UYB55" s="3078"/>
      <c r="UYC55" s="3075" t="s">
        <v>55</v>
      </c>
      <c r="UYD55" s="3078"/>
      <c r="UYE55" s="3078"/>
      <c r="UYF55" s="3078"/>
      <c r="UYG55" s="3078"/>
      <c r="UYH55" s="3078"/>
      <c r="UYI55" s="3078"/>
      <c r="UYJ55" s="3078"/>
      <c r="UYK55" s="3075" t="s">
        <v>55</v>
      </c>
      <c r="UYL55" s="3078"/>
      <c r="UYM55" s="3078"/>
      <c r="UYN55" s="3078"/>
      <c r="UYO55" s="3078"/>
      <c r="UYP55" s="3078"/>
      <c r="UYQ55" s="3078"/>
      <c r="UYR55" s="3078"/>
      <c r="UYS55" s="3075" t="s">
        <v>55</v>
      </c>
      <c r="UYT55" s="3078"/>
      <c r="UYU55" s="3078"/>
      <c r="UYV55" s="3078"/>
      <c r="UYW55" s="3078"/>
      <c r="UYX55" s="3078"/>
      <c r="UYY55" s="3078"/>
      <c r="UYZ55" s="3078"/>
      <c r="UZA55" s="3075" t="s">
        <v>55</v>
      </c>
      <c r="UZB55" s="3078"/>
      <c r="UZC55" s="3078"/>
      <c r="UZD55" s="3078"/>
      <c r="UZE55" s="3078"/>
      <c r="UZF55" s="3078"/>
      <c r="UZG55" s="3078"/>
      <c r="UZH55" s="3078"/>
      <c r="UZI55" s="3075" t="s">
        <v>55</v>
      </c>
      <c r="UZJ55" s="3078"/>
      <c r="UZK55" s="3078"/>
      <c r="UZL55" s="3078"/>
      <c r="UZM55" s="3078"/>
      <c r="UZN55" s="3078"/>
      <c r="UZO55" s="3078"/>
      <c r="UZP55" s="3078"/>
      <c r="UZQ55" s="3075" t="s">
        <v>55</v>
      </c>
      <c r="UZR55" s="3078"/>
      <c r="UZS55" s="3078"/>
      <c r="UZT55" s="3078"/>
      <c r="UZU55" s="3078"/>
      <c r="UZV55" s="3078"/>
      <c r="UZW55" s="3078"/>
      <c r="UZX55" s="3078"/>
      <c r="UZY55" s="3075" t="s">
        <v>55</v>
      </c>
      <c r="UZZ55" s="3078"/>
      <c r="VAA55" s="3078"/>
      <c r="VAB55" s="3078"/>
      <c r="VAC55" s="3078"/>
      <c r="VAD55" s="3078"/>
      <c r="VAE55" s="3078"/>
      <c r="VAF55" s="3078"/>
      <c r="VAG55" s="3075" t="s">
        <v>55</v>
      </c>
      <c r="VAH55" s="3078"/>
      <c r="VAI55" s="3078"/>
      <c r="VAJ55" s="3078"/>
      <c r="VAK55" s="3078"/>
      <c r="VAL55" s="3078"/>
      <c r="VAM55" s="3078"/>
      <c r="VAN55" s="3078"/>
      <c r="VAO55" s="3075" t="s">
        <v>55</v>
      </c>
      <c r="VAP55" s="3078"/>
      <c r="VAQ55" s="3078"/>
      <c r="VAR55" s="3078"/>
      <c r="VAS55" s="3078"/>
      <c r="VAT55" s="3078"/>
      <c r="VAU55" s="3078"/>
      <c r="VAV55" s="3078"/>
      <c r="VAW55" s="3075" t="s">
        <v>55</v>
      </c>
      <c r="VAX55" s="3078"/>
      <c r="VAY55" s="3078"/>
      <c r="VAZ55" s="3078"/>
      <c r="VBA55" s="3078"/>
      <c r="VBB55" s="3078"/>
      <c r="VBC55" s="3078"/>
      <c r="VBD55" s="3078"/>
      <c r="VBE55" s="3075" t="s">
        <v>55</v>
      </c>
      <c r="VBF55" s="3078"/>
      <c r="VBG55" s="3078"/>
      <c r="VBH55" s="3078"/>
      <c r="VBI55" s="3078"/>
      <c r="VBJ55" s="3078"/>
      <c r="VBK55" s="3078"/>
      <c r="VBL55" s="3078"/>
      <c r="VBM55" s="3075" t="s">
        <v>55</v>
      </c>
      <c r="VBN55" s="3078"/>
      <c r="VBO55" s="3078"/>
      <c r="VBP55" s="3078"/>
      <c r="VBQ55" s="3078"/>
      <c r="VBR55" s="3078"/>
      <c r="VBS55" s="3078"/>
      <c r="VBT55" s="3078"/>
      <c r="VBU55" s="3075" t="s">
        <v>55</v>
      </c>
      <c r="VBV55" s="3078"/>
      <c r="VBW55" s="3078"/>
      <c r="VBX55" s="3078"/>
      <c r="VBY55" s="3078"/>
      <c r="VBZ55" s="3078"/>
      <c r="VCA55" s="3078"/>
      <c r="VCB55" s="3078"/>
      <c r="VCC55" s="3075" t="s">
        <v>55</v>
      </c>
      <c r="VCD55" s="3078"/>
      <c r="VCE55" s="3078"/>
      <c r="VCF55" s="3078"/>
      <c r="VCG55" s="3078"/>
      <c r="VCH55" s="3078"/>
      <c r="VCI55" s="3078"/>
      <c r="VCJ55" s="3078"/>
      <c r="VCK55" s="3075" t="s">
        <v>55</v>
      </c>
      <c r="VCL55" s="3078"/>
      <c r="VCM55" s="3078"/>
      <c r="VCN55" s="3078"/>
      <c r="VCO55" s="3078"/>
      <c r="VCP55" s="3078"/>
      <c r="VCQ55" s="3078"/>
      <c r="VCR55" s="3078"/>
      <c r="VCS55" s="3075" t="s">
        <v>55</v>
      </c>
      <c r="VCT55" s="3078"/>
      <c r="VCU55" s="3078"/>
      <c r="VCV55" s="3078"/>
      <c r="VCW55" s="3078"/>
      <c r="VCX55" s="3078"/>
      <c r="VCY55" s="3078"/>
      <c r="VCZ55" s="3078"/>
      <c r="VDA55" s="3075" t="s">
        <v>55</v>
      </c>
      <c r="VDB55" s="3078"/>
      <c r="VDC55" s="3078"/>
      <c r="VDD55" s="3078"/>
      <c r="VDE55" s="3078"/>
      <c r="VDF55" s="3078"/>
      <c r="VDG55" s="3078"/>
      <c r="VDH55" s="3078"/>
      <c r="VDI55" s="3075" t="s">
        <v>55</v>
      </c>
      <c r="VDJ55" s="3078"/>
      <c r="VDK55" s="3078"/>
      <c r="VDL55" s="3078"/>
      <c r="VDM55" s="3078"/>
      <c r="VDN55" s="3078"/>
      <c r="VDO55" s="3078"/>
      <c r="VDP55" s="3078"/>
      <c r="VDQ55" s="3075" t="s">
        <v>55</v>
      </c>
      <c r="VDR55" s="3078"/>
      <c r="VDS55" s="3078"/>
      <c r="VDT55" s="3078"/>
      <c r="VDU55" s="3078"/>
      <c r="VDV55" s="3078"/>
      <c r="VDW55" s="3078"/>
      <c r="VDX55" s="3078"/>
      <c r="VDY55" s="3075" t="s">
        <v>55</v>
      </c>
      <c r="VDZ55" s="3078"/>
      <c r="VEA55" s="3078"/>
      <c r="VEB55" s="3078"/>
      <c r="VEC55" s="3078"/>
      <c r="VED55" s="3078"/>
      <c r="VEE55" s="3078"/>
      <c r="VEF55" s="3078"/>
      <c r="VEG55" s="3075" t="s">
        <v>55</v>
      </c>
      <c r="VEH55" s="3078"/>
      <c r="VEI55" s="3078"/>
      <c r="VEJ55" s="3078"/>
      <c r="VEK55" s="3078"/>
      <c r="VEL55" s="3078"/>
      <c r="VEM55" s="3078"/>
      <c r="VEN55" s="3078"/>
      <c r="VEO55" s="3075" t="s">
        <v>55</v>
      </c>
      <c r="VEP55" s="3078"/>
      <c r="VEQ55" s="3078"/>
      <c r="VER55" s="3078"/>
      <c r="VES55" s="3078"/>
      <c r="VET55" s="3078"/>
      <c r="VEU55" s="3078"/>
      <c r="VEV55" s="3078"/>
      <c r="VEW55" s="3075" t="s">
        <v>55</v>
      </c>
      <c r="VEX55" s="3078"/>
      <c r="VEY55" s="3078"/>
      <c r="VEZ55" s="3078"/>
      <c r="VFA55" s="3078"/>
      <c r="VFB55" s="3078"/>
      <c r="VFC55" s="3078"/>
      <c r="VFD55" s="3078"/>
      <c r="VFE55" s="3075" t="s">
        <v>55</v>
      </c>
      <c r="VFF55" s="3078"/>
      <c r="VFG55" s="3078"/>
      <c r="VFH55" s="3078"/>
      <c r="VFI55" s="3078"/>
      <c r="VFJ55" s="3078"/>
      <c r="VFK55" s="3078"/>
      <c r="VFL55" s="3078"/>
      <c r="VFM55" s="3075" t="s">
        <v>55</v>
      </c>
      <c r="VFN55" s="3078"/>
      <c r="VFO55" s="3078"/>
      <c r="VFP55" s="3078"/>
      <c r="VFQ55" s="3078"/>
      <c r="VFR55" s="3078"/>
      <c r="VFS55" s="3078"/>
      <c r="VFT55" s="3078"/>
      <c r="VFU55" s="3075" t="s">
        <v>55</v>
      </c>
      <c r="VFV55" s="3078"/>
      <c r="VFW55" s="3078"/>
      <c r="VFX55" s="3078"/>
      <c r="VFY55" s="3078"/>
      <c r="VFZ55" s="3078"/>
      <c r="VGA55" s="3078"/>
      <c r="VGB55" s="3078"/>
      <c r="VGC55" s="3075" t="s">
        <v>55</v>
      </c>
      <c r="VGD55" s="3078"/>
      <c r="VGE55" s="3078"/>
      <c r="VGF55" s="3078"/>
      <c r="VGG55" s="3078"/>
      <c r="VGH55" s="3078"/>
      <c r="VGI55" s="3078"/>
      <c r="VGJ55" s="3078"/>
      <c r="VGK55" s="3075" t="s">
        <v>55</v>
      </c>
      <c r="VGL55" s="3078"/>
      <c r="VGM55" s="3078"/>
      <c r="VGN55" s="3078"/>
      <c r="VGO55" s="3078"/>
      <c r="VGP55" s="3078"/>
      <c r="VGQ55" s="3078"/>
      <c r="VGR55" s="3078"/>
      <c r="VGS55" s="3075" t="s">
        <v>55</v>
      </c>
      <c r="VGT55" s="3078"/>
      <c r="VGU55" s="3078"/>
      <c r="VGV55" s="3078"/>
      <c r="VGW55" s="3078"/>
      <c r="VGX55" s="3078"/>
      <c r="VGY55" s="3078"/>
      <c r="VGZ55" s="3078"/>
      <c r="VHA55" s="3075" t="s">
        <v>55</v>
      </c>
      <c r="VHB55" s="3078"/>
      <c r="VHC55" s="3078"/>
      <c r="VHD55" s="3078"/>
      <c r="VHE55" s="3078"/>
      <c r="VHF55" s="3078"/>
      <c r="VHG55" s="3078"/>
      <c r="VHH55" s="3078"/>
      <c r="VHI55" s="3075" t="s">
        <v>55</v>
      </c>
      <c r="VHJ55" s="3078"/>
      <c r="VHK55" s="3078"/>
      <c r="VHL55" s="3078"/>
      <c r="VHM55" s="3078"/>
      <c r="VHN55" s="3078"/>
      <c r="VHO55" s="3078"/>
      <c r="VHP55" s="3078"/>
      <c r="VHQ55" s="3075" t="s">
        <v>55</v>
      </c>
      <c r="VHR55" s="3078"/>
      <c r="VHS55" s="3078"/>
      <c r="VHT55" s="3078"/>
      <c r="VHU55" s="3078"/>
      <c r="VHV55" s="3078"/>
      <c r="VHW55" s="3078"/>
      <c r="VHX55" s="3078"/>
      <c r="VHY55" s="3075" t="s">
        <v>55</v>
      </c>
      <c r="VHZ55" s="3078"/>
      <c r="VIA55" s="3078"/>
      <c r="VIB55" s="3078"/>
      <c r="VIC55" s="3078"/>
      <c r="VID55" s="3078"/>
      <c r="VIE55" s="3078"/>
      <c r="VIF55" s="3078"/>
      <c r="VIG55" s="3075" t="s">
        <v>55</v>
      </c>
      <c r="VIH55" s="3078"/>
      <c r="VII55" s="3078"/>
      <c r="VIJ55" s="3078"/>
      <c r="VIK55" s="3078"/>
      <c r="VIL55" s="3078"/>
      <c r="VIM55" s="3078"/>
      <c r="VIN55" s="3078"/>
      <c r="VIO55" s="3075" t="s">
        <v>55</v>
      </c>
      <c r="VIP55" s="3078"/>
      <c r="VIQ55" s="3078"/>
      <c r="VIR55" s="3078"/>
      <c r="VIS55" s="3078"/>
      <c r="VIT55" s="3078"/>
      <c r="VIU55" s="3078"/>
      <c r="VIV55" s="3078"/>
      <c r="VIW55" s="3075" t="s">
        <v>55</v>
      </c>
      <c r="VIX55" s="3078"/>
      <c r="VIY55" s="3078"/>
      <c r="VIZ55" s="3078"/>
      <c r="VJA55" s="3078"/>
      <c r="VJB55" s="3078"/>
      <c r="VJC55" s="3078"/>
      <c r="VJD55" s="3078"/>
      <c r="VJE55" s="3075" t="s">
        <v>55</v>
      </c>
      <c r="VJF55" s="3078"/>
      <c r="VJG55" s="3078"/>
      <c r="VJH55" s="3078"/>
      <c r="VJI55" s="3078"/>
      <c r="VJJ55" s="3078"/>
      <c r="VJK55" s="3078"/>
      <c r="VJL55" s="3078"/>
      <c r="VJM55" s="3075" t="s">
        <v>55</v>
      </c>
      <c r="VJN55" s="3078"/>
      <c r="VJO55" s="3078"/>
      <c r="VJP55" s="3078"/>
      <c r="VJQ55" s="3078"/>
      <c r="VJR55" s="3078"/>
      <c r="VJS55" s="3078"/>
      <c r="VJT55" s="3078"/>
      <c r="VJU55" s="3075" t="s">
        <v>55</v>
      </c>
      <c r="VJV55" s="3078"/>
      <c r="VJW55" s="3078"/>
      <c r="VJX55" s="3078"/>
      <c r="VJY55" s="3078"/>
      <c r="VJZ55" s="3078"/>
      <c r="VKA55" s="3078"/>
      <c r="VKB55" s="3078"/>
      <c r="VKC55" s="3075" t="s">
        <v>55</v>
      </c>
      <c r="VKD55" s="3078"/>
      <c r="VKE55" s="3078"/>
      <c r="VKF55" s="3078"/>
      <c r="VKG55" s="3078"/>
      <c r="VKH55" s="3078"/>
      <c r="VKI55" s="3078"/>
      <c r="VKJ55" s="3078"/>
      <c r="VKK55" s="3075" t="s">
        <v>55</v>
      </c>
      <c r="VKL55" s="3078"/>
      <c r="VKM55" s="3078"/>
      <c r="VKN55" s="3078"/>
      <c r="VKO55" s="3078"/>
      <c r="VKP55" s="3078"/>
      <c r="VKQ55" s="3078"/>
      <c r="VKR55" s="3078"/>
      <c r="VKS55" s="3075" t="s">
        <v>55</v>
      </c>
      <c r="VKT55" s="3078"/>
      <c r="VKU55" s="3078"/>
      <c r="VKV55" s="3078"/>
      <c r="VKW55" s="3078"/>
      <c r="VKX55" s="3078"/>
      <c r="VKY55" s="3078"/>
      <c r="VKZ55" s="3078"/>
      <c r="VLA55" s="3075" t="s">
        <v>55</v>
      </c>
      <c r="VLB55" s="3078"/>
      <c r="VLC55" s="3078"/>
      <c r="VLD55" s="3078"/>
      <c r="VLE55" s="3078"/>
      <c r="VLF55" s="3078"/>
      <c r="VLG55" s="3078"/>
      <c r="VLH55" s="3078"/>
      <c r="VLI55" s="3075" t="s">
        <v>55</v>
      </c>
      <c r="VLJ55" s="3078"/>
      <c r="VLK55" s="3078"/>
      <c r="VLL55" s="3078"/>
      <c r="VLM55" s="3078"/>
      <c r="VLN55" s="3078"/>
      <c r="VLO55" s="3078"/>
      <c r="VLP55" s="3078"/>
      <c r="VLQ55" s="3075" t="s">
        <v>55</v>
      </c>
      <c r="VLR55" s="3078"/>
      <c r="VLS55" s="3078"/>
      <c r="VLT55" s="3078"/>
      <c r="VLU55" s="3078"/>
      <c r="VLV55" s="3078"/>
      <c r="VLW55" s="3078"/>
      <c r="VLX55" s="3078"/>
      <c r="VLY55" s="3075" t="s">
        <v>55</v>
      </c>
      <c r="VLZ55" s="3078"/>
      <c r="VMA55" s="3078"/>
      <c r="VMB55" s="3078"/>
      <c r="VMC55" s="3078"/>
      <c r="VMD55" s="3078"/>
      <c r="VME55" s="3078"/>
      <c r="VMF55" s="3078"/>
      <c r="VMG55" s="3075" t="s">
        <v>55</v>
      </c>
      <c r="VMH55" s="3078"/>
      <c r="VMI55" s="3078"/>
      <c r="VMJ55" s="3078"/>
      <c r="VMK55" s="3078"/>
      <c r="VML55" s="3078"/>
      <c r="VMM55" s="3078"/>
      <c r="VMN55" s="3078"/>
      <c r="VMO55" s="3075" t="s">
        <v>55</v>
      </c>
      <c r="VMP55" s="3078"/>
      <c r="VMQ55" s="3078"/>
      <c r="VMR55" s="3078"/>
      <c r="VMS55" s="3078"/>
      <c r="VMT55" s="3078"/>
      <c r="VMU55" s="3078"/>
      <c r="VMV55" s="3078"/>
      <c r="VMW55" s="3075" t="s">
        <v>55</v>
      </c>
      <c r="VMX55" s="3078"/>
      <c r="VMY55" s="3078"/>
      <c r="VMZ55" s="3078"/>
      <c r="VNA55" s="3078"/>
      <c r="VNB55" s="3078"/>
      <c r="VNC55" s="3078"/>
      <c r="VND55" s="3078"/>
      <c r="VNE55" s="3075" t="s">
        <v>55</v>
      </c>
      <c r="VNF55" s="3078"/>
      <c r="VNG55" s="3078"/>
      <c r="VNH55" s="3078"/>
      <c r="VNI55" s="3078"/>
      <c r="VNJ55" s="3078"/>
      <c r="VNK55" s="3078"/>
      <c r="VNL55" s="3078"/>
      <c r="VNM55" s="3075" t="s">
        <v>55</v>
      </c>
      <c r="VNN55" s="3078"/>
      <c r="VNO55" s="3078"/>
      <c r="VNP55" s="3078"/>
      <c r="VNQ55" s="3078"/>
      <c r="VNR55" s="3078"/>
      <c r="VNS55" s="3078"/>
      <c r="VNT55" s="3078"/>
      <c r="VNU55" s="3075" t="s">
        <v>55</v>
      </c>
      <c r="VNV55" s="3078"/>
      <c r="VNW55" s="3078"/>
      <c r="VNX55" s="3078"/>
      <c r="VNY55" s="3078"/>
      <c r="VNZ55" s="3078"/>
      <c r="VOA55" s="3078"/>
      <c r="VOB55" s="3078"/>
      <c r="VOC55" s="3075" t="s">
        <v>55</v>
      </c>
      <c r="VOD55" s="3078"/>
      <c r="VOE55" s="3078"/>
      <c r="VOF55" s="3078"/>
      <c r="VOG55" s="3078"/>
      <c r="VOH55" s="3078"/>
      <c r="VOI55" s="3078"/>
      <c r="VOJ55" s="3078"/>
      <c r="VOK55" s="3075" t="s">
        <v>55</v>
      </c>
      <c r="VOL55" s="3078"/>
      <c r="VOM55" s="3078"/>
      <c r="VON55" s="3078"/>
      <c r="VOO55" s="3078"/>
      <c r="VOP55" s="3078"/>
      <c r="VOQ55" s="3078"/>
      <c r="VOR55" s="3078"/>
      <c r="VOS55" s="3075" t="s">
        <v>55</v>
      </c>
      <c r="VOT55" s="3078"/>
      <c r="VOU55" s="3078"/>
      <c r="VOV55" s="3078"/>
      <c r="VOW55" s="3078"/>
      <c r="VOX55" s="3078"/>
      <c r="VOY55" s="3078"/>
      <c r="VOZ55" s="3078"/>
      <c r="VPA55" s="3075" t="s">
        <v>55</v>
      </c>
      <c r="VPB55" s="3078"/>
      <c r="VPC55" s="3078"/>
      <c r="VPD55" s="3078"/>
      <c r="VPE55" s="3078"/>
      <c r="VPF55" s="3078"/>
      <c r="VPG55" s="3078"/>
      <c r="VPH55" s="3078"/>
      <c r="VPI55" s="3075" t="s">
        <v>55</v>
      </c>
      <c r="VPJ55" s="3078"/>
      <c r="VPK55" s="3078"/>
      <c r="VPL55" s="3078"/>
      <c r="VPM55" s="3078"/>
      <c r="VPN55" s="3078"/>
      <c r="VPO55" s="3078"/>
      <c r="VPP55" s="3078"/>
      <c r="VPQ55" s="3075" t="s">
        <v>55</v>
      </c>
      <c r="VPR55" s="3078"/>
      <c r="VPS55" s="3078"/>
      <c r="VPT55" s="3078"/>
      <c r="VPU55" s="3078"/>
      <c r="VPV55" s="3078"/>
      <c r="VPW55" s="3078"/>
      <c r="VPX55" s="3078"/>
      <c r="VPY55" s="3075" t="s">
        <v>55</v>
      </c>
      <c r="VPZ55" s="3078"/>
      <c r="VQA55" s="3078"/>
      <c r="VQB55" s="3078"/>
      <c r="VQC55" s="3078"/>
      <c r="VQD55" s="3078"/>
      <c r="VQE55" s="3078"/>
      <c r="VQF55" s="3078"/>
      <c r="VQG55" s="3075" t="s">
        <v>55</v>
      </c>
      <c r="VQH55" s="3078"/>
      <c r="VQI55" s="3078"/>
      <c r="VQJ55" s="3078"/>
      <c r="VQK55" s="3078"/>
      <c r="VQL55" s="3078"/>
      <c r="VQM55" s="3078"/>
      <c r="VQN55" s="3078"/>
      <c r="VQO55" s="3075" t="s">
        <v>55</v>
      </c>
      <c r="VQP55" s="3078"/>
      <c r="VQQ55" s="3078"/>
      <c r="VQR55" s="3078"/>
      <c r="VQS55" s="3078"/>
      <c r="VQT55" s="3078"/>
      <c r="VQU55" s="3078"/>
      <c r="VQV55" s="3078"/>
      <c r="VQW55" s="3075" t="s">
        <v>55</v>
      </c>
      <c r="VQX55" s="3078"/>
      <c r="VQY55" s="3078"/>
      <c r="VQZ55" s="3078"/>
      <c r="VRA55" s="3078"/>
      <c r="VRB55" s="3078"/>
      <c r="VRC55" s="3078"/>
      <c r="VRD55" s="3078"/>
      <c r="VRE55" s="3075" t="s">
        <v>55</v>
      </c>
      <c r="VRF55" s="3078"/>
      <c r="VRG55" s="3078"/>
      <c r="VRH55" s="3078"/>
      <c r="VRI55" s="3078"/>
      <c r="VRJ55" s="3078"/>
      <c r="VRK55" s="3078"/>
      <c r="VRL55" s="3078"/>
      <c r="VRM55" s="3075" t="s">
        <v>55</v>
      </c>
      <c r="VRN55" s="3078"/>
      <c r="VRO55" s="3078"/>
      <c r="VRP55" s="3078"/>
      <c r="VRQ55" s="3078"/>
      <c r="VRR55" s="3078"/>
      <c r="VRS55" s="3078"/>
      <c r="VRT55" s="3078"/>
      <c r="VRU55" s="3075" t="s">
        <v>55</v>
      </c>
      <c r="VRV55" s="3078"/>
      <c r="VRW55" s="3078"/>
      <c r="VRX55" s="3078"/>
      <c r="VRY55" s="3078"/>
      <c r="VRZ55" s="3078"/>
      <c r="VSA55" s="3078"/>
      <c r="VSB55" s="3078"/>
      <c r="VSC55" s="3075" t="s">
        <v>55</v>
      </c>
      <c r="VSD55" s="3078"/>
      <c r="VSE55" s="3078"/>
      <c r="VSF55" s="3078"/>
      <c r="VSG55" s="3078"/>
      <c r="VSH55" s="3078"/>
      <c r="VSI55" s="3078"/>
      <c r="VSJ55" s="3078"/>
      <c r="VSK55" s="3075" t="s">
        <v>55</v>
      </c>
      <c r="VSL55" s="3078"/>
      <c r="VSM55" s="3078"/>
      <c r="VSN55" s="3078"/>
      <c r="VSO55" s="3078"/>
      <c r="VSP55" s="3078"/>
      <c r="VSQ55" s="3078"/>
      <c r="VSR55" s="3078"/>
      <c r="VSS55" s="3075" t="s">
        <v>55</v>
      </c>
      <c r="VST55" s="3078"/>
      <c r="VSU55" s="3078"/>
      <c r="VSV55" s="3078"/>
      <c r="VSW55" s="3078"/>
      <c r="VSX55" s="3078"/>
      <c r="VSY55" s="3078"/>
      <c r="VSZ55" s="3078"/>
      <c r="VTA55" s="3075" t="s">
        <v>55</v>
      </c>
      <c r="VTB55" s="3078"/>
      <c r="VTC55" s="3078"/>
      <c r="VTD55" s="3078"/>
      <c r="VTE55" s="3078"/>
      <c r="VTF55" s="3078"/>
      <c r="VTG55" s="3078"/>
      <c r="VTH55" s="3078"/>
      <c r="VTI55" s="3075" t="s">
        <v>55</v>
      </c>
      <c r="VTJ55" s="3078"/>
      <c r="VTK55" s="3078"/>
      <c r="VTL55" s="3078"/>
      <c r="VTM55" s="3078"/>
      <c r="VTN55" s="3078"/>
      <c r="VTO55" s="3078"/>
      <c r="VTP55" s="3078"/>
      <c r="VTQ55" s="3075" t="s">
        <v>55</v>
      </c>
      <c r="VTR55" s="3078"/>
      <c r="VTS55" s="3078"/>
      <c r="VTT55" s="3078"/>
      <c r="VTU55" s="3078"/>
      <c r="VTV55" s="3078"/>
      <c r="VTW55" s="3078"/>
      <c r="VTX55" s="3078"/>
      <c r="VTY55" s="3075" t="s">
        <v>55</v>
      </c>
      <c r="VTZ55" s="3078"/>
      <c r="VUA55" s="3078"/>
      <c r="VUB55" s="3078"/>
      <c r="VUC55" s="3078"/>
      <c r="VUD55" s="3078"/>
      <c r="VUE55" s="3078"/>
      <c r="VUF55" s="3078"/>
      <c r="VUG55" s="3075" t="s">
        <v>55</v>
      </c>
      <c r="VUH55" s="3078"/>
      <c r="VUI55" s="3078"/>
      <c r="VUJ55" s="3078"/>
      <c r="VUK55" s="3078"/>
      <c r="VUL55" s="3078"/>
      <c r="VUM55" s="3078"/>
      <c r="VUN55" s="3078"/>
      <c r="VUO55" s="3075" t="s">
        <v>55</v>
      </c>
      <c r="VUP55" s="3078"/>
      <c r="VUQ55" s="3078"/>
      <c r="VUR55" s="3078"/>
      <c r="VUS55" s="3078"/>
      <c r="VUT55" s="3078"/>
      <c r="VUU55" s="3078"/>
      <c r="VUV55" s="3078"/>
      <c r="VUW55" s="3075" t="s">
        <v>55</v>
      </c>
      <c r="VUX55" s="3078"/>
      <c r="VUY55" s="3078"/>
      <c r="VUZ55" s="3078"/>
      <c r="VVA55" s="3078"/>
      <c r="VVB55" s="3078"/>
      <c r="VVC55" s="3078"/>
      <c r="VVD55" s="3078"/>
      <c r="VVE55" s="3075" t="s">
        <v>55</v>
      </c>
      <c r="VVF55" s="3078"/>
      <c r="VVG55" s="3078"/>
      <c r="VVH55" s="3078"/>
      <c r="VVI55" s="3078"/>
      <c r="VVJ55" s="3078"/>
      <c r="VVK55" s="3078"/>
      <c r="VVL55" s="3078"/>
      <c r="VVM55" s="3075" t="s">
        <v>55</v>
      </c>
      <c r="VVN55" s="3078"/>
      <c r="VVO55" s="3078"/>
      <c r="VVP55" s="3078"/>
      <c r="VVQ55" s="3078"/>
      <c r="VVR55" s="3078"/>
      <c r="VVS55" s="3078"/>
      <c r="VVT55" s="3078"/>
      <c r="VVU55" s="3075" t="s">
        <v>55</v>
      </c>
      <c r="VVV55" s="3078"/>
      <c r="VVW55" s="3078"/>
      <c r="VVX55" s="3078"/>
      <c r="VVY55" s="3078"/>
      <c r="VVZ55" s="3078"/>
      <c r="VWA55" s="3078"/>
      <c r="VWB55" s="3078"/>
      <c r="VWC55" s="3075" t="s">
        <v>55</v>
      </c>
      <c r="VWD55" s="3078"/>
      <c r="VWE55" s="3078"/>
      <c r="VWF55" s="3078"/>
      <c r="VWG55" s="3078"/>
      <c r="VWH55" s="3078"/>
      <c r="VWI55" s="3078"/>
      <c r="VWJ55" s="3078"/>
      <c r="VWK55" s="3075" t="s">
        <v>55</v>
      </c>
      <c r="VWL55" s="3078"/>
      <c r="VWM55" s="3078"/>
      <c r="VWN55" s="3078"/>
      <c r="VWO55" s="3078"/>
      <c r="VWP55" s="3078"/>
      <c r="VWQ55" s="3078"/>
      <c r="VWR55" s="3078"/>
      <c r="VWS55" s="3075" t="s">
        <v>55</v>
      </c>
      <c r="VWT55" s="3078"/>
      <c r="VWU55" s="3078"/>
      <c r="VWV55" s="3078"/>
      <c r="VWW55" s="3078"/>
      <c r="VWX55" s="3078"/>
      <c r="VWY55" s="3078"/>
      <c r="VWZ55" s="3078"/>
      <c r="VXA55" s="3075" t="s">
        <v>55</v>
      </c>
      <c r="VXB55" s="3078"/>
      <c r="VXC55" s="3078"/>
      <c r="VXD55" s="3078"/>
      <c r="VXE55" s="3078"/>
      <c r="VXF55" s="3078"/>
      <c r="VXG55" s="3078"/>
      <c r="VXH55" s="3078"/>
      <c r="VXI55" s="3075" t="s">
        <v>55</v>
      </c>
      <c r="VXJ55" s="3078"/>
      <c r="VXK55" s="3078"/>
      <c r="VXL55" s="3078"/>
      <c r="VXM55" s="3078"/>
      <c r="VXN55" s="3078"/>
      <c r="VXO55" s="3078"/>
      <c r="VXP55" s="3078"/>
      <c r="VXQ55" s="3075" t="s">
        <v>55</v>
      </c>
      <c r="VXR55" s="3078"/>
      <c r="VXS55" s="3078"/>
      <c r="VXT55" s="3078"/>
      <c r="VXU55" s="3078"/>
      <c r="VXV55" s="3078"/>
      <c r="VXW55" s="3078"/>
      <c r="VXX55" s="3078"/>
      <c r="VXY55" s="3075" t="s">
        <v>55</v>
      </c>
      <c r="VXZ55" s="3078"/>
      <c r="VYA55" s="3078"/>
      <c r="VYB55" s="3078"/>
      <c r="VYC55" s="3078"/>
      <c r="VYD55" s="3078"/>
      <c r="VYE55" s="3078"/>
      <c r="VYF55" s="3078"/>
      <c r="VYG55" s="3075" t="s">
        <v>55</v>
      </c>
      <c r="VYH55" s="3078"/>
      <c r="VYI55" s="3078"/>
      <c r="VYJ55" s="3078"/>
      <c r="VYK55" s="3078"/>
      <c r="VYL55" s="3078"/>
      <c r="VYM55" s="3078"/>
      <c r="VYN55" s="3078"/>
      <c r="VYO55" s="3075" t="s">
        <v>55</v>
      </c>
      <c r="VYP55" s="3078"/>
      <c r="VYQ55" s="3078"/>
      <c r="VYR55" s="3078"/>
      <c r="VYS55" s="3078"/>
      <c r="VYT55" s="3078"/>
      <c r="VYU55" s="3078"/>
      <c r="VYV55" s="3078"/>
      <c r="VYW55" s="3075" t="s">
        <v>55</v>
      </c>
      <c r="VYX55" s="3078"/>
      <c r="VYY55" s="3078"/>
      <c r="VYZ55" s="3078"/>
      <c r="VZA55" s="3078"/>
      <c r="VZB55" s="3078"/>
      <c r="VZC55" s="3078"/>
      <c r="VZD55" s="3078"/>
      <c r="VZE55" s="3075" t="s">
        <v>55</v>
      </c>
      <c r="VZF55" s="3078"/>
      <c r="VZG55" s="3078"/>
      <c r="VZH55" s="3078"/>
      <c r="VZI55" s="3078"/>
      <c r="VZJ55" s="3078"/>
      <c r="VZK55" s="3078"/>
      <c r="VZL55" s="3078"/>
      <c r="VZM55" s="3075" t="s">
        <v>55</v>
      </c>
      <c r="VZN55" s="3078"/>
      <c r="VZO55" s="3078"/>
      <c r="VZP55" s="3078"/>
      <c r="VZQ55" s="3078"/>
      <c r="VZR55" s="3078"/>
      <c r="VZS55" s="3078"/>
      <c r="VZT55" s="3078"/>
      <c r="VZU55" s="3075" t="s">
        <v>55</v>
      </c>
      <c r="VZV55" s="3078"/>
      <c r="VZW55" s="3078"/>
      <c r="VZX55" s="3078"/>
      <c r="VZY55" s="3078"/>
      <c r="VZZ55" s="3078"/>
      <c r="WAA55" s="3078"/>
      <c r="WAB55" s="3078"/>
      <c r="WAC55" s="3075" t="s">
        <v>55</v>
      </c>
      <c r="WAD55" s="3078"/>
      <c r="WAE55" s="3078"/>
      <c r="WAF55" s="3078"/>
      <c r="WAG55" s="3078"/>
      <c r="WAH55" s="3078"/>
      <c r="WAI55" s="3078"/>
      <c r="WAJ55" s="3078"/>
      <c r="WAK55" s="3075" t="s">
        <v>55</v>
      </c>
      <c r="WAL55" s="3078"/>
      <c r="WAM55" s="3078"/>
      <c r="WAN55" s="3078"/>
      <c r="WAO55" s="3078"/>
      <c r="WAP55" s="3078"/>
      <c r="WAQ55" s="3078"/>
      <c r="WAR55" s="3078"/>
      <c r="WAS55" s="3075" t="s">
        <v>55</v>
      </c>
      <c r="WAT55" s="3078"/>
      <c r="WAU55" s="3078"/>
      <c r="WAV55" s="3078"/>
      <c r="WAW55" s="3078"/>
      <c r="WAX55" s="3078"/>
      <c r="WAY55" s="3078"/>
      <c r="WAZ55" s="3078"/>
      <c r="WBA55" s="3075" t="s">
        <v>55</v>
      </c>
      <c r="WBB55" s="3078"/>
      <c r="WBC55" s="3078"/>
      <c r="WBD55" s="3078"/>
      <c r="WBE55" s="3078"/>
      <c r="WBF55" s="3078"/>
      <c r="WBG55" s="3078"/>
      <c r="WBH55" s="3078"/>
      <c r="WBI55" s="3075" t="s">
        <v>55</v>
      </c>
      <c r="WBJ55" s="3078"/>
      <c r="WBK55" s="3078"/>
      <c r="WBL55" s="3078"/>
      <c r="WBM55" s="3078"/>
      <c r="WBN55" s="3078"/>
      <c r="WBO55" s="3078"/>
      <c r="WBP55" s="3078"/>
      <c r="WBQ55" s="3075" t="s">
        <v>55</v>
      </c>
      <c r="WBR55" s="3078"/>
      <c r="WBS55" s="3078"/>
      <c r="WBT55" s="3078"/>
      <c r="WBU55" s="3078"/>
      <c r="WBV55" s="3078"/>
      <c r="WBW55" s="3078"/>
      <c r="WBX55" s="3078"/>
      <c r="WBY55" s="3075" t="s">
        <v>55</v>
      </c>
      <c r="WBZ55" s="3078"/>
      <c r="WCA55" s="3078"/>
      <c r="WCB55" s="3078"/>
      <c r="WCC55" s="3078"/>
      <c r="WCD55" s="3078"/>
      <c r="WCE55" s="3078"/>
      <c r="WCF55" s="3078"/>
      <c r="WCG55" s="3075" t="s">
        <v>55</v>
      </c>
      <c r="WCH55" s="3078"/>
      <c r="WCI55" s="3078"/>
      <c r="WCJ55" s="3078"/>
      <c r="WCK55" s="3078"/>
      <c r="WCL55" s="3078"/>
      <c r="WCM55" s="3078"/>
      <c r="WCN55" s="3078"/>
      <c r="WCO55" s="3075" t="s">
        <v>55</v>
      </c>
      <c r="WCP55" s="3078"/>
      <c r="WCQ55" s="3078"/>
      <c r="WCR55" s="3078"/>
      <c r="WCS55" s="3078"/>
      <c r="WCT55" s="3078"/>
      <c r="WCU55" s="3078"/>
      <c r="WCV55" s="3078"/>
      <c r="WCW55" s="3075" t="s">
        <v>55</v>
      </c>
      <c r="WCX55" s="3078"/>
      <c r="WCY55" s="3078"/>
      <c r="WCZ55" s="3078"/>
      <c r="WDA55" s="3078"/>
      <c r="WDB55" s="3078"/>
      <c r="WDC55" s="3078"/>
      <c r="WDD55" s="3078"/>
      <c r="WDE55" s="3075" t="s">
        <v>55</v>
      </c>
      <c r="WDF55" s="3078"/>
      <c r="WDG55" s="3078"/>
      <c r="WDH55" s="3078"/>
      <c r="WDI55" s="3078"/>
      <c r="WDJ55" s="3078"/>
      <c r="WDK55" s="3078"/>
      <c r="WDL55" s="3078"/>
      <c r="WDM55" s="3075" t="s">
        <v>55</v>
      </c>
      <c r="WDN55" s="3078"/>
      <c r="WDO55" s="3078"/>
      <c r="WDP55" s="3078"/>
      <c r="WDQ55" s="3078"/>
      <c r="WDR55" s="3078"/>
      <c r="WDS55" s="3078"/>
      <c r="WDT55" s="3078"/>
      <c r="WDU55" s="3075" t="s">
        <v>55</v>
      </c>
      <c r="WDV55" s="3078"/>
      <c r="WDW55" s="3078"/>
      <c r="WDX55" s="3078"/>
      <c r="WDY55" s="3078"/>
      <c r="WDZ55" s="3078"/>
      <c r="WEA55" s="3078"/>
      <c r="WEB55" s="3078"/>
      <c r="WEC55" s="3075" t="s">
        <v>55</v>
      </c>
      <c r="WED55" s="3078"/>
      <c r="WEE55" s="3078"/>
      <c r="WEF55" s="3078"/>
      <c r="WEG55" s="3078"/>
      <c r="WEH55" s="3078"/>
      <c r="WEI55" s="3078"/>
      <c r="WEJ55" s="3078"/>
      <c r="WEK55" s="3075" t="s">
        <v>55</v>
      </c>
      <c r="WEL55" s="3078"/>
      <c r="WEM55" s="3078"/>
      <c r="WEN55" s="3078"/>
      <c r="WEO55" s="3078"/>
      <c r="WEP55" s="3078"/>
      <c r="WEQ55" s="3078"/>
      <c r="WER55" s="3078"/>
      <c r="WES55" s="3075" t="s">
        <v>55</v>
      </c>
      <c r="WET55" s="3078"/>
      <c r="WEU55" s="3078"/>
      <c r="WEV55" s="3078"/>
      <c r="WEW55" s="3078"/>
      <c r="WEX55" s="3078"/>
      <c r="WEY55" s="3078"/>
      <c r="WEZ55" s="3078"/>
      <c r="WFA55" s="3075" t="s">
        <v>55</v>
      </c>
      <c r="WFB55" s="3078"/>
      <c r="WFC55" s="3078"/>
      <c r="WFD55" s="3078"/>
      <c r="WFE55" s="3078"/>
      <c r="WFF55" s="3078"/>
      <c r="WFG55" s="3078"/>
      <c r="WFH55" s="3078"/>
      <c r="WFI55" s="3075" t="s">
        <v>55</v>
      </c>
      <c r="WFJ55" s="3078"/>
      <c r="WFK55" s="3078"/>
      <c r="WFL55" s="3078"/>
      <c r="WFM55" s="3078"/>
      <c r="WFN55" s="3078"/>
      <c r="WFO55" s="3078"/>
      <c r="WFP55" s="3078"/>
      <c r="WFQ55" s="3075" t="s">
        <v>55</v>
      </c>
      <c r="WFR55" s="3078"/>
      <c r="WFS55" s="3078"/>
      <c r="WFT55" s="3078"/>
      <c r="WFU55" s="3078"/>
      <c r="WFV55" s="3078"/>
      <c r="WFW55" s="3078"/>
      <c r="WFX55" s="3078"/>
      <c r="WFY55" s="3075" t="s">
        <v>55</v>
      </c>
      <c r="WFZ55" s="3078"/>
      <c r="WGA55" s="3078"/>
      <c r="WGB55" s="3078"/>
      <c r="WGC55" s="3078"/>
      <c r="WGD55" s="3078"/>
      <c r="WGE55" s="3078"/>
      <c r="WGF55" s="3078"/>
      <c r="WGG55" s="3075" t="s">
        <v>55</v>
      </c>
      <c r="WGH55" s="3078"/>
      <c r="WGI55" s="3078"/>
      <c r="WGJ55" s="3078"/>
      <c r="WGK55" s="3078"/>
      <c r="WGL55" s="3078"/>
      <c r="WGM55" s="3078"/>
      <c r="WGN55" s="3078"/>
      <c r="WGO55" s="3075" t="s">
        <v>55</v>
      </c>
      <c r="WGP55" s="3078"/>
      <c r="WGQ55" s="3078"/>
      <c r="WGR55" s="3078"/>
      <c r="WGS55" s="3078"/>
      <c r="WGT55" s="3078"/>
      <c r="WGU55" s="3078"/>
      <c r="WGV55" s="3078"/>
      <c r="WGW55" s="3075" t="s">
        <v>55</v>
      </c>
      <c r="WGX55" s="3078"/>
      <c r="WGY55" s="3078"/>
      <c r="WGZ55" s="3078"/>
      <c r="WHA55" s="3078"/>
      <c r="WHB55" s="3078"/>
      <c r="WHC55" s="3078"/>
      <c r="WHD55" s="3078"/>
      <c r="WHE55" s="3075" t="s">
        <v>55</v>
      </c>
      <c r="WHF55" s="3078"/>
      <c r="WHG55" s="3078"/>
      <c r="WHH55" s="3078"/>
      <c r="WHI55" s="3078"/>
      <c r="WHJ55" s="3078"/>
      <c r="WHK55" s="3078"/>
      <c r="WHL55" s="3078"/>
      <c r="WHM55" s="3075" t="s">
        <v>55</v>
      </c>
      <c r="WHN55" s="3078"/>
      <c r="WHO55" s="3078"/>
      <c r="WHP55" s="3078"/>
      <c r="WHQ55" s="3078"/>
      <c r="WHR55" s="3078"/>
      <c r="WHS55" s="3078"/>
      <c r="WHT55" s="3078"/>
      <c r="WHU55" s="3075" t="s">
        <v>55</v>
      </c>
      <c r="WHV55" s="3078"/>
      <c r="WHW55" s="3078"/>
      <c r="WHX55" s="3078"/>
      <c r="WHY55" s="3078"/>
      <c r="WHZ55" s="3078"/>
      <c r="WIA55" s="3078"/>
      <c r="WIB55" s="3078"/>
      <c r="WIC55" s="3075" t="s">
        <v>55</v>
      </c>
      <c r="WID55" s="3078"/>
      <c r="WIE55" s="3078"/>
      <c r="WIF55" s="3078"/>
      <c r="WIG55" s="3078"/>
      <c r="WIH55" s="3078"/>
      <c r="WII55" s="3078"/>
      <c r="WIJ55" s="3078"/>
      <c r="WIK55" s="3075" t="s">
        <v>55</v>
      </c>
      <c r="WIL55" s="3078"/>
      <c r="WIM55" s="3078"/>
      <c r="WIN55" s="3078"/>
      <c r="WIO55" s="3078"/>
      <c r="WIP55" s="3078"/>
      <c r="WIQ55" s="3078"/>
      <c r="WIR55" s="3078"/>
      <c r="WIS55" s="3075" t="s">
        <v>55</v>
      </c>
      <c r="WIT55" s="3078"/>
      <c r="WIU55" s="3078"/>
      <c r="WIV55" s="3078"/>
      <c r="WIW55" s="3078"/>
      <c r="WIX55" s="3078"/>
      <c r="WIY55" s="3078"/>
      <c r="WIZ55" s="3078"/>
      <c r="WJA55" s="3075" t="s">
        <v>55</v>
      </c>
      <c r="WJB55" s="3078"/>
      <c r="WJC55" s="3078"/>
      <c r="WJD55" s="3078"/>
      <c r="WJE55" s="3078"/>
      <c r="WJF55" s="3078"/>
      <c r="WJG55" s="3078"/>
      <c r="WJH55" s="3078"/>
      <c r="WJI55" s="3075" t="s">
        <v>55</v>
      </c>
      <c r="WJJ55" s="3078"/>
      <c r="WJK55" s="3078"/>
      <c r="WJL55" s="3078"/>
      <c r="WJM55" s="3078"/>
      <c r="WJN55" s="3078"/>
      <c r="WJO55" s="3078"/>
      <c r="WJP55" s="3078"/>
      <c r="WJQ55" s="3075" t="s">
        <v>55</v>
      </c>
      <c r="WJR55" s="3078"/>
      <c r="WJS55" s="3078"/>
      <c r="WJT55" s="3078"/>
      <c r="WJU55" s="3078"/>
      <c r="WJV55" s="3078"/>
      <c r="WJW55" s="3078"/>
      <c r="WJX55" s="3078"/>
      <c r="WJY55" s="3075" t="s">
        <v>55</v>
      </c>
      <c r="WJZ55" s="3078"/>
      <c r="WKA55" s="3078"/>
      <c r="WKB55" s="3078"/>
      <c r="WKC55" s="3078"/>
      <c r="WKD55" s="3078"/>
      <c r="WKE55" s="3078"/>
      <c r="WKF55" s="3078"/>
      <c r="WKG55" s="3075" t="s">
        <v>55</v>
      </c>
      <c r="WKH55" s="3078"/>
      <c r="WKI55" s="3078"/>
      <c r="WKJ55" s="3078"/>
      <c r="WKK55" s="3078"/>
      <c r="WKL55" s="3078"/>
      <c r="WKM55" s="3078"/>
      <c r="WKN55" s="3078"/>
      <c r="WKO55" s="3075" t="s">
        <v>55</v>
      </c>
      <c r="WKP55" s="3078"/>
      <c r="WKQ55" s="3078"/>
      <c r="WKR55" s="3078"/>
      <c r="WKS55" s="3078"/>
      <c r="WKT55" s="3078"/>
      <c r="WKU55" s="3078"/>
      <c r="WKV55" s="3078"/>
      <c r="WKW55" s="3075" t="s">
        <v>55</v>
      </c>
      <c r="WKX55" s="3078"/>
      <c r="WKY55" s="3078"/>
      <c r="WKZ55" s="3078"/>
      <c r="WLA55" s="3078"/>
      <c r="WLB55" s="3078"/>
      <c r="WLC55" s="3078"/>
      <c r="WLD55" s="3078"/>
      <c r="WLE55" s="3075" t="s">
        <v>55</v>
      </c>
      <c r="WLF55" s="3078"/>
      <c r="WLG55" s="3078"/>
      <c r="WLH55" s="3078"/>
      <c r="WLI55" s="3078"/>
      <c r="WLJ55" s="3078"/>
      <c r="WLK55" s="3078"/>
      <c r="WLL55" s="3078"/>
      <c r="WLM55" s="3075" t="s">
        <v>55</v>
      </c>
      <c r="WLN55" s="3078"/>
      <c r="WLO55" s="3078"/>
      <c r="WLP55" s="3078"/>
      <c r="WLQ55" s="3078"/>
      <c r="WLR55" s="3078"/>
      <c r="WLS55" s="3078"/>
      <c r="WLT55" s="3078"/>
      <c r="WLU55" s="3075" t="s">
        <v>55</v>
      </c>
      <c r="WLV55" s="3078"/>
      <c r="WLW55" s="3078"/>
      <c r="WLX55" s="3078"/>
      <c r="WLY55" s="3078"/>
      <c r="WLZ55" s="3078"/>
      <c r="WMA55" s="3078"/>
      <c r="WMB55" s="3078"/>
      <c r="WMC55" s="3075" t="s">
        <v>55</v>
      </c>
      <c r="WMD55" s="3078"/>
      <c r="WME55" s="3078"/>
      <c r="WMF55" s="3078"/>
      <c r="WMG55" s="3078"/>
      <c r="WMH55" s="3078"/>
      <c r="WMI55" s="3078"/>
      <c r="WMJ55" s="3078"/>
      <c r="WMK55" s="3075" t="s">
        <v>55</v>
      </c>
      <c r="WML55" s="3078"/>
      <c r="WMM55" s="3078"/>
      <c r="WMN55" s="3078"/>
      <c r="WMO55" s="3078"/>
      <c r="WMP55" s="3078"/>
      <c r="WMQ55" s="3078"/>
      <c r="WMR55" s="3078"/>
      <c r="WMS55" s="3075" t="s">
        <v>55</v>
      </c>
      <c r="WMT55" s="3078"/>
      <c r="WMU55" s="3078"/>
      <c r="WMV55" s="3078"/>
      <c r="WMW55" s="3078"/>
      <c r="WMX55" s="3078"/>
      <c r="WMY55" s="3078"/>
      <c r="WMZ55" s="3078"/>
      <c r="WNA55" s="3075" t="s">
        <v>55</v>
      </c>
      <c r="WNB55" s="3078"/>
      <c r="WNC55" s="3078"/>
      <c r="WND55" s="3078"/>
      <c r="WNE55" s="3078"/>
      <c r="WNF55" s="3078"/>
      <c r="WNG55" s="3078"/>
      <c r="WNH55" s="3078"/>
      <c r="WNI55" s="3075" t="s">
        <v>55</v>
      </c>
      <c r="WNJ55" s="3078"/>
      <c r="WNK55" s="3078"/>
      <c r="WNL55" s="3078"/>
      <c r="WNM55" s="3078"/>
      <c r="WNN55" s="3078"/>
      <c r="WNO55" s="3078"/>
      <c r="WNP55" s="3078"/>
      <c r="WNQ55" s="3075" t="s">
        <v>55</v>
      </c>
      <c r="WNR55" s="3078"/>
      <c r="WNS55" s="3078"/>
      <c r="WNT55" s="3078"/>
      <c r="WNU55" s="3078"/>
      <c r="WNV55" s="3078"/>
      <c r="WNW55" s="3078"/>
      <c r="WNX55" s="3078"/>
      <c r="WNY55" s="3075" t="s">
        <v>55</v>
      </c>
      <c r="WNZ55" s="3078"/>
      <c r="WOA55" s="3078"/>
      <c r="WOB55" s="3078"/>
      <c r="WOC55" s="3078"/>
      <c r="WOD55" s="3078"/>
      <c r="WOE55" s="3078"/>
      <c r="WOF55" s="3078"/>
      <c r="WOG55" s="3075" t="s">
        <v>55</v>
      </c>
      <c r="WOH55" s="3078"/>
      <c r="WOI55" s="3078"/>
      <c r="WOJ55" s="3078"/>
      <c r="WOK55" s="3078"/>
      <c r="WOL55" s="3078"/>
      <c r="WOM55" s="3078"/>
      <c r="WON55" s="3078"/>
      <c r="WOO55" s="3075" t="s">
        <v>55</v>
      </c>
      <c r="WOP55" s="3078"/>
      <c r="WOQ55" s="3078"/>
      <c r="WOR55" s="3078"/>
      <c r="WOS55" s="3078"/>
      <c r="WOT55" s="3078"/>
      <c r="WOU55" s="3078"/>
      <c r="WOV55" s="3078"/>
      <c r="WOW55" s="3075" t="s">
        <v>55</v>
      </c>
      <c r="WOX55" s="3078"/>
      <c r="WOY55" s="3078"/>
      <c r="WOZ55" s="3078"/>
      <c r="WPA55" s="3078"/>
      <c r="WPB55" s="3078"/>
      <c r="WPC55" s="3078"/>
      <c r="WPD55" s="3078"/>
      <c r="WPE55" s="3075" t="s">
        <v>55</v>
      </c>
      <c r="WPF55" s="3078"/>
      <c r="WPG55" s="3078"/>
      <c r="WPH55" s="3078"/>
      <c r="WPI55" s="3078"/>
      <c r="WPJ55" s="3078"/>
      <c r="WPK55" s="3078"/>
      <c r="WPL55" s="3078"/>
      <c r="WPM55" s="3075" t="s">
        <v>55</v>
      </c>
      <c r="WPN55" s="3078"/>
      <c r="WPO55" s="3078"/>
      <c r="WPP55" s="3078"/>
      <c r="WPQ55" s="3078"/>
      <c r="WPR55" s="3078"/>
      <c r="WPS55" s="3078"/>
      <c r="WPT55" s="3078"/>
      <c r="WPU55" s="3075" t="s">
        <v>55</v>
      </c>
      <c r="WPV55" s="3078"/>
      <c r="WPW55" s="3078"/>
      <c r="WPX55" s="3078"/>
      <c r="WPY55" s="3078"/>
      <c r="WPZ55" s="3078"/>
      <c r="WQA55" s="3078"/>
      <c r="WQB55" s="3078"/>
      <c r="WQC55" s="3075" t="s">
        <v>55</v>
      </c>
      <c r="WQD55" s="3078"/>
      <c r="WQE55" s="3078"/>
      <c r="WQF55" s="3078"/>
      <c r="WQG55" s="3078"/>
      <c r="WQH55" s="3078"/>
      <c r="WQI55" s="3078"/>
      <c r="WQJ55" s="3078"/>
      <c r="WQK55" s="3075" t="s">
        <v>55</v>
      </c>
      <c r="WQL55" s="3078"/>
      <c r="WQM55" s="3078"/>
      <c r="WQN55" s="3078"/>
      <c r="WQO55" s="3078"/>
      <c r="WQP55" s="3078"/>
      <c r="WQQ55" s="3078"/>
      <c r="WQR55" s="3078"/>
      <c r="WQS55" s="3075" t="s">
        <v>55</v>
      </c>
      <c r="WQT55" s="3078"/>
      <c r="WQU55" s="3078"/>
      <c r="WQV55" s="3078"/>
      <c r="WQW55" s="3078"/>
      <c r="WQX55" s="3078"/>
      <c r="WQY55" s="3078"/>
      <c r="WQZ55" s="3078"/>
      <c r="WRA55" s="3075" t="s">
        <v>55</v>
      </c>
      <c r="WRB55" s="3078"/>
      <c r="WRC55" s="3078"/>
      <c r="WRD55" s="3078"/>
      <c r="WRE55" s="3078"/>
      <c r="WRF55" s="3078"/>
      <c r="WRG55" s="3078"/>
      <c r="WRH55" s="3078"/>
      <c r="WRI55" s="3075" t="s">
        <v>55</v>
      </c>
      <c r="WRJ55" s="3078"/>
      <c r="WRK55" s="3078"/>
      <c r="WRL55" s="3078"/>
      <c r="WRM55" s="3078"/>
      <c r="WRN55" s="3078"/>
      <c r="WRO55" s="3078"/>
      <c r="WRP55" s="3078"/>
      <c r="WRQ55" s="3075" t="s">
        <v>55</v>
      </c>
      <c r="WRR55" s="3078"/>
      <c r="WRS55" s="3078"/>
      <c r="WRT55" s="3078"/>
      <c r="WRU55" s="3078"/>
      <c r="WRV55" s="3078"/>
      <c r="WRW55" s="3078"/>
      <c r="WRX55" s="3078"/>
      <c r="WRY55" s="3075" t="s">
        <v>55</v>
      </c>
      <c r="WRZ55" s="3078"/>
      <c r="WSA55" s="3078"/>
      <c r="WSB55" s="3078"/>
      <c r="WSC55" s="3078"/>
      <c r="WSD55" s="3078"/>
      <c r="WSE55" s="3078"/>
      <c r="WSF55" s="3078"/>
      <c r="WSG55" s="3075" t="s">
        <v>55</v>
      </c>
      <c r="WSH55" s="3078"/>
      <c r="WSI55" s="3078"/>
      <c r="WSJ55" s="3078"/>
      <c r="WSK55" s="3078"/>
      <c r="WSL55" s="3078"/>
      <c r="WSM55" s="3078"/>
      <c r="WSN55" s="3078"/>
      <c r="WSO55" s="3075" t="s">
        <v>55</v>
      </c>
      <c r="WSP55" s="3078"/>
      <c r="WSQ55" s="3078"/>
      <c r="WSR55" s="3078"/>
      <c r="WSS55" s="3078"/>
      <c r="WST55" s="3078"/>
      <c r="WSU55" s="3078"/>
      <c r="WSV55" s="3078"/>
      <c r="WSW55" s="3075" t="s">
        <v>55</v>
      </c>
      <c r="WSX55" s="3078"/>
      <c r="WSY55" s="3078"/>
      <c r="WSZ55" s="3078"/>
      <c r="WTA55" s="3078"/>
      <c r="WTB55" s="3078"/>
      <c r="WTC55" s="3078"/>
      <c r="WTD55" s="3078"/>
      <c r="WTE55" s="3075" t="s">
        <v>55</v>
      </c>
      <c r="WTF55" s="3078"/>
      <c r="WTG55" s="3078"/>
      <c r="WTH55" s="3078"/>
      <c r="WTI55" s="3078"/>
      <c r="WTJ55" s="3078"/>
      <c r="WTK55" s="3078"/>
      <c r="WTL55" s="3078"/>
      <c r="WTM55" s="3075" t="s">
        <v>55</v>
      </c>
      <c r="WTN55" s="3078"/>
      <c r="WTO55" s="3078"/>
      <c r="WTP55" s="3078"/>
      <c r="WTQ55" s="3078"/>
      <c r="WTR55" s="3078"/>
      <c r="WTS55" s="3078"/>
      <c r="WTT55" s="3078"/>
      <c r="WTU55" s="3075" t="s">
        <v>55</v>
      </c>
      <c r="WTV55" s="3078"/>
      <c r="WTW55" s="3078"/>
      <c r="WTX55" s="3078"/>
      <c r="WTY55" s="3078"/>
      <c r="WTZ55" s="3078"/>
      <c r="WUA55" s="3078"/>
      <c r="WUB55" s="3078"/>
      <c r="WUC55" s="3075" t="s">
        <v>55</v>
      </c>
      <c r="WUD55" s="3078"/>
      <c r="WUE55" s="3078"/>
      <c r="WUF55" s="3078"/>
      <c r="WUG55" s="3078"/>
      <c r="WUH55" s="3078"/>
      <c r="WUI55" s="3078"/>
      <c r="WUJ55" s="3078"/>
      <c r="WUK55" s="3075" t="s">
        <v>55</v>
      </c>
      <c r="WUL55" s="3078"/>
      <c r="WUM55" s="3078"/>
      <c r="WUN55" s="3078"/>
      <c r="WUO55" s="3078"/>
      <c r="WUP55" s="3078"/>
      <c r="WUQ55" s="3078"/>
      <c r="WUR55" s="3078"/>
      <c r="WUS55" s="3075" t="s">
        <v>55</v>
      </c>
      <c r="WUT55" s="3078"/>
      <c r="WUU55" s="3078"/>
      <c r="WUV55" s="3078"/>
      <c r="WUW55" s="3078"/>
      <c r="WUX55" s="3078"/>
      <c r="WUY55" s="3078"/>
      <c r="WUZ55" s="3078"/>
      <c r="WVA55" s="3075" t="s">
        <v>55</v>
      </c>
      <c r="WVB55" s="3078"/>
      <c r="WVC55" s="3078"/>
      <c r="WVD55" s="3078"/>
      <c r="WVE55" s="3078"/>
      <c r="WVF55" s="3078"/>
      <c r="WVG55" s="3078"/>
      <c r="WVH55" s="3078"/>
      <c r="WVI55" s="3075" t="s">
        <v>55</v>
      </c>
      <c r="WVJ55" s="3078"/>
      <c r="WVK55" s="3078"/>
      <c r="WVL55" s="3078"/>
      <c r="WVM55" s="3078"/>
      <c r="WVN55" s="3078"/>
      <c r="WVO55" s="3078"/>
      <c r="WVP55" s="3078"/>
      <c r="WVQ55" s="3075" t="s">
        <v>55</v>
      </c>
      <c r="WVR55" s="3078"/>
      <c r="WVS55" s="3078"/>
      <c r="WVT55" s="3078"/>
      <c r="WVU55" s="3078"/>
      <c r="WVV55" s="3078"/>
      <c r="WVW55" s="3078"/>
      <c r="WVX55" s="3078"/>
      <c r="WVY55" s="3075" t="s">
        <v>55</v>
      </c>
      <c r="WVZ55" s="3078"/>
      <c r="WWA55" s="3078"/>
      <c r="WWB55" s="3078"/>
      <c r="WWC55" s="3078"/>
      <c r="WWD55" s="3078"/>
      <c r="WWE55" s="3078"/>
      <c r="WWF55" s="3078"/>
      <c r="WWG55" s="3075" t="s">
        <v>55</v>
      </c>
      <c r="WWH55" s="3078"/>
      <c r="WWI55" s="3078"/>
      <c r="WWJ55" s="3078"/>
      <c r="WWK55" s="3078"/>
      <c r="WWL55" s="3078"/>
      <c r="WWM55" s="3078"/>
      <c r="WWN55" s="3078"/>
      <c r="WWO55" s="3075" t="s">
        <v>55</v>
      </c>
      <c r="WWP55" s="3078"/>
      <c r="WWQ55" s="3078"/>
      <c r="WWR55" s="3078"/>
      <c r="WWS55" s="3078"/>
      <c r="WWT55" s="3078"/>
      <c r="WWU55" s="3078"/>
      <c r="WWV55" s="3078"/>
      <c r="WWW55" s="3075" t="s">
        <v>55</v>
      </c>
      <c r="WWX55" s="3078"/>
      <c r="WWY55" s="3078"/>
      <c r="WWZ55" s="3078"/>
      <c r="WXA55" s="3078"/>
      <c r="WXB55" s="3078"/>
      <c r="WXC55" s="3078"/>
      <c r="WXD55" s="3078"/>
      <c r="WXE55" s="3075" t="s">
        <v>55</v>
      </c>
      <c r="WXF55" s="3078"/>
      <c r="WXG55" s="3078"/>
      <c r="WXH55" s="3078"/>
      <c r="WXI55" s="3078"/>
      <c r="WXJ55" s="3078"/>
      <c r="WXK55" s="3078"/>
      <c r="WXL55" s="3078"/>
      <c r="WXM55" s="3075" t="s">
        <v>55</v>
      </c>
      <c r="WXN55" s="3078"/>
      <c r="WXO55" s="3078"/>
      <c r="WXP55" s="3078"/>
      <c r="WXQ55" s="3078"/>
      <c r="WXR55" s="3078"/>
      <c r="WXS55" s="3078"/>
      <c r="WXT55" s="3078"/>
      <c r="WXU55" s="3075" t="s">
        <v>55</v>
      </c>
      <c r="WXV55" s="3078"/>
      <c r="WXW55" s="3078"/>
      <c r="WXX55" s="3078"/>
      <c r="WXY55" s="3078"/>
      <c r="WXZ55" s="3078"/>
      <c r="WYA55" s="3078"/>
      <c r="WYB55" s="3078"/>
      <c r="WYC55" s="3075" t="s">
        <v>55</v>
      </c>
      <c r="WYD55" s="3078"/>
      <c r="WYE55" s="3078"/>
      <c r="WYF55" s="3078"/>
      <c r="WYG55" s="3078"/>
      <c r="WYH55" s="3078"/>
      <c r="WYI55" s="3078"/>
      <c r="WYJ55" s="3078"/>
      <c r="WYK55" s="3075" t="s">
        <v>55</v>
      </c>
      <c r="WYL55" s="3078"/>
      <c r="WYM55" s="3078"/>
      <c r="WYN55" s="3078"/>
      <c r="WYO55" s="3078"/>
      <c r="WYP55" s="3078"/>
      <c r="WYQ55" s="3078"/>
      <c r="WYR55" s="3078"/>
      <c r="WYS55" s="3075" t="s">
        <v>55</v>
      </c>
      <c r="WYT55" s="3078"/>
      <c r="WYU55" s="3078"/>
      <c r="WYV55" s="3078"/>
      <c r="WYW55" s="3078"/>
      <c r="WYX55" s="3078"/>
      <c r="WYY55" s="3078"/>
      <c r="WYZ55" s="3078"/>
      <c r="WZA55" s="3075" t="s">
        <v>55</v>
      </c>
      <c r="WZB55" s="3078"/>
      <c r="WZC55" s="3078"/>
      <c r="WZD55" s="3078"/>
      <c r="WZE55" s="3078"/>
      <c r="WZF55" s="3078"/>
      <c r="WZG55" s="3078"/>
      <c r="WZH55" s="3078"/>
      <c r="WZI55" s="3075" t="s">
        <v>55</v>
      </c>
      <c r="WZJ55" s="3078"/>
      <c r="WZK55" s="3078"/>
      <c r="WZL55" s="3078"/>
      <c r="WZM55" s="3078"/>
      <c r="WZN55" s="3078"/>
      <c r="WZO55" s="3078"/>
      <c r="WZP55" s="3078"/>
      <c r="WZQ55" s="3075" t="s">
        <v>55</v>
      </c>
      <c r="WZR55" s="3078"/>
      <c r="WZS55" s="3078"/>
      <c r="WZT55" s="3078"/>
      <c r="WZU55" s="3078"/>
      <c r="WZV55" s="3078"/>
      <c r="WZW55" s="3078"/>
      <c r="WZX55" s="3078"/>
      <c r="WZY55" s="3075" t="s">
        <v>55</v>
      </c>
      <c r="WZZ55" s="3078"/>
      <c r="XAA55" s="3078"/>
      <c r="XAB55" s="3078"/>
      <c r="XAC55" s="3078"/>
      <c r="XAD55" s="3078"/>
      <c r="XAE55" s="3078"/>
      <c r="XAF55" s="3078"/>
      <c r="XAG55" s="3075" t="s">
        <v>55</v>
      </c>
      <c r="XAH55" s="3078"/>
      <c r="XAI55" s="3078"/>
      <c r="XAJ55" s="3078"/>
      <c r="XAK55" s="3078"/>
      <c r="XAL55" s="3078"/>
      <c r="XAM55" s="3078"/>
      <c r="XAN55" s="3078"/>
      <c r="XAO55" s="3075" t="s">
        <v>55</v>
      </c>
      <c r="XAP55" s="3078"/>
      <c r="XAQ55" s="3078"/>
      <c r="XAR55" s="3078"/>
      <c r="XAS55" s="3078"/>
      <c r="XAT55" s="3078"/>
      <c r="XAU55" s="3078"/>
      <c r="XAV55" s="3078"/>
      <c r="XAW55" s="3075" t="s">
        <v>55</v>
      </c>
      <c r="XAX55" s="3078"/>
      <c r="XAY55" s="3078"/>
      <c r="XAZ55" s="3078"/>
      <c r="XBA55" s="3078"/>
      <c r="XBB55" s="3078"/>
      <c r="XBC55" s="3078"/>
      <c r="XBD55" s="3078"/>
      <c r="XBE55" s="3075" t="s">
        <v>55</v>
      </c>
      <c r="XBF55" s="3078"/>
      <c r="XBG55" s="3078"/>
      <c r="XBH55" s="3078"/>
      <c r="XBI55" s="3078"/>
      <c r="XBJ55" s="3078"/>
      <c r="XBK55" s="3078"/>
      <c r="XBL55" s="3078"/>
      <c r="XBM55" s="3075" t="s">
        <v>55</v>
      </c>
      <c r="XBN55" s="3078"/>
      <c r="XBO55" s="3078"/>
      <c r="XBP55" s="3078"/>
      <c r="XBQ55" s="3078"/>
      <c r="XBR55" s="3078"/>
      <c r="XBS55" s="3078"/>
      <c r="XBT55" s="3078"/>
      <c r="XBU55" s="3075" t="s">
        <v>55</v>
      </c>
      <c r="XBV55" s="3078"/>
      <c r="XBW55" s="3078"/>
      <c r="XBX55" s="3078"/>
      <c r="XBY55" s="3078"/>
      <c r="XBZ55" s="3078"/>
      <c r="XCA55" s="3078"/>
      <c r="XCB55" s="3078"/>
      <c r="XCC55" s="3075" t="s">
        <v>55</v>
      </c>
      <c r="XCD55" s="3078"/>
      <c r="XCE55" s="3078"/>
      <c r="XCF55" s="3078"/>
      <c r="XCG55" s="3078"/>
      <c r="XCH55" s="3078"/>
      <c r="XCI55" s="3078"/>
      <c r="XCJ55" s="3078"/>
      <c r="XCK55" s="3075" t="s">
        <v>55</v>
      </c>
      <c r="XCL55" s="3078"/>
      <c r="XCM55" s="3078"/>
      <c r="XCN55" s="3078"/>
      <c r="XCO55" s="3078"/>
      <c r="XCP55" s="3078"/>
      <c r="XCQ55" s="3078"/>
      <c r="XCR55" s="3078"/>
      <c r="XCS55" s="3075" t="s">
        <v>55</v>
      </c>
      <c r="XCT55" s="3078"/>
      <c r="XCU55" s="3078"/>
      <c r="XCV55" s="3078"/>
      <c r="XCW55" s="3078"/>
      <c r="XCX55" s="3078"/>
      <c r="XCY55" s="3078"/>
      <c r="XCZ55" s="3078"/>
      <c r="XDA55" s="3075" t="s">
        <v>55</v>
      </c>
      <c r="XDB55" s="3078"/>
      <c r="XDC55" s="3078"/>
      <c r="XDD55" s="3078"/>
      <c r="XDE55" s="3078"/>
      <c r="XDF55" s="3078"/>
      <c r="XDG55" s="3078"/>
      <c r="XDH55" s="3078"/>
      <c r="XDI55" s="3075" t="s">
        <v>55</v>
      </c>
      <c r="XDJ55" s="3078"/>
      <c r="XDK55" s="3078"/>
      <c r="XDL55" s="3078"/>
      <c r="XDM55" s="3078"/>
      <c r="XDN55" s="3078"/>
      <c r="XDO55" s="3078"/>
      <c r="XDP55" s="3078"/>
      <c r="XDQ55" s="3075" t="s">
        <v>55</v>
      </c>
      <c r="XDR55" s="3078"/>
      <c r="XDS55" s="3078"/>
      <c r="XDT55" s="3078"/>
      <c r="XDU55" s="3078"/>
      <c r="XDV55" s="3078"/>
      <c r="XDW55" s="3078"/>
      <c r="XDX55" s="3078"/>
      <c r="XDY55" s="3075" t="s">
        <v>55</v>
      </c>
      <c r="XDZ55" s="3078"/>
      <c r="XEA55" s="3078"/>
      <c r="XEB55" s="3078"/>
      <c r="XEC55" s="3078"/>
      <c r="XED55" s="3078"/>
      <c r="XEE55" s="3078"/>
      <c r="XEF55" s="3078"/>
      <c r="XEG55" s="3075" t="s">
        <v>55</v>
      </c>
      <c r="XEH55" s="3078"/>
      <c r="XEI55" s="3078"/>
      <c r="XEJ55" s="3078"/>
      <c r="XEK55" s="3078"/>
      <c r="XEL55" s="3078"/>
      <c r="XEM55" s="3078"/>
      <c r="XEN55" s="3078"/>
      <c r="XEO55" s="3075" t="s">
        <v>55</v>
      </c>
      <c r="XEP55" s="3078"/>
      <c r="XEQ55" s="3078"/>
      <c r="XER55" s="3078"/>
      <c r="XES55" s="3078"/>
      <c r="XET55" s="3078"/>
      <c r="XEU55" s="3078"/>
      <c r="XEV55" s="3078"/>
      <c r="XEW55" s="3075" t="s">
        <v>55</v>
      </c>
      <c r="XEX55" s="3078"/>
      <c r="XEY55" s="3078"/>
      <c r="XEZ55" s="3078"/>
      <c r="XFA55" s="3078"/>
      <c r="XFB55" s="3078"/>
      <c r="XFC55" s="3078"/>
      <c r="XFD55" s="3078"/>
    </row>
    <row r="56" spans="1:16384" ht="13.2" thickBot="1" x14ac:dyDescent="0.25">
      <c r="A56" s="1507"/>
      <c r="B56" s="1508" t="s">
        <v>36</v>
      </c>
      <c r="C56" s="1509">
        <f t="shared" ref="C56:H56" si="7">C4</f>
        <v>46023</v>
      </c>
      <c r="D56" s="1509">
        <f t="shared" si="7"/>
        <v>46054</v>
      </c>
      <c r="E56" s="1509">
        <f t="shared" si="7"/>
        <v>46082</v>
      </c>
      <c r="F56" s="1509">
        <f t="shared" si="7"/>
        <v>46113</v>
      </c>
      <c r="G56" s="1509">
        <f t="shared" si="7"/>
        <v>46143</v>
      </c>
      <c r="H56" s="1509">
        <f t="shared" si="7"/>
        <v>46174</v>
      </c>
    </row>
    <row r="57" spans="1:16384" ht="13.2" thickBot="1" x14ac:dyDescent="0.25">
      <c r="A57" s="1510" t="s">
        <v>55</v>
      </c>
      <c r="B57" s="1511" t="s">
        <v>42</v>
      </c>
      <c r="C57" s="1512" t="e">
        <f t="shared" ref="C57:H57" si="8">(C49)*1000000/C11</f>
        <v>#REF!</v>
      </c>
      <c r="D57" s="1512" t="e">
        <f t="shared" si="8"/>
        <v>#REF!</v>
      </c>
      <c r="E57" s="1512" t="e">
        <f t="shared" si="8"/>
        <v>#REF!</v>
      </c>
      <c r="F57" s="1512" t="e">
        <f t="shared" si="8"/>
        <v>#REF!</v>
      </c>
      <c r="G57" s="1512" t="e">
        <f t="shared" si="8"/>
        <v>#REF!</v>
      </c>
      <c r="H57" s="1512" t="e">
        <f t="shared" si="8"/>
        <v>#REF!</v>
      </c>
      <c r="I57" s="1488" t="e">
        <f>C57+D57+E57+F57+G57+H57</f>
        <v>#REF!</v>
      </c>
    </row>
    <row r="58" spans="1:16384" x14ac:dyDescent="0.2">
      <c r="A58" s="1513"/>
      <c r="B58" s="1514"/>
      <c r="C58" s="1515"/>
      <c r="D58" s="1515"/>
      <c r="E58" s="1515"/>
      <c r="F58" s="1515"/>
      <c r="G58" s="1515"/>
      <c r="H58" s="1515"/>
    </row>
    <row r="59" spans="1:16384" x14ac:dyDescent="0.2">
      <c r="C59" s="1488"/>
      <c r="D59" s="1488"/>
      <c r="E59" s="1488"/>
      <c r="F59" s="1488"/>
      <c r="G59" s="1488"/>
      <c r="H59" s="1488"/>
      <c r="I59" s="1488"/>
      <c r="J59" s="1488"/>
      <c r="K59" s="1488"/>
    </row>
    <row r="60" spans="1:16384" x14ac:dyDescent="0.2">
      <c r="C60" s="1488"/>
      <c r="D60" s="1488"/>
      <c r="E60" s="1488"/>
      <c r="F60" s="1488"/>
      <c r="G60" s="1488"/>
      <c r="H60" s="1488"/>
      <c r="I60" s="1488"/>
      <c r="J60" s="1488"/>
      <c r="K60" s="1488"/>
    </row>
    <row r="62" spans="1:16384" x14ac:dyDescent="0.2">
      <c r="C62" s="1488"/>
    </row>
    <row r="63" spans="1:16384" x14ac:dyDescent="0.2">
      <c r="C63" s="1488"/>
    </row>
    <row r="64" spans="1:16384" x14ac:dyDescent="0.2">
      <c r="C64" s="1488"/>
    </row>
    <row r="65" spans="3:3" x14ac:dyDescent="0.2">
      <c r="C65" s="1488"/>
    </row>
    <row r="114" spans="3:8" x14ac:dyDescent="0.2">
      <c r="C114" s="1526"/>
      <c r="D114" s="1526"/>
      <c r="E114" s="1526"/>
      <c r="F114" s="1526"/>
      <c r="G114" s="1526"/>
      <c r="H114" s="1526"/>
    </row>
  </sheetData>
  <mergeCells count="4117">
    <mergeCell ref="P14:Q14"/>
    <mergeCell ref="R14:S14"/>
    <mergeCell ref="T14:U14"/>
    <mergeCell ref="V14:W14"/>
    <mergeCell ref="CC55:CJ55"/>
    <mergeCell ref="CK55:CR55"/>
    <mergeCell ref="CS55:CZ55"/>
    <mergeCell ref="DA55:DH55"/>
    <mergeCell ref="DI55:DP55"/>
    <mergeCell ref="AO55:AV55"/>
    <mergeCell ref="AW55:BD55"/>
    <mergeCell ref="BE55:BL55"/>
    <mergeCell ref="BM55:BT55"/>
    <mergeCell ref="BU55:CB55"/>
    <mergeCell ref="A55:H55"/>
    <mergeCell ref="I55:P55"/>
    <mergeCell ref="Q55:X55"/>
    <mergeCell ref="Y55:AF55"/>
    <mergeCell ref="AG55:AN55"/>
    <mergeCell ref="AV14:AW14"/>
    <mergeCell ref="AX14:AY14"/>
    <mergeCell ref="A53:H53"/>
    <mergeCell ref="AJ14:AK14"/>
    <mergeCell ref="AL14:AM14"/>
    <mergeCell ref="AN14:AO14"/>
    <mergeCell ref="AP14:AQ14"/>
    <mergeCell ref="AR14:AS14"/>
    <mergeCell ref="AT14:AU14"/>
    <mergeCell ref="X14:Y14"/>
    <mergeCell ref="Z14:AA14"/>
    <mergeCell ref="AB14:AC14"/>
    <mergeCell ref="AD14:AE14"/>
    <mergeCell ref="AF14:AG14"/>
    <mergeCell ref="AH14:AI14"/>
    <mergeCell ref="A14:H14"/>
    <mergeCell ref="N14:O14"/>
    <mergeCell ref="IG55:IN55"/>
    <mergeCell ref="IO55:IV55"/>
    <mergeCell ref="IW55:JD55"/>
    <mergeCell ref="JE55:JL55"/>
    <mergeCell ref="JM55:JT55"/>
    <mergeCell ref="GS55:GZ55"/>
    <mergeCell ref="HA55:HH55"/>
    <mergeCell ref="HI55:HP55"/>
    <mergeCell ref="HQ55:HX55"/>
    <mergeCell ref="HY55:IF55"/>
    <mergeCell ref="FE55:FL55"/>
    <mergeCell ref="FM55:FT55"/>
    <mergeCell ref="FU55:GB55"/>
    <mergeCell ref="GC55:GJ55"/>
    <mergeCell ref="GK55:GR55"/>
    <mergeCell ref="DQ55:DX55"/>
    <mergeCell ref="DY55:EF55"/>
    <mergeCell ref="EG55:EN55"/>
    <mergeCell ref="EO55:EV55"/>
    <mergeCell ref="EW55:FD55"/>
    <mergeCell ref="GC54:GJ54"/>
    <mergeCell ref="GK54:GR54"/>
    <mergeCell ref="GS54:GZ54"/>
    <mergeCell ref="HA54:HH54"/>
    <mergeCell ref="HI54:HP54"/>
    <mergeCell ref="EO54:EV54"/>
    <mergeCell ref="EW54:FD54"/>
    <mergeCell ref="FE54:FL54"/>
    <mergeCell ref="OK55:OR55"/>
    <mergeCell ref="OS55:OZ55"/>
    <mergeCell ref="PA55:PH55"/>
    <mergeCell ref="PI55:PP55"/>
    <mergeCell ref="PQ55:PX55"/>
    <mergeCell ref="MW55:ND55"/>
    <mergeCell ref="NE55:NL55"/>
    <mergeCell ref="NM55:NT55"/>
    <mergeCell ref="NU55:OB55"/>
    <mergeCell ref="OC55:OJ55"/>
    <mergeCell ref="LI55:LP55"/>
    <mergeCell ref="LQ55:LX55"/>
    <mergeCell ref="LY55:MF55"/>
    <mergeCell ref="MG55:MN55"/>
    <mergeCell ref="MO55:MV55"/>
    <mergeCell ref="JU55:KB55"/>
    <mergeCell ref="KC55:KJ55"/>
    <mergeCell ref="KK55:KR55"/>
    <mergeCell ref="KS55:KZ55"/>
    <mergeCell ref="LA55:LH55"/>
    <mergeCell ref="UO55:UV55"/>
    <mergeCell ref="UW55:VD55"/>
    <mergeCell ref="VE55:VL55"/>
    <mergeCell ref="VM55:VT55"/>
    <mergeCell ref="VU55:WB55"/>
    <mergeCell ref="TA55:TH55"/>
    <mergeCell ref="TI55:TP55"/>
    <mergeCell ref="TQ55:TX55"/>
    <mergeCell ref="TY55:UF55"/>
    <mergeCell ref="UG55:UN55"/>
    <mergeCell ref="RM55:RT55"/>
    <mergeCell ref="RU55:SB55"/>
    <mergeCell ref="SC55:SJ55"/>
    <mergeCell ref="SK55:SR55"/>
    <mergeCell ref="SS55:SZ55"/>
    <mergeCell ref="PY55:QF55"/>
    <mergeCell ref="QG55:QN55"/>
    <mergeCell ref="QO55:QV55"/>
    <mergeCell ref="QW55:RD55"/>
    <mergeCell ref="RE55:RL55"/>
    <mergeCell ref="AAS55:AAZ55"/>
    <mergeCell ref="ABA55:ABH55"/>
    <mergeCell ref="ABI55:ABP55"/>
    <mergeCell ref="ABQ55:ABX55"/>
    <mergeCell ref="ABY55:ACF55"/>
    <mergeCell ref="ZE55:ZL55"/>
    <mergeCell ref="ZM55:ZT55"/>
    <mergeCell ref="ZU55:AAB55"/>
    <mergeCell ref="AAC55:AAJ55"/>
    <mergeCell ref="AAK55:AAR55"/>
    <mergeCell ref="XQ55:XX55"/>
    <mergeCell ref="XY55:YF55"/>
    <mergeCell ref="YG55:YN55"/>
    <mergeCell ref="YO55:YV55"/>
    <mergeCell ref="YW55:ZD55"/>
    <mergeCell ref="WC55:WJ55"/>
    <mergeCell ref="WK55:WR55"/>
    <mergeCell ref="WS55:WZ55"/>
    <mergeCell ref="XA55:XH55"/>
    <mergeCell ref="XI55:XP55"/>
    <mergeCell ref="AGW55:AHD55"/>
    <mergeCell ref="AHE55:AHL55"/>
    <mergeCell ref="AHM55:AHT55"/>
    <mergeCell ref="AHU55:AIB55"/>
    <mergeCell ref="AIC55:AIJ55"/>
    <mergeCell ref="AFI55:AFP55"/>
    <mergeCell ref="AFQ55:AFX55"/>
    <mergeCell ref="AFY55:AGF55"/>
    <mergeCell ref="AGG55:AGN55"/>
    <mergeCell ref="AGO55:AGV55"/>
    <mergeCell ref="ADU55:AEB55"/>
    <mergeCell ref="AEC55:AEJ55"/>
    <mergeCell ref="AEK55:AER55"/>
    <mergeCell ref="AES55:AEZ55"/>
    <mergeCell ref="AFA55:AFH55"/>
    <mergeCell ref="ACG55:ACN55"/>
    <mergeCell ref="ACO55:ACV55"/>
    <mergeCell ref="ACW55:ADD55"/>
    <mergeCell ref="ADE55:ADL55"/>
    <mergeCell ref="ADM55:ADT55"/>
    <mergeCell ref="ANA55:ANH55"/>
    <mergeCell ref="ANI55:ANP55"/>
    <mergeCell ref="ANQ55:ANX55"/>
    <mergeCell ref="ANY55:AOF55"/>
    <mergeCell ref="AOG55:AON55"/>
    <mergeCell ref="ALM55:ALT55"/>
    <mergeCell ref="ALU55:AMB55"/>
    <mergeCell ref="AMC55:AMJ55"/>
    <mergeCell ref="AMK55:AMR55"/>
    <mergeCell ref="AMS55:AMZ55"/>
    <mergeCell ref="AJY55:AKF55"/>
    <mergeCell ref="AKG55:AKN55"/>
    <mergeCell ref="AKO55:AKV55"/>
    <mergeCell ref="AKW55:ALD55"/>
    <mergeCell ref="ALE55:ALL55"/>
    <mergeCell ref="AIK55:AIR55"/>
    <mergeCell ref="AIS55:AIZ55"/>
    <mergeCell ref="AJA55:AJH55"/>
    <mergeCell ref="AJI55:AJP55"/>
    <mergeCell ref="AJQ55:AJX55"/>
    <mergeCell ref="ATE55:ATL55"/>
    <mergeCell ref="ATM55:ATT55"/>
    <mergeCell ref="ATU55:AUB55"/>
    <mergeCell ref="AUC55:AUJ55"/>
    <mergeCell ref="AUK55:AUR55"/>
    <mergeCell ref="ARQ55:ARX55"/>
    <mergeCell ref="ARY55:ASF55"/>
    <mergeCell ref="ASG55:ASN55"/>
    <mergeCell ref="ASO55:ASV55"/>
    <mergeCell ref="ASW55:ATD55"/>
    <mergeCell ref="AQC55:AQJ55"/>
    <mergeCell ref="AQK55:AQR55"/>
    <mergeCell ref="AQS55:AQZ55"/>
    <mergeCell ref="ARA55:ARH55"/>
    <mergeCell ref="ARI55:ARP55"/>
    <mergeCell ref="AOO55:AOV55"/>
    <mergeCell ref="AOW55:APD55"/>
    <mergeCell ref="APE55:APL55"/>
    <mergeCell ref="APM55:APT55"/>
    <mergeCell ref="APU55:AQB55"/>
    <mergeCell ref="AZI55:AZP55"/>
    <mergeCell ref="AZQ55:AZX55"/>
    <mergeCell ref="AZY55:BAF55"/>
    <mergeCell ref="BAG55:BAN55"/>
    <mergeCell ref="BAO55:BAV55"/>
    <mergeCell ref="AXU55:AYB55"/>
    <mergeCell ref="AYC55:AYJ55"/>
    <mergeCell ref="AYK55:AYR55"/>
    <mergeCell ref="AYS55:AYZ55"/>
    <mergeCell ref="AZA55:AZH55"/>
    <mergeCell ref="AWG55:AWN55"/>
    <mergeCell ref="AWO55:AWV55"/>
    <mergeCell ref="AWW55:AXD55"/>
    <mergeCell ref="AXE55:AXL55"/>
    <mergeCell ref="AXM55:AXT55"/>
    <mergeCell ref="AUS55:AUZ55"/>
    <mergeCell ref="AVA55:AVH55"/>
    <mergeCell ref="AVI55:AVP55"/>
    <mergeCell ref="AVQ55:AVX55"/>
    <mergeCell ref="AVY55:AWF55"/>
    <mergeCell ref="BFM55:BFT55"/>
    <mergeCell ref="BFU55:BGB55"/>
    <mergeCell ref="BGC55:BGJ55"/>
    <mergeCell ref="BGK55:BGR55"/>
    <mergeCell ref="BGS55:BGZ55"/>
    <mergeCell ref="BDY55:BEF55"/>
    <mergeCell ref="BEG55:BEN55"/>
    <mergeCell ref="BEO55:BEV55"/>
    <mergeCell ref="BEW55:BFD55"/>
    <mergeCell ref="BFE55:BFL55"/>
    <mergeCell ref="BCK55:BCR55"/>
    <mergeCell ref="BCS55:BCZ55"/>
    <mergeCell ref="BDA55:BDH55"/>
    <mergeCell ref="BDI55:BDP55"/>
    <mergeCell ref="BDQ55:BDX55"/>
    <mergeCell ref="BAW55:BBD55"/>
    <mergeCell ref="BBE55:BBL55"/>
    <mergeCell ref="BBM55:BBT55"/>
    <mergeCell ref="BBU55:BCB55"/>
    <mergeCell ref="BCC55:BCJ55"/>
    <mergeCell ref="BLQ55:BLX55"/>
    <mergeCell ref="BLY55:BMF55"/>
    <mergeCell ref="BMG55:BMN55"/>
    <mergeCell ref="BMO55:BMV55"/>
    <mergeCell ref="BMW55:BND55"/>
    <mergeCell ref="BKC55:BKJ55"/>
    <mergeCell ref="BKK55:BKR55"/>
    <mergeCell ref="BKS55:BKZ55"/>
    <mergeCell ref="BLA55:BLH55"/>
    <mergeCell ref="BLI55:BLP55"/>
    <mergeCell ref="BIO55:BIV55"/>
    <mergeCell ref="BIW55:BJD55"/>
    <mergeCell ref="BJE55:BJL55"/>
    <mergeCell ref="BJM55:BJT55"/>
    <mergeCell ref="BJU55:BKB55"/>
    <mergeCell ref="BHA55:BHH55"/>
    <mergeCell ref="BHI55:BHP55"/>
    <mergeCell ref="BHQ55:BHX55"/>
    <mergeCell ref="BHY55:BIF55"/>
    <mergeCell ref="BIG55:BIN55"/>
    <mergeCell ref="BRU55:BSB55"/>
    <mergeCell ref="BSC55:BSJ55"/>
    <mergeCell ref="BSK55:BSR55"/>
    <mergeCell ref="BSS55:BSZ55"/>
    <mergeCell ref="BTA55:BTH55"/>
    <mergeCell ref="BQG55:BQN55"/>
    <mergeCell ref="BQO55:BQV55"/>
    <mergeCell ref="BQW55:BRD55"/>
    <mergeCell ref="BRE55:BRL55"/>
    <mergeCell ref="BRM55:BRT55"/>
    <mergeCell ref="BOS55:BOZ55"/>
    <mergeCell ref="BPA55:BPH55"/>
    <mergeCell ref="BPI55:BPP55"/>
    <mergeCell ref="BPQ55:BPX55"/>
    <mergeCell ref="BPY55:BQF55"/>
    <mergeCell ref="BNE55:BNL55"/>
    <mergeCell ref="BNM55:BNT55"/>
    <mergeCell ref="BNU55:BOB55"/>
    <mergeCell ref="BOC55:BOJ55"/>
    <mergeCell ref="BOK55:BOR55"/>
    <mergeCell ref="BXY55:BYF55"/>
    <mergeCell ref="BYG55:BYN55"/>
    <mergeCell ref="BYO55:BYV55"/>
    <mergeCell ref="BYW55:BZD55"/>
    <mergeCell ref="BZE55:BZL55"/>
    <mergeCell ref="BWK55:BWR55"/>
    <mergeCell ref="BWS55:BWZ55"/>
    <mergeCell ref="BXA55:BXH55"/>
    <mergeCell ref="BXI55:BXP55"/>
    <mergeCell ref="BXQ55:BXX55"/>
    <mergeCell ref="BUW55:BVD55"/>
    <mergeCell ref="BVE55:BVL55"/>
    <mergeCell ref="BVM55:BVT55"/>
    <mergeCell ref="BVU55:BWB55"/>
    <mergeCell ref="BWC55:BWJ55"/>
    <mergeCell ref="BTI55:BTP55"/>
    <mergeCell ref="BTQ55:BTX55"/>
    <mergeCell ref="BTY55:BUF55"/>
    <mergeCell ref="BUG55:BUN55"/>
    <mergeCell ref="BUO55:BUV55"/>
    <mergeCell ref="CEC55:CEJ55"/>
    <mergeCell ref="CEK55:CER55"/>
    <mergeCell ref="CES55:CEZ55"/>
    <mergeCell ref="CFA55:CFH55"/>
    <mergeCell ref="CFI55:CFP55"/>
    <mergeCell ref="CCO55:CCV55"/>
    <mergeCell ref="CCW55:CDD55"/>
    <mergeCell ref="CDE55:CDL55"/>
    <mergeCell ref="CDM55:CDT55"/>
    <mergeCell ref="CDU55:CEB55"/>
    <mergeCell ref="CBA55:CBH55"/>
    <mergeCell ref="CBI55:CBP55"/>
    <mergeCell ref="CBQ55:CBX55"/>
    <mergeCell ref="CBY55:CCF55"/>
    <mergeCell ref="CCG55:CCN55"/>
    <mergeCell ref="BZM55:BZT55"/>
    <mergeCell ref="BZU55:CAB55"/>
    <mergeCell ref="CAC55:CAJ55"/>
    <mergeCell ref="CAK55:CAR55"/>
    <mergeCell ref="CAS55:CAZ55"/>
    <mergeCell ref="CKG55:CKN55"/>
    <mergeCell ref="CKO55:CKV55"/>
    <mergeCell ref="CKW55:CLD55"/>
    <mergeCell ref="CLE55:CLL55"/>
    <mergeCell ref="CLM55:CLT55"/>
    <mergeCell ref="CIS55:CIZ55"/>
    <mergeCell ref="CJA55:CJH55"/>
    <mergeCell ref="CJI55:CJP55"/>
    <mergeCell ref="CJQ55:CJX55"/>
    <mergeCell ref="CJY55:CKF55"/>
    <mergeCell ref="CHE55:CHL55"/>
    <mergeCell ref="CHM55:CHT55"/>
    <mergeCell ref="CHU55:CIB55"/>
    <mergeCell ref="CIC55:CIJ55"/>
    <mergeCell ref="CIK55:CIR55"/>
    <mergeCell ref="CFQ55:CFX55"/>
    <mergeCell ref="CFY55:CGF55"/>
    <mergeCell ref="CGG55:CGN55"/>
    <mergeCell ref="CGO55:CGV55"/>
    <mergeCell ref="CGW55:CHD55"/>
    <mergeCell ref="CQK55:CQR55"/>
    <mergeCell ref="CQS55:CQZ55"/>
    <mergeCell ref="CRA55:CRH55"/>
    <mergeCell ref="CRI55:CRP55"/>
    <mergeCell ref="CRQ55:CRX55"/>
    <mergeCell ref="COW55:CPD55"/>
    <mergeCell ref="CPE55:CPL55"/>
    <mergeCell ref="CPM55:CPT55"/>
    <mergeCell ref="CPU55:CQB55"/>
    <mergeCell ref="CQC55:CQJ55"/>
    <mergeCell ref="CNI55:CNP55"/>
    <mergeCell ref="CNQ55:CNX55"/>
    <mergeCell ref="CNY55:COF55"/>
    <mergeCell ref="COG55:CON55"/>
    <mergeCell ref="COO55:COV55"/>
    <mergeCell ref="CLU55:CMB55"/>
    <mergeCell ref="CMC55:CMJ55"/>
    <mergeCell ref="CMK55:CMR55"/>
    <mergeCell ref="CMS55:CMZ55"/>
    <mergeCell ref="CNA55:CNH55"/>
    <mergeCell ref="CWO55:CWV55"/>
    <mergeCell ref="CWW55:CXD55"/>
    <mergeCell ref="CXE55:CXL55"/>
    <mergeCell ref="CXM55:CXT55"/>
    <mergeCell ref="CXU55:CYB55"/>
    <mergeCell ref="CVA55:CVH55"/>
    <mergeCell ref="CVI55:CVP55"/>
    <mergeCell ref="CVQ55:CVX55"/>
    <mergeCell ref="CVY55:CWF55"/>
    <mergeCell ref="CWG55:CWN55"/>
    <mergeCell ref="CTM55:CTT55"/>
    <mergeCell ref="CTU55:CUB55"/>
    <mergeCell ref="CUC55:CUJ55"/>
    <mergeCell ref="CUK55:CUR55"/>
    <mergeCell ref="CUS55:CUZ55"/>
    <mergeCell ref="CRY55:CSF55"/>
    <mergeCell ref="CSG55:CSN55"/>
    <mergeCell ref="CSO55:CSV55"/>
    <mergeCell ref="CSW55:CTD55"/>
    <mergeCell ref="CTE55:CTL55"/>
    <mergeCell ref="DCS55:DCZ55"/>
    <mergeCell ref="DDA55:DDH55"/>
    <mergeCell ref="DDI55:DDP55"/>
    <mergeCell ref="DDQ55:DDX55"/>
    <mergeCell ref="DDY55:DEF55"/>
    <mergeCell ref="DBE55:DBL55"/>
    <mergeCell ref="DBM55:DBT55"/>
    <mergeCell ref="DBU55:DCB55"/>
    <mergeCell ref="DCC55:DCJ55"/>
    <mergeCell ref="DCK55:DCR55"/>
    <mergeCell ref="CZQ55:CZX55"/>
    <mergeCell ref="CZY55:DAF55"/>
    <mergeCell ref="DAG55:DAN55"/>
    <mergeCell ref="DAO55:DAV55"/>
    <mergeCell ref="DAW55:DBD55"/>
    <mergeCell ref="CYC55:CYJ55"/>
    <mergeCell ref="CYK55:CYR55"/>
    <mergeCell ref="CYS55:CYZ55"/>
    <mergeCell ref="CZA55:CZH55"/>
    <mergeCell ref="CZI55:CZP55"/>
    <mergeCell ref="DIW55:DJD55"/>
    <mergeCell ref="DJE55:DJL55"/>
    <mergeCell ref="DJM55:DJT55"/>
    <mergeCell ref="DJU55:DKB55"/>
    <mergeCell ref="DKC55:DKJ55"/>
    <mergeCell ref="DHI55:DHP55"/>
    <mergeCell ref="DHQ55:DHX55"/>
    <mergeCell ref="DHY55:DIF55"/>
    <mergeCell ref="DIG55:DIN55"/>
    <mergeCell ref="DIO55:DIV55"/>
    <mergeCell ref="DFU55:DGB55"/>
    <mergeCell ref="DGC55:DGJ55"/>
    <mergeCell ref="DGK55:DGR55"/>
    <mergeCell ref="DGS55:DGZ55"/>
    <mergeCell ref="DHA55:DHH55"/>
    <mergeCell ref="DEG55:DEN55"/>
    <mergeCell ref="DEO55:DEV55"/>
    <mergeCell ref="DEW55:DFD55"/>
    <mergeCell ref="DFE55:DFL55"/>
    <mergeCell ref="DFM55:DFT55"/>
    <mergeCell ref="DPA55:DPH55"/>
    <mergeCell ref="DPI55:DPP55"/>
    <mergeCell ref="DPQ55:DPX55"/>
    <mergeCell ref="DPY55:DQF55"/>
    <mergeCell ref="DQG55:DQN55"/>
    <mergeCell ref="DNM55:DNT55"/>
    <mergeCell ref="DNU55:DOB55"/>
    <mergeCell ref="DOC55:DOJ55"/>
    <mergeCell ref="DOK55:DOR55"/>
    <mergeCell ref="DOS55:DOZ55"/>
    <mergeCell ref="DLY55:DMF55"/>
    <mergeCell ref="DMG55:DMN55"/>
    <mergeCell ref="DMO55:DMV55"/>
    <mergeCell ref="DMW55:DND55"/>
    <mergeCell ref="DNE55:DNL55"/>
    <mergeCell ref="DKK55:DKR55"/>
    <mergeCell ref="DKS55:DKZ55"/>
    <mergeCell ref="DLA55:DLH55"/>
    <mergeCell ref="DLI55:DLP55"/>
    <mergeCell ref="DLQ55:DLX55"/>
    <mergeCell ref="DVE55:DVL55"/>
    <mergeCell ref="DVM55:DVT55"/>
    <mergeCell ref="DVU55:DWB55"/>
    <mergeCell ref="DWC55:DWJ55"/>
    <mergeCell ref="DWK55:DWR55"/>
    <mergeCell ref="DTQ55:DTX55"/>
    <mergeCell ref="DTY55:DUF55"/>
    <mergeCell ref="DUG55:DUN55"/>
    <mergeCell ref="DUO55:DUV55"/>
    <mergeCell ref="DUW55:DVD55"/>
    <mergeCell ref="DSC55:DSJ55"/>
    <mergeCell ref="DSK55:DSR55"/>
    <mergeCell ref="DSS55:DSZ55"/>
    <mergeCell ref="DTA55:DTH55"/>
    <mergeCell ref="DTI55:DTP55"/>
    <mergeCell ref="DQO55:DQV55"/>
    <mergeCell ref="DQW55:DRD55"/>
    <mergeCell ref="DRE55:DRL55"/>
    <mergeCell ref="DRM55:DRT55"/>
    <mergeCell ref="DRU55:DSB55"/>
    <mergeCell ref="EBI55:EBP55"/>
    <mergeCell ref="EBQ55:EBX55"/>
    <mergeCell ref="EBY55:ECF55"/>
    <mergeCell ref="ECG55:ECN55"/>
    <mergeCell ref="ECO55:ECV55"/>
    <mergeCell ref="DZU55:EAB55"/>
    <mergeCell ref="EAC55:EAJ55"/>
    <mergeCell ref="EAK55:EAR55"/>
    <mergeCell ref="EAS55:EAZ55"/>
    <mergeCell ref="EBA55:EBH55"/>
    <mergeCell ref="DYG55:DYN55"/>
    <mergeCell ref="DYO55:DYV55"/>
    <mergeCell ref="DYW55:DZD55"/>
    <mergeCell ref="DZE55:DZL55"/>
    <mergeCell ref="DZM55:DZT55"/>
    <mergeCell ref="DWS55:DWZ55"/>
    <mergeCell ref="DXA55:DXH55"/>
    <mergeCell ref="DXI55:DXP55"/>
    <mergeCell ref="DXQ55:DXX55"/>
    <mergeCell ref="DXY55:DYF55"/>
    <mergeCell ref="EHM55:EHT55"/>
    <mergeCell ref="EHU55:EIB55"/>
    <mergeCell ref="EIC55:EIJ55"/>
    <mergeCell ref="EIK55:EIR55"/>
    <mergeCell ref="EIS55:EIZ55"/>
    <mergeCell ref="EFY55:EGF55"/>
    <mergeCell ref="EGG55:EGN55"/>
    <mergeCell ref="EGO55:EGV55"/>
    <mergeCell ref="EGW55:EHD55"/>
    <mergeCell ref="EHE55:EHL55"/>
    <mergeCell ref="EEK55:EER55"/>
    <mergeCell ref="EES55:EEZ55"/>
    <mergeCell ref="EFA55:EFH55"/>
    <mergeCell ref="EFI55:EFP55"/>
    <mergeCell ref="EFQ55:EFX55"/>
    <mergeCell ref="ECW55:EDD55"/>
    <mergeCell ref="EDE55:EDL55"/>
    <mergeCell ref="EDM55:EDT55"/>
    <mergeCell ref="EDU55:EEB55"/>
    <mergeCell ref="EEC55:EEJ55"/>
    <mergeCell ref="ENQ55:ENX55"/>
    <mergeCell ref="ENY55:EOF55"/>
    <mergeCell ref="EOG55:EON55"/>
    <mergeCell ref="EOO55:EOV55"/>
    <mergeCell ref="EOW55:EPD55"/>
    <mergeCell ref="EMC55:EMJ55"/>
    <mergeCell ref="EMK55:EMR55"/>
    <mergeCell ref="EMS55:EMZ55"/>
    <mergeCell ref="ENA55:ENH55"/>
    <mergeCell ref="ENI55:ENP55"/>
    <mergeCell ref="EKO55:EKV55"/>
    <mergeCell ref="EKW55:ELD55"/>
    <mergeCell ref="ELE55:ELL55"/>
    <mergeCell ref="ELM55:ELT55"/>
    <mergeCell ref="ELU55:EMB55"/>
    <mergeCell ref="EJA55:EJH55"/>
    <mergeCell ref="EJI55:EJP55"/>
    <mergeCell ref="EJQ55:EJX55"/>
    <mergeCell ref="EJY55:EKF55"/>
    <mergeCell ref="EKG55:EKN55"/>
    <mergeCell ref="ETU55:EUB55"/>
    <mergeCell ref="EUC55:EUJ55"/>
    <mergeCell ref="EUK55:EUR55"/>
    <mergeCell ref="EUS55:EUZ55"/>
    <mergeCell ref="EVA55:EVH55"/>
    <mergeCell ref="ESG55:ESN55"/>
    <mergeCell ref="ESO55:ESV55"/>
    <mergeCell ref="ESW55:ETD55"/>
    <mergeCell ref="ETE55:ETL55"/>
    <mergeCell ref="ETM55:ETT55"/>
    <mergeCell ref="EQS55:EQZ55"/>
    <mergeCell ref="ERA55:ERH55"/>
    <mergeCell ref="ERI55:ERP55"/>
    <mergeCell ref="ERQ55:ERX55"/>
    <mergeCell ref="ERY55:ESF55"/>
    <mergeCell ref="EPE55:EPL55"/>
    <mergeCell ref="EPM55:EPT55"/>
    <mergeCell ref="EPU55:EQB55"/>
    <mergeCell ref="EQC55:EQJ55"/>
    <mergeCell ref="EQK55:EQR55"/>
    <mergeCell ref="EZY55:FAF55"/>
    <mergeCell ref="FAG55:FAN55"/>
    <mergeCell ref="FAO55:FAV55"/>
    <mergeCell ref="FAW55:FBD55"/>
    <mergeCell ref="FBE55:FBL55"/>
    <mergeCell ref="EYK55:EYR55"/>
    <mergeCell ref="EYS55:EYZ55"/>
    <mergeCell ref="EZA55:EZH55"/>
    <mergeCell ref="EZI55:EZP55"/>
    <mergeCell ref="EZQ55:EZX55"/>
    <mergeCell ref="EWW55:EXD55"/>
    <mergeCell ref="EXE55:EXL55"/>
    <mergeCell ref="EXM55:EXT55"/>
    <mergeCell ref="EXU55:EYB55"/>
    <mergeCell ref="EYC55:EYJ55"/>
    <mergeCell ref="EVI55:EVP55"/>
    <mergeCell ref="EVQ55:EVX55"/>
    <mergeCell ref="EVY55:EWF55"/>
    <mergeCell ref="EWG55:EWN55"/>
    <mergeCell ref="EWO55:EWV55"/>
    <mergeCell ref="FGC55:FGJ55"/>
    <mergeCell ref="FGK55:FGR55"/>
    <mergeCell ref="FGS55:FGZ55"/>
    <mergeCell ref="FHA55:FHH55"/>
    <mergeCell ref="FHI55:FHP55"/>
    <mergeCell ref="FEO55:FEV55"/>
    <mergeCell ref="FEW55:FFD55"/>
    <mergeCell ref="FFE55:FFL55"/>
    <mergeCell ref="FFM55:FFT55"/>
    <mergeCell ref="FFU55:FGB55"/>
    <mergeCell ref="FDA55:FDH55"/>
    <mergeCell ref="FDI55:FDP55"/>
    <mergeCell ref="FDQ55:FDX55"/>
    <mergeCell ref="FDY55:FEF55"/>
    <mergeCell ref="FEG55:FEN55"/>
    <mergeCell ref="FBM55:FBT55"/>
    <mergeCell ref="FBU55:FCB55"/>
    <mergeCell ref="FCC55:FCJ55"/>
    <mergeCell ref="FCK55:FCR55"/>
    <mergeCell ref="FCS55:FCZ55"/>
    <mergeCell ref="FMG55:FMN55"/>
    <mergeCell ref="FMO55:FMV55"/>
    <mergeCell ref="FMW55:FND55"/>
    <mergeCell ref="FNE55:FNL55"/>
    <mergeCell ref="FNM55:FNT55"/>
    <mergeCell ref="FKS55:FKZ55"/>
    <mergeCell ref="FLA55:FLH55"/>
    <mergeCell ref="FLI55:FLP55"/>
    <mergeCell ref="FLQ55:FLX55"/>
    <mergeCell ref="FLY55:FMF55"/>
    <mergeCell ref="FJE55:FJL55"/>
    <mergeCell ref="FJM55:FJT55"/>
    <mergeCell ref="FJU55:FKB55"/>
    <mergeCell ref="FKC55:FKJ55"/>
    <mergeCell ref="FKK55:FKR55"/>
    <mergeCell ref="FHQ55:FHX55"/>
    <mergeCell ref="FHY55:FIF55"/>
    <mergeCell ref="FIG55:FIN55"/>
    <mergeCell ref="FIO55:FIV55"/>
    <mergeCell ref="FIW55:FJD55"/>
    <mergeCell ref="FSK55:FSR55"/>
    <mergeCell ref="FSS55:FSZ55"/>
    <mergeCell ref="FTA55:FTH55"/>
    <mergeCell ref="FTI55:FTP55"/>
    <mergeCell ref="FTQ55:FTX55"/>
    <mergeCell ref="FQW55:FRD55"/>
    <mergeCell ref="FRE55:FRL55"/>
    <mergeCell ref="FRM55:FRT55"/>
    <mergeCell ref="FRU55:FSB55"/>
    <mergeCell ref="FSC55:FSJ55"/>
    <mergeCell ref="FPI55:FPP55"/>
    <mergeCell ref="FPQ55:FPX55"/>
    <mergeCell ref="FPY55:FQF55"/>
    <mergeCell ref="FQG55:FQN55"/>
    <mergeCell ref="FQO55:FQV55"/>
    <mergeCell ref="FNU55:FOB55"/>
    <mergeCell ref="FOC55:FOJ55"/>
    <mergeCell ref="FOK55:FOR55"/>
    <mergeCell ref="FOS55:FOZ55"/>
    <mergeCell ref="FPA55:FPH55"/>
    <mergeCell ref="FYO55:FYV55"/>
    <mergeCell ref="FYW55:FZD55"/>
    <mergeCell ref="FZE55:FZL55"/>
    <mergeCell ref="FZM55:FZT55"/>
    <mergeCell ref="FZU55:GAB55"/>
    <mergeCell ref="FXA55:FXH55"/>
    <mergeCell ref="FXI55:FXP55"/>
    <mergeCell ref="FXQ55:FXX55"/>
    <mergeCell ref="FXY55:FYF55"/>
    <mergeCell ref="FYG55:FYN55"/>
    <mergeCell ref="FVM55:FVT55"/>
    <mergeCell ref="FVU55:FWB55"/>
    <mergeCell ref="FWC55:FWJ55"/>
    <mergeCell ref="FWK55:FWR55"/>
    <mergeCell ref="FWS55:FWZ55"/>
    <mergeCell ref="FTY55:FUF55"/>
    <mergeCell ref="FUG55:FUN55"/>
    <mergeCell ref="FUO55:FUV55"/>
    <mergeCell ref="FUW55:FVD55"/>
    <mergeCell ref="FVE55:FVL55"/>
    <mergeCell ref="GES55:GEZ55"/>
    <mergeCell ref="GFA55:GFH55"/>
    <mergeCell ref="GFI55:GFP55"/>
    <mergeCell ref="GFQ55:GFX55"/>
    <mergeCell ref="GFY55:GGF55"/>
    <mergeCell ref="GDE55:GDL55"/>
    <mergeCell ref="GDM55:GDT55"/>
    <mergeCell ref="GDU55:GEB55"/>
    <mergeCell ref="GEC55:GEJ55"/>
    <mergeCell ref="GEK55:GER55"/>
    <mergeCell ref="GBQ55:GBX55"/>
    <mergeCell ref="GBY55:GCF55"/>
    <mergeCell ref="GCG55:GCN55"/>
    <mergeCell ref="GCO55:GCV55"/>
    <mergeCell ref="GCW55:GDD55"/>
    <mergeCell ref="GAC55:GAJ55"/>
    <mergeCell ref="GAK55:GAR55"/>
    <mergeCell ref="GAS55:GAZ55"/>
    <mergeCell ref="GBA55:GBH55"/>
    <mergeCell ref="GBI55:GBP55"/>
    <mergeCell ref="GKW55:GLD55"/>
    <mergeCell ref="GLE55:GLL55"/>
    <mergeCell ref="GLM55:GLT55"/>
    <mergeCell ref="GLU55:GMB55"/>
    <mergeCell ref="GMC55:GMJ55"/>
    <mergeCell ref="GJI55:GJP55"/>
    <mergeCell ref="GJQ55:GJX55"/>
    <mergeCell ref="GJY55:GKF55"/>
    <mergeCell ref="GKG55:GKN55"/>
    <mergeCell ref="GKO55:GKV55"/>
    <mergeCell ref="GHU55:GIB55"/>
    <mergeCell ref="GIC55:GIJ55"/>
    <mergeCell ref="GIK55:GIR55"/>
    <mergeCell ref="GIS55:GIZ55"/>
    <mergeCell ref="GJA55:GJH55"/>
    <mergeCell ref="GGG55:GGN55"/>
    <mergeCell ref="GGO55:GGV55"/>
    <mergeCell ref="GGW55:GHD55"/>
    <mergeCell ref="GHE55:GHL55"/>
    <mergeCell ref="GHM55:GHT55"/>
    <mergeCell ref="GRA55:GRH55"/>
    <mergeCell ref="GRI55:GRP55"/>
    <mergeCell ref="GRQ55:GRX55"/>
    <mergeCell ref="GRY55:GSF55"/>
    <mergeCell ref="GSG55:GSN55"/>
    <mergeCell ref="GPM55:GPT55"/>
    <mergeCell ref="GPU55:GQB55"/>
    <mergeCell ref="GQC55:GQJ55"/>
    <mergeCell ref="GQK55:GQR55"/>
    <mergeCell ref="GQS55:GQZ55"/>
    <mergeCell ref="GNY55:GOF55"/>
    <mergeCell ref="GOG55:GON55"/>
    <mergeCell ref="GOO55:GOV55"/>
    <mergeCell ref="GOW55:GPD55"/>
    <mergeCell ref="GPE55:GPL55"/>
    <mergeCell ref="GMK55:GMR55"/>
    <mergeCell ref="GMS55:GMZ55"/>
    <mergeCell ref="GNA55:GNH55"/>
    <mergeCell ref="GNI55:GNP55"/>
    <mergeCell ref="GNQ55:GNX55"/>
    <mergeCell ref="GXE55:GXL55"/>
    <mergeCell ref="GXM55:GXT55"/>
    <mergeCell ref="GXU55:GYB55"/>
    <mergeCell ref="GYC55:GYJ55"/>
    <mergeCell ref="GYK55:GYR55"/>
    <mergeCell ref="GVQ55:GVX55"/>
    <mergeCell ref="GVY55:GWF55"/>
    <mergeCell ref="GWG55:GWN55"/>
    <mergeCell ref="GWO55:GWV55"/>
    <mergeCell ref="GWW55:GXD55"/>
    <mergeCell ref="GUC55:GUJ55"/>
    <mergeCell ref="GUK55:GUR55"/>
    <mergeCell ref="GUS55:GUZ55"/>
    <mergeCell ref="GVA55:GVH55"/>
    <mergeCell ref="GVI55:GVP55"/>
    <mergeCell ref="GSO55:GSV55"/>
    <mergeCell ref="GSW55:GTD55"/>
    <mergeCell ref="GTE55:GTL55"/>
    <mergeCell ref="GTM55:GTT55"/>
    <mergeCell ref="GTU55:GUB55"/>
    <mergeCell ref="HDI55:HDP55"/>
    <mergeCell ref="HDQ55:HDX55"/>
    <mergeCell ref="HDY55:HEF55"/>
    <mergeCell ref="HEG55:HEN55"/>
    <mergeCell ref="HEO55:HEV55"/>
    <mergeCell ref="HBU55:HCB55"/>
    <mergeCell ref="HCC55:HCJ55"/>
    <mergeCell ref="HCK55:HCR55"/>
    <mergeCell ref="HCS55:HCZ55"/>
    <mergeCell ref="HDA55:HDH55"/>
    <mergeCell ref="HAG55:HAN55"/>
    <mergeCell ref="HAO55:HAV55"/>
    <mergeCell ref="HAW55:HBD55"/>
    <mergeCell ref="HBE55:HBL55"/>
    <mergeCell ref="HBM55:HBT55"/>
    <mergeCell ref="GYS55:GYZ55"/>
    <mergeCell ref="GZA55:GZH55"/>
    <mergeCell ref="GZI55:GZP55"/>
    <mergeCell ref="GZQ55:GZX55"/>
    <mergeCell ref="GZY55:HAF55"/>
    <mergeCell ref="HJM55:HJT55"/>
    <mergeCell ref="HJU55:HKB55"/>
    <mergeCell ref="HKC55:HKJ55"/>
    <mergeCell ref="HKK55:HKR55"/>
    <mergeCell ref="HKS55:HKZ55"/>
    <mergeCell ref="HHY55:HIF55"/>
    <mergeCell ref="HIG55:HIN55"/>
    <mergeCell ref="HIO55:HIV55"/>
    <mergeCell ref="HIW55:HJD55"/>
    <mergeCell ref="HJE55:HJL55"/>
    <mergeCell ref="HGK55:HGR55"/>
    <mergeCell ref="HGS55:HGZ55"/>
    <mergeCell ref="HHA55:HHH55"/>
    <mergeCell ref="HHI55:HHP55"/>
    <mergeCell ref="HHQ55:HHX55"/>
    <mergeCell ref="HEW55:HFD55"/>
    <mergeCell ref="HFE55:HFL55"/>
    <mergeCell ref="HFM55:HFT55"/>
    <mergeCell ref="HFU55:HGB55"/>
    <mergeCell ref="HGC55:HGJ55"/>
    <mergeCell ref="HPQ55:HPX55"/>
    <mergeCell ref="HPY55:HQF55"/>
    <mergeCell ref="HQG55:HQN55"/>
    <mergeCell ref="HQO55:HQV55"/>
    <mergeCell ref="HQW55:HRD55"/>
    <mergeCell ref="HOC55:HOJ55"/>
    <mergeCell ref="HOK55:HOR55"/>
    <mergeCell ref="HOS55:HOZ55"/>
    <mergeCell ref="HPA55:HPH55"/>
    <mergeCell ref="HPI55:HPP55"/>
    <mergeCell ref="HMO55:HMV55"/>
    <mergeCell ref="HMW55:HND55"/>
    <mergeCell ref="HNE55:HNL55"/>
    <mergeCell ref="HNM55:HNT55"/>
    <mergeCell ref="HNU55:HOB55"/>
    <mergeCell ref="HLA55:HLH55"/>
    <mergeCell ref="HLI55:HLP55"/>
    <mergeCell ref="HLQ55:HLX55"/>
    <mergeCell ref="HLY55:HMF55"/>
    <mergeCell ref="HMG55:HMN55"/>
    <mergeCell ref="HVU55:HWB55"/>
    <mergeCell ref="HWC55:HWJ55"/>
    <mergeCell ref="HWK55:HWR55"/>
    <mergeCell ref="HWS55:HWZ55"/>
    <mergeCell ref="HXA55:HXH55"/>
    <mergeCell ref="HUG55:HUN55"/>
    <mergeCell ref="HUO55:HUV55"/>
    <mergeCell ref="HUW55:HVD55"/>
    <mergeCell ref="HVE55:HVL55"/>
    <mergeCell ref="HVM55:HVT55"/>
    <mergeCell ref="HSS55:HSZ55"/>
    <mergeCell ref="HTA55:HTH55"/>
    <mergeCell ref="HTI55:HTP55"/>
    <mergeCell ref="HTQ55:HTX55"/>
    <mergeCell ref="HTY55:HUF55"/>
    <mergeCell ref="HRE55:HRL55"/>
    <mergeCell ref="HRM55:HRT55"/>
    <mergeCell ref="HRU55:HSB55"/>
    <mergeCell ref="HSC55:HSJ55"/>
    <mergeCell ref="HSK55:HSR55"/>
    <mergeCell ref="IBY55:ICF55"/>
    <mergeCell ref="ICG55:ICN55"/>
    <mergeCell ref="ICO55:ICV55"/>
    <mergeCell ref="ICW55:IDD55"/>
    <mergeCell ref="IDE55:IDL55"/>
    <mergeCell ref="IAK55:IAR55"/>
    <mergeCell ref="IAS55:IAZ55"/>
    <mergeCell ref="IBA55:IBH55"/>
    <mergeCell ref="IBI55:IBP55"/>
    <mergeCell ref="IBQ55:IBX55"/>
    <mergeCell ref="HYW55:HZD55"/>
    <mergeCell ref="HZE55:HZL55"/>
    <mergeCell ref="HZM55:HZT55"/>
    <mergeCell ref="HZU55:IAB55"/>
    <mergeCell ref="IAC55:IAJ55"/>
    <mergeCell ref="HXI55:HXP55"/>
    <mergeCell ref="HXQ55:HXX55"/>
    <mergeCell ref="HXY55:HYF55"/>
    <mergeCell ref="HYG55:HYN55"/>
    <mergeCell ref="HYO55:HYV55"/>
    <mergeCell ref="IIC55:IIJ55"/>
    <mergeCell ref="IIK55:IIR55"/>
    <mergeCell ref="IIS55:IIZ55"/>
    <mergeCell ref="IJA55:IJH55"/>
    <mergeCell ref="IJI55:IJP55"/>
    <mergeCell ref="IGO55:IGV55"/>
    <mergeCell ref="IGW55:IHD55"/>
    <mergeCell ref="IHE55:IHL55"/>
    <mergeCell ref="IHM55:IHT55"/>
    <mergeCell ref="IHU55:IIB55"/>
    <mergeCell ref="IFA55:IFH55"/>
    <mergeCell ref="IFI55:IFP55"/>
    <mergeCell ref="IFQ55:IFX55"/>
    <mergeCell ref="IFY55:IGF55"/>
    <mergeCell ref="IGG55:IGN55"/>
    <mergeCell ref="IDM55:IDT55"/>
    <mergeCell ref="IDU55:IEB55"/>
    <mergeCell ref="IEC55:IEJ55"/>
    <mergeCell ref="IEK55:IER55"/>
    <mergeCell ref="IES55:IEZ55"/>
    <mergeCell ref="IOG55:ION55"/>
    <mergeCell ref="IOO55:IOV55"/>
    <mergeCell ref="IOW55:IPD55"/>
    <mergeCell ref="IPE55:IPL55"/>
    <mergeCell ref="IPM55:IPT55"/>
    <mergeCell ref="IMS55:IMZ55"/>
    <mergeCell ref="INA55:INH55"/>
    <mergeCell ref="INI55:INP55"/>
    <mergeCell ref="INQ55:INX55"/>
    <mergeCell ref="INY55:IOF55"/>
    <mergeCell ref="ILE55:ILL55"/>
    <mergeCell ref="ILM55:ILT55"/>
    <mergeCell ref="ILU55:IMB55"/>
    <mergeCell ref="IMC55:IMJ55"/>
    <mergeCell ref="IMK55:IMR55"/>
    <mergeCell ref="IJQ55:IJX55"/>
    <mergeCell ref="IJY55:IKF55"/>
    <mergeCell ref="IKG55:IKN55"/>
    <mergeCell ref="IKO55:IKV55"/>
    <mergeCell ref="IKW55:ILD55"/>
    <mergeCell ref="IUK55:IUR55"/>
    <mergeCell ref="IUS55:IUZ55"/>
    <mergeCell ref="IVA55:IVH55"/>
    <mergeCell ref="IVI55:IVP55"/>
    <mergeCell ref="IVQ55:IVX55"/>
    <mergeCell ref="ISW55:ITD55"/>
    <mergeCell ref="ITE55:ITL55"/>
    <mergeCell ref="ITM55:ITT55"/>
    <mergeCell ref="ITU55:IUB55"/>
    <mergeCell ref="IUC55:IUJ55"/>
    <mergeCell ref="IRI55:IRP55"/>
    <mergeCell ref="IRQ55:IRX55"/>
    <mergeCell ref="IRY55:ISF55"/>
    <mergeCell ref="ISG55:ISN55"/>
    <mergeCell ref="ISO55:ISV55"/>
    <mergeCell ref="IPU55:IQB55"/>
    <mergeCell ref="IQC55:IQJ55"/>
    <mergeCell ref="IQK55:IQR55"/>
    <mergeCell ref="IQS55:IQZ55"/>
    <mergeCell ref="IRA55:IRH55"/>
    <mergeCell ref="JAO55:JAV55"/>
    <mergeCell ref="JAW55:JBD55"/>
    <mergeCell ref="JBE55:JBL55"/>
    <mergeCell ref="JBM55:JBT55"/>
    <mergeCell ref="JBU55:JCB55"/>
    <mergeCell ref="IZA55:IZH55"/>
    <mergeCell ref="IZI55:IZP55"/>
    <mergeCell ref="IZQ55:IZX55"/>
    <mergeCell ref="IZY55:JAF55"/>
    <mergeCell ref="JAG55:JAN55"/>
    <mergeCell ref="IXM55:IXT55"/>
    <mergeCell ref="IXU55:IYB55"/>
    <mergeCell ref="IYC55:IYJ55"/>
    <mergeCell ref="IYK55:IYR55"/>
    <mergeCell ref="IYS55:IYZ55"/>
    <mergeCell ref="IVY55:IWF55"/>
    <mergeCell ref="IWG55:IWN55"/>
    <mergeCell ref="IWO55:IWV55"/>
    <mergeCell ref="IWW55:IXD55"/>
    <mergeCell ref="IXE55:IXL55"/>
    <mergeCell ref="JGS55:JGZ55"/>
    <mergeCell ref="JHA55:JHH55"/>
    <mergeCell ref="JHI55:JHP55"/>
    <mergeCell ref="JHQ55:JHX55"/>
    <mergeCell ref="JHY55:JIF55"/>
    <mergeCell ref="JFE55:JFL55"/>
    <mergeCell ref="JFM55:JFT55"/>
    <mergeCell ref="JFU55:JGB55"/>
    <mergeCell ref="JGC55:JGJ55"/>
    <mergeCell ref="JGK55:JGR55"/>
    <mergeCell ref="JDQ55:JDX55"/>
    <mergeCell ref="JDY55:JEF55"/>
    <mergeCell ref="JEG55:JEN55"/>
    <mergeCell ref="JEO55:JEV55"/>
    <mergeCell ref="JEW55:JFD55"/>
    <mergeCell ref="JCC55:JCJ55"/>
    <mergeCell ref="JCK55:JCR55"/>
    <mergeCell ref="JCS55:JCZ55"/>
    <mergeCell ref="JDA55:JDH55"/>
    <mergeCell ref="JDI55:JDP55"/>
    <mergeCell ref="JMW55:JND55"/>
    <mergeCell ref="JNE55:JNL55"/>
    <mergeCell ref="JNM55:JNT55"/>
    <mergeCell ref="JNU55:JOB55"/>
    <mergeCell ref="JOC55:JOJ55"/>
    <mergeCell ref="JLI55:JLP55"/>
    <mergeCell ref="JLQ55:JLX55"/>
    <mergeCell ref="JLY55:JMF55"/>
    <mergeCell ref="JMG55:JMN55"/>
    <mergeCell ref="JMO55:JMV55"/>
    <mergeCell ref="JJU55:JKB55"/>
    <mergeCell ref="JKC55:JKJ55"/>
    <mergeCell ref="JKK55:JKR55"/>
    <mergeCell ref="JKS55:JKZ55"/>
    <mergeCell ref="JLA55:JLH55"/>
    <mergeCell ref="JIG55:JIN55"/>
    <mergeCell ref="JIO55:JIV55"/>
    <mergeCell ref="JIW55:JJD55"/>
    <mergeCell ref="JJE55:JJL55"/>
    <mergeCell ref="JJM55:JJT55"/>
    <mergeCell ref="JTA55:JTH55"/>
    <mergeCell ref="JTI55:JTP55"/>
    <mergeCell ref="JTQ55:JTX55"/>
    <mergeCell ref="JTY55:JUF55"/>
    <mergeCell ref="JUG55:JUN55"/>
    <mergeCell ref="JRM55:JRT55"/>
    <mergeCell ref="JRU55:JSB55"/>
    <mergeCell ref="JSC55:JSJ55"/>
    <mergeCell ref="JSK55:JSR55"/>
    <mergeCell ref="JSS55:JSZ55"/>
    <mergeCell ref="JPY55:JQF55"/>
    <mergeCell ref="JQG55:JQN55"/>
    <mergeCell ref="JQO55:JQV55"/>
    <mergeCell ref="JQW55:JRD55"/>
    <mergeCell ref="JRE55:JRL55"/>
    <mergeCell ref="JOK55:JOR55"/>
    <mergeCell ref="JOS55:JOZ55"/>
    <mergeCell ref="JPA55:JPH55"/>
    <mergeCell ref="JPI55:JPP55"/>
    <mergeCell ref="JPQ55:JPX55"/>
    <mergeCell ref="JZE55:JZL55"/>
    <mergeCell ref="JZM55:JZT55"/>
    <mergeCell ref="JZU55:KAB55"/>
    <mergeCell ref="KAC55:KAJ55"/>
    <mergeCell ref="KAK55:KAR55"/>
    <mergeCell ref="JXQ55:JXX55"/>
    <mergeCell ref="JXY55:JYF55"/>
    <mergeCell ref="JYG55:JYN55"/>
    <mergeCell ref="JYO55:JYV55"/>
    <mergeCell ref="JYW55:JZD55"/>
    <mergeCell ref="JWC55:JWJ55"/>
    <mergeCell ref="JWK55:JWR55"/>
    <mergeCell ref="JWS55:JWZ55"/>
    <mergeCell ref="JXA55:JXH55"/>
    <mergeCell ref="JXI55:JXP55"/>
    <mergeCell ref="JUO55:JUV55"/>
    <mergeCell ref="JUW55:JVD55"/>
    <mergeCell ref="JVE55:JVL55"/>
    <mergeCell ref="JVM55:JVT55"/>
    <mergeCell ref="JVU55:JWB55"/>
    <mergeCell ref="KFI55:KFP55"/>
    <mergeCell ref="KFQ55:KFX55"/>
    <mergeCell ref="KFY55:KGF55"/>
    <mergeCell ref="KGG55:KGN55"/>
    <mergeCell ref="KGO55:KGV55"/>
    <mergeCell ref="KDU55:KEB55"/>
    <mergeCell ref="KEC55:KEJ55"/>
    <mergeCell ref="KEK55:KER55"/>
    <mergeCell ref="KES55:KEZ55"/>
    <mergeCell ref="KFA55:KFH55"/>
    <mergeCell ref="KCG55:KCN55"/>
    <mergeCell ref="KCO55:KCV55"/>
    <mergeCell ref="KCW55:KDD55"/>
    <mergeCell ref="KDE55:KDL55"/>
    <mergeCell ref="KDM55:KDT55"/>
    <mergeCell ref="KAS55:KAZ55"/>
    <mergeCell ref="KBA55:KBH55"/>
    <mergeCell ref="KBI55:KBP55"/>
    <mergeCell ref="KBQ55:KBX55"/>
    <mergeCell ref="KBY55:KCF55"/>
    <mergeCell ref="KLM55:KLT55"/>
    <mergeCell ref="KLU55:KMB55"/>
    <mergeCell ref="KMC55:KMJ55"/>
    <mergeCell ref="KMK55:KMR55"/>
    <mergeCell ref="KMS55:KMZ55"/>
    <mergeCell ref="KJY55:KKF55"/>
    <mergeCell ref="KKG55:KKN55"/>
    <mergeCell ref="KKO55:KKV55"/>
    <mergeCell ref="KKW55:KLD55"/>
    <mergeCell ref="KLE55:KLL55"/>
    <mergeCell ref="KIK55:KIR55"/>
    <mergeCell ref="KIS55:KIZ55"/>
    <mergeCell ref="KJA55:KJH55"/>
    <mergeCell ref="KJI55:KJP55"/>
    <mergeCell ref="KJQ55:KJX55"/>
    <mergeCell ref="KGW55:KHD55"/>
    <mergeCell ref="KHE55:KHL55"/>
    <mergeCell ref="KHM55:KHT55"/>
    <mergeCell ref="KHU55:KIB55"/>
    <mergeCell ref="KIC55:KIJ55"/>
    <mergeCell ref="KRQ55:KRX55"/>
    <mergeCell ref="KRY55:KSF55"/>
    <mergeCell ref="KSG55:KSN55"/>
    <mergeCell ref="KSO55:KSV55"/>
    <mergeCell ref="KSW55:KTD55"/>
    <mergeCell ref="KQC55:KQJ55"/>
    <mergeCell ref="KQK55:KQR55"/>
    <mergeCell ref="KQS55:KQZ55"/>
    <mergeCell ref="KRA55:KRH55"/>
    <mergeCell ref="KRI55:KRP55"/>
    <mergeCell ref="KOO55:KOV55"/>
    <mergeCell ref="KOW55:KPD55"/>
    <mergeCell ref="KPE55:KPL55"/>
    <mergeCell ref="KPM55:KPT55"/>
    <mergeCell ref="KPU55:KQB55"/>
    <mergeCell ref="KNA55:KNH55"/>
    <mergeCell ref="KNI55:KNP55"/>
    <mergeCell ref="KNQ55:KNX55"/>
    <mergeCell ref="KNY55:KOF55"/>
    <mergeCell ref="KOG55:KON55"/>
    <mergeCell ref="KXU55:KYB55"/>
    <mergeCell ref="KYC55:KYJ55"/>
    <mergeCell ref="KYK55:KYR55"/>
    <mergeCell ref="KYS55:KYZ55"/>
    <mergeCell ref="KZA55:KZH55"/>
    <mergeCell ref="KWG55:KWN55"/>
    <mergeCell ref="KWO55:KWV55"/>
    <mergeCell ref="KWW55:KXD55"/>
    <mergeCell ref="KXE55:KXL55"/>
    <mergeCell ref="KXM55:KXT55"/>
    <mergeCell ref="KUS55:KUZ55"/>
    <mergeCell ref="KVA55:KVH55"/>
    <mergeCell ref="KVI55:KVP55"/>
    <mergeCell ref="KVQ55:KVX55"/>
    <mergeCell ref="KVY55:KWF55"/>
    <mergeCell ref="KTE55:KTL55"/>
    <mergeCell ref="KTM55:KTT55"/>
    <mergeCell ref="KTU55:KUB55"/>
    <mergeCell ref="KUC55:KUJ55"/>
    <mergeCell ref="KUK55:KUR55"/>
    <mergeCell ref="LDY55:LEF55"/>
    <mergeCell ref="LEG55:LEN55"/>
    <mergeCell ref="LEO55:LEV55"/>
    <mergeCell ref="LEW55:LFD55"/>
    <mergeCell ref="LFE55:LFL55"/>
    <mergeCell ref="LCK55:LCR55"/>
    <mergeCell ref="LCS55:LCZ55"/>
    <mergeCell ref="LDA55:LDH55"/>
    <mergeCell ref="LDI55:LDP55"/>
    <mergeCell ref="LDQ55:LDX55"/>
    <mergeCell ref="LAW55:LBD55"/>
    <mergeCell ref="LBE55:LBL55"/>
    <mergeCell ref="LBM55:LBT55"/>
    <mergeCell ref="LBU55:LCB55"/>
    <mergeCell ref="LCC55:LCJ55"/>
    <mergeCell ref="KZI55:KZP55"/>
    <mergeCell ref="KZQ55:KZX55"/>
    <mergeCell ref="KZY55:LAF55"/>
    <mergeCell ref="LAG55:LAN55"/>
    <mergeCell ref="LAO55:LAV55"/>
    <mergeCell ref="LKC55:LKJ55"/>
    <mergeCell ref="LKK55:LKR55"/>
    <mergeCell ref="LKS55:LKZ55"/>
    <mergeCell ref="LLA55:LLH55"/>
    <mergeCell ref="LLI55:LLP55"/>
    <mergeCell ref="LIO55:LIV55"/>
    <mergeCell ref="LIW55:LJD55"/>
    <mergeCell ref="LJE55:LJL55"/>
    <mergeCell ref="LJM55:LJT55"/>
    <mergeCell ref="LJU55:LKB55"/>
    <mergeCell ref="LHA55:LHH55"/>
    <mergeCell ref="LHI55:LHP55"/>
    <mergeCell ref="LHQ55:LHX55"/>
    <mergeCell ref="LHY55:LIF55"/>
    <mergeCell ref="LIG55:LIN55"/>
    <mergeCell ref="LFM55:LFT55"/>
    <mergeCell ref="LFU55:LGB55"/>
    <mergeCell ref="LGC55:LGJ55"/>
    <mergeCell ref="LGK55:LGR55"/>
    <mergeCell ref="LGS55:LGZ55"/>
    <mergeCell ref="LQG55:LQN55"/>
    <mergeCell ref="LQO55:LQV55"/>
    <mergeCell ref="LQW55:LRD55"/>
    <mergeCell ref="LRE55:LRL55"/>
    <mergeCell ref="LRM55:LRT55"/>
    <mergeCell ref="LOS55:LOZ55"/>
    <mergeCell ref="LPA55:LPH55"/>
    <mergeCell ref="LPI55:LPP55"/>
    <mergeCell ref="LPQ55:LPX55"/>
    <mergeCell ref="LPY55:LQF55"/>
    <mergeCell ref="LNE55:LNL55"/>
    <mergeCell ref="LNM55:LNT55"/>
    <mergeCell ref="LNU55:LOB55"/>
    <mergeCell ref="LOC55:LOJ55"/>
    <mergeCell ref="LOK55:LOR55"/>
    <mergeCell ref="LLQ55:LLX55"/>
    <mergeCell ref="LLY55:LMF55"/>
    <mergeCell ref="LMG55:LMN55"/>
    <mergeCell ref="LMO55:LMV55"/>
    <mergeCell ref="LMW55:LND55"/>
    <mergeCell ref="LWK55:LWR55"/>
    <mergeCell ref="LWS55:LWZ55"/>
    <mergeCell ref="LXA55:LXH55"/>
    <mergeCell ref="LXI55:LXP55"/>
    <mergeCell ref="LXQ55:LXX55"/>
    <mergeCell ref="LUW55:LVD55"/>
    <mergeCell ref="LVE55:LVL55"/>
    <mergeCell ref="LVM55:LVT55"/>
    <mergeCell ref="LVU55:LWB55"/>
    <mergeCell ref="LWC55:LWJ55"/>
    <mergeCell ref="LTI55:LTP55"/>
    <mergeCell ref="LTQ55:LTX55"/>
    <mergeCell ref="LTY55:LUF55"/>
    <mergeCell ref="LUG55:LUN55"/>
    <mergeCell ref="LUO55:LUV55"/>
    <mergeCell ref="LRU55:LSB55"/>
    <mergeCell ref="LSC55:LSJ55"/>
    <mergeCell ref="LSK55:LSR55"/>
    <mergeCell ref="LSS55:LSZ55"/>
    <mergeCell ref="LTA55:LTH55"/>
    <mergeCell ref="MCO55:MCV55"/>
    <mergeCell ref="MCW55:MDD55"/>
    <mergeCell ref="MDE55:MDL55"/>
    <mergeCell ref="MDM55:MDT55"/>
    <mergeCell ref="MDU55:MEB55"/>
    <mergeCell ref="MBA55:MBH55"/>
    <mergeCell ref="MBI55:MBP55"/>
    <mergeCell ref="MBQ55:MBX55"/>
    <mergeCell ref="MBY55:MCF55"/>
    <mergeCell ref="MCG55:MCN55"/>
    <mergeCell ref="LZM55:LZT55"/>
    <mergeCell ref="LZU55:MAB55"/>
    <mergeCell ref="MAC55:MAJ55"/>
    <mergeCell ref="MAK55:MAR55"/>
    <mergeCell ref="MAS55:MAZ55"/>
    <mergeCell ref="LXY55:LYF55"/>
    <mergeCell ref="LYG55:LYN55"/>
    <mergeCell ref="LYO55:LYV55"/>
    <mergeCell ref="LYW55:LZD55"/>
    <mergeCell ref="LZE55:LZL55"/>
    <mergeCell ref="MIS55:MIZ55"/>
    <mergeCell ref="MJA55:MJH55"/>
    <mergeCell ref="MJI55:MJP55"/>
    <mergeCell ref="MJQ55:MJX55"/>
    <mergeCell ref="MJY55:MKF55"/>
    <mergeCell ref="MHE55:MHL55"/>
    <mergeCell ref="MHM55:MHT55"/>
    <mergeCell ref="MHU55:MIB55"/>
    <mergeCell ref="MIC55:MIJ55"/>
    <mergeCell ref="MIK55:MIR55"/>
    <mergeCell ref="MFQ55:MFX55"/>
    <mergeCell ref="MFY55:MGF55"/>
    <mergeCell ref="MGG55:MGN55"/>
    <mergeCell ref="MGO55:MGV55"/>
    <mergeCell ref="MGW55:MHD55"/>
    <mergeCell ref="MEC55:MEJ55"/>
    <mergeCell ref="MEK55:MER55"/>
    <mergeCell ref="MES55:MEZ55"/>
    <mergeCell ref="MFA55:MFH55"/>
    <mergeCell ref="MFI55:MFP55"/>
    <mergeCell ref="MOW55:MPD55"/>
    <mergeCell ref="MPE55:MPL55"/>
    <mergeCell ref="MPM55:MPT55"/>
    <mergeCell ref="MPU55:MQB55"/>
    <mergeCell ref="MQC55:MQJ55"/>
    <mergeCell ref="MNI55:MNP55"/>
    <mergeCell ref="MNQ55:MNX55"/>
    <mergeCell ref="MNY55:MOF55"/>
    <mergeCell ref="MOG55:MON55"/>
    <mergeCell ref="MOO55:MOV55"/>
    <mergeCell ref="MLU55:MMB55"/>
    <mergeCell ref="MMC55:MMJ55"/>
    <mergeCell ref="MMK55:MMR55"/>
    <mergeCell ref="MMS55:MMZ55"/>
    <mergeCell ref="MNA55:MNH55"/>
    <mergeCell ref="MKG55:MKN55"/>
    <mergeCell ref="MKO55:MKV55"/>
    <mergeCell ref="MKW55:MLD55"/>
    <mergeCell ref="MLE55:MLL55"/>
    <mergeCell ref="MLM55:MLT55"/>
    <mergeCell ref="MVA55:MVH55"/>
    <mergeCell ref="MVI55:MVP55"/>
    <mergeCell ref="MVQ55:MVX55"/>
    <mergeCell ref="MVY55:MWF55"/>
    <mergeCell ref="MWG55:MWN55"/>
    <mergeCell ref="MTM55:MTT55"/>
    <mergeCell ref="MTU55:MUB55"/>
    <mergeCell ref="MUC55:MUJ55"/>
    <mergeCell ref="MUK55:MUR55"/>
    <mergeCell ref="MUS55:MUZ55"/>
    <mergeCell ref="MRY55:MSF55"/>
    <mergeCell ref="MSG55:MSN55"/>
    <mergeCell ref="MSO55:MSV55"/>
    <mergeCell ref="MSW55:MTD55"/>
    <mergeCell ref="MTE55:MTL55"/>
    <mergeCell ref="MQK55:MQR55"/>
    <mergeCell ref="MQS55:MQZ55"/>
    <mergeCell ref="MRA55:MRH55"/>
    <mergeCell ref="MRI55:MRP55"/>
    <mergeCell ref="MRQ55:MRX55"/>
    <mergeCell ref="NBE55:NBL55"/>
    <mergeCell ref="NBM55:NBT55"/>
    <mergeCell ref="NBU55:NCB55"/>
    <mergeCell ref="NCC55:NCJ55"/>
    <mergeCell ref="NCK55:NCR55"/>
    <mergeCell ref="MZQ55:MZX55"/>
    <mergeCell ref="MZY55:NAF55"/>
    <mergeCell ref="NAG55:NAN55"/>
    <mergeCell ref="NAO55:NAV55"/>
    <mergeCell ref="NAW55:NBD55"/>
    <mergeCell ref="MYC55:MYJ55"/>
    <mergeCell ref="MYK55:MYR55"/>
    <mergeCell ref="MYS55:MYZ55"/>
    <mergeCell ref="MZA55:MZH55"/>
    <mergeCell ref="MZI55:MZP55"/>
    <mergeCell ref="MWO55:MWV55"/>
    <mergeCell ref="MWW55:MXD55"/>
    <mergeCell ref="MXE55:MXL55"/>
    <mergeCell ref="MXM55:MXT55"/>
    <mergeCell ref="MXU55:MYB55"/>
    <mergeCell ref="NHI55:NHP55"/>
    <mergeCell ref="NHQ55:NHX55"/>
    <mergeCell ref="NHY55:NIF55"/>
    <mergeCell ref="NIG55:NIN55"/>
    <mergeCell ref="NIO55:NIV55"/>
    <mergeCell ref="NFU55:NGB55"/>
    <mergeCell ref="NGC55:NGJ55"/>
    <mergeCell ref="NGK55:NGR55"/>
    <mergeCell ref="NGS55:NGZ55"/>
    <mergeCell ref="NHA55:NHH55"/>
    <mergeCell ref="NEG55:NEN55"/>
    <mergeCell ref="NEO55:NEV55"/>
    <mergeCell ref="NEW55:NFD55"/>
    <mergeCell ref="NFE55:NFL55"/>
    <mergeCell ref="NFM55:NFT55"/>
    <mergeCell ref="NCS55:NCZ55"/>
    <mergeCell ref="NDA55:NDH55"/>
    <mergeCell ref="NDI55:NDP55"/>
    <mergeCell ref="NDQ55:NDX55"/>
    <mergeCell ref="NDY55:NEF55"/>
    <mergeCell ref="NNM55:NNT55"/>
    <mergeCell ref="NNU55:NOB55"/>
    <mergeCell ref="NOC55:NOJ55"/>
    <mergeCell ref="NOK55:NOR55"/>
    <mergeCell ref="NOS55:NOZ55"/>
    <mergeCell ref="NLY55:NMF55"/>
    <mergeCell ref="NMG55:NMN55"/>
    <mergeCell ref="NMO55:NMV55"/>
    <mergeCell ref="NMW55:NND55"/>
    <mergeCell ref="NNE55:NNL55"/>
    <mergeCell ref="NKK55:NKR55"/>
    <mergeCell ref="NKS55:NKZ55"/>
    <mergeCell ref="NLA55:NLH55"/>
    <mergeCell ref="NLI55:NLP55"/>
    <mergeCell ref="NLQ55:NLX55"/>
    <mergeCell ref="NIW55:NJD55"/>
    <mergeCell ref="NJE55:NJL55"/>
    <mergeCell ref="NJM55:NJT55"/>
    <mergeCell ref="NJU55:NKB55"/>
    <mergeCell ref="NKC55:NKJ55"/>
    <mergeCell ref="NTQ55:NTX55"/>
    <mergeCell ref="NTY55:NUF55"/>
    <mergeCell ref="NUG55:NUN55"/>
    <mergeCell ref="NUO55:NUV55"/>
    <mergeCell ref="NUW55:NVD55"/>
    <mergeCell ref="NSC55:NSJ55"/>
    <mergeCell ref="NSK55:NSR55"/>
    <mergeCell ref="NSS55:NSZ55"/>
    <mergeCell ref="NTA55:NTH55"/>
    <mergeCell ref="NTI55:NTP55"/>
    <mergeCell ref="NQO55:NQV55"/>
    <mergeCell ref="NQW55:NRD55"/>
    <mergeCell ref="NRE55:NRL55"/>
    <mergeCell ref="NRM55:NRT55"/>
    <mergeCell ref="NRU55:NSB55"/>
    <mergeCell ref="NPA55:NPH55"/>
    <mergeCell ref="NPI55:NPP55"/>
    <mergeCell ref="NPQ55:NPX55"/>
    <mergeCell ref="NPY55:NQF55"/>
    <mergeCell ref="NQG55:NQN55"/>
    <mergeCell ref="NZU55:OAB55"/>
    <mergeCell ref="OAC55:OAJ55"/>
    <mergeCell ref="OAK55:OAR55"/>
    <mergeCell ref="OAS55:OAZ55"/>
    <mergeCell ref="OBA55:OBH55"/>
    <mergeCell ref="NYG55:NYN55"/>
    <mergeCell ref="NYO55:NYV55"/>
    <mergeCell ref="NYW55:NZD55"/>
    <mergeCell ref="NZE55:NZL55"/>
    <mergeCell ref="NZM55:NZT55"/>
    <mergeCell ref="NWS55:NWZ55"/>
    <mergeCell ref="NXA55:NXH55"/>
    <mergeCell ref="NXI55:NXP55"/>
    <mergeCell ref="NXQ55:NXX55"/>
    <mergeCell ref="NXY55:NYF55"/>
    <mergeCell ref="NVE55:NVL55"/>
    <mergeCell ref="NVM55:NVT55"/>
    <mergeCell ref="NVU55:NWB55"/>
    <mergeCell ref="NWC55:NWJ55"/>
    <mergeCell ref="NWK55:NWR55"/>
    <mergeCell ref="OFY55:OGF55"/>
    <mergeCell ref="OGG55:OGN55"/>
    <mergeCell ref="OGO55:OGV55"/>
    <mergeCell ref="OGW55:OHD55"/>
    <mergeCell ref="OHE55:OHL55"/>
    <mergeCell ref="OEK55:OER55"/>
    <mergeCell ref="OES55:OEZ55"/>
    <mergeCell ref="OFA55:OFH55"/>
    <mergeCell ref="OFI55:OFP55"/>
    <mergeCell ref="OFQ55:OFX55"/>
    <mergeCell ref="OCW55:ODD55"/>
    <mergeCell ref="ODE55:ODL55"/>
    <mergeCell ref="ODM55:ODT55"/>
    <mergeCell ref="ODU55:OEB55"/>
    <mergeCell ref="OEC55:OEJ55"/>
    <mergeCell ref="OBI55:OBP55"/>
    <mergeCell ref="OBQ55:OBX55"/>
    <mergeCell ref="OBY55:OCF55"/>
    <mergeCell ref="OCG55:OCN55"/>
    <mergeCell ref="OCO55:OCV55"/>
    <mergeCell ref="OMC55:OMJ55"/>
    <mergeCell ref="OMK55:OMR55"/>
    <mergeCell ref="OMS55:OMZ55"/>
    <mergeCell ref="ONA55:ONH55"/>
    <mergeCell ref="ONI55:ONP55"/>
    <mergeCell ref="OKO55:OKV55"/>
    <mergeCell ref="OKW55:OLD55"/>
    <mergeCell ref="OLE55:OLL55"/>
    <mergeCell ref="OLM55:OLT55"/>
    <mergeCell ref="OLU55:OMB55"/>
    <mergeCell ref="OJA55:OJH55"/>
    <mergeCell ref="OJI55:OJP55"/>
    <mergeCell ref="OJQ55:OJX55"/>
    <mergeCell ref="OJY55:OKF55"/>
    <mergeCell ref="OKG55:OKN55"/>
    <mergeCell ref="OHM55:OHT55"/>
    <mergeCell ref="OHU55:OIB55"/>
    <mergeCell ref="OIC55:OIJ55"/>
    <mergeCell ref="OIK55:OIR55"/>
    <mergeCell ref="OIS55:OIZ55"/>
    <mergeCell ref="OSG55:OSN55"/>
    <mergeCell ref="OSO55:OSV55"/>
    <mergeCell ref="OSW55:OTD55"/>
    <mergeCell ref="OTE55:OTL55"/>
    <mergeCell ref="OTM55:OTT55"/>
    <mergeCell ref="OQS55:OQZ55"/>
    <mergeCell ref="ORA55:ORH55"/>
    <mergeCell ref="ORI55:ORP55"/>
    <mergeCell ref="ORQ55:ORX55"/>
    <mergeCell ref="ORY55:OSF55"/>
    <mergeCell ref="OPE55:OPL55"/>
    <mergeCell ref="OPM55:OPT55"/>
    <mergeCell ref="OPU55:OQB55"/>
    <mergeCell ref="OQC55:OQJ55"/>
    <mergeCell ref="OQK55:OQR55"/>
    <mergeCell ref="ONQ55:ONX55"/>
    <mergeCell ref="ONY55:OOF55"/>
    <mergeCell ref="OOG55:OON55"/>
    <mergeCell ref="OOO55:OOV55"/>
    <mergeCell ref="OOW55:OPD55"/>
    <mergeCell ref="OYK55:OYR55"/>
    <mergeCell ref="OYS55:OYZ55"/>
    <mergeCell ref="OZA55:OZH55"/>
    <mergeCell ref="OZI55:OZP55"/>
    <mergeCell ref="OZQ55:OZX55"/>
    <mergeCell ref="OWW55:OXD55"/>
    <mergeCell ref="OXE55:OXL55"/>
    <mergeCell ref="OXM55:OXT55"/>
    <mergeCell ref="OXU55:OYB55"/>
    <mergeCell ref="OYC55:OYJ55"/>
    <mergeCell ref="OVI55:OVP55"/>
    <mergeCell ref="OVQ55:OVX55"/>
    <mergeCell ref="OVY55:OWF55"/>
    <mergeCell ref="OWG55:OWN55"/>
    <mergeCell ref="OWO55:OWV55"/>
    <mergeCell ref="OTU55:OUB55"/>
    <mergeCell ref="OUC55:OUJ55"/>
    <mergeCell ref="OUK55:OUR55"/>
    <mergeCell ref="OUS55:OUZ55"/>
    <mergeCell ref="OVA55:OVH55"/>
    <mergeCell ref="PEO55:PEV55"/>
    <mergeCell ref="PEW55:PFD55"/>
    <mergeCell ref="PFE55:PFL55"/>
    <mergeCell ref="PFM55:PFT55"/>
    <mergeCell ref="PFU55:PGB55"/>
    <mergeCell ref="PDA55:PDH55"/>
    <mergeCell ref="PDI55:PDP55"/>
    <mergeCell ref="PDQ55:PDX55"/>
    <mergeCell ref="PDY55:PEF55"/>
    <mergeCell ref="PEG55:PEN55"/>
    <mergeCell ref="PBM55:PBT55"/>
    <mergeCell ref="PBU55:PCB55"/>
    <mergeCell ref="PCC55:PCJ55"/>
    <mergeCell ref="PCK55:PCR55"/>
    <mergeCell ref="PCS55:PCZ55"/>
    <mergeCell ref="OZY55:PAF55"/>
    <mergeCell ref="PAG55:PAN55"/>
    <mergeCell ref="PAO55:PAV55"/>
    <mergeCell ref="PAW55:PBD55"/>
    <mergeCell ref="PBE55:PBL55"/>
    <mergeCell ref="PKS55:PKZ55"/>
    <mergeCell ref="PLA55:PLH55"/>
    <mergeCell ref="PLI55:PLP55"/>
    <mergeCell ref="PLQ55:PLX55"/>
    <mergeCell ref="PLY55:PMF55"/>
    <mergeCell ref="PJE55:PJL55"/>
    <mergeCell ref="PJM55:PJT55"/>
    <mergeCell ref="PJU55:PKB55"/>
    <mergeCell ref="PKC55:PKJ55"/>
    <mergeCell ref="PKK55:PKR55"/>
    <mergeCell ref="PHQ55:PHX55"/>
    <mergeCell ref="PHY55:PIF55"/>
    <mergeCell ref="PIG55:PIN55"/>
    <mergeCell ref="PIO55:PIV55"/>
    <mergeCell ref="PIW55:PJD55"/>
    <mergeCell ref="PGC55:PGJ55"/>
    <mergeCell ref="PGK55:PGR55"/>
    <mergeCell ref="PGS55:PGZ55"/>
    <mergeCell ref="PHA55:PHH55"/>
    <mergeCell ref="PHI55:PHP55"/>
    <mergeCell ref="PQW55:PRD55"/>
    <mergeCell ref="PRE55:PRL55"/>
    <mergeCell ref="PRM55:PRT55"/>
    <mergeCell ref="PRU55:PSB55"/>
    <mergeCell ref="PSC55:PSJ55"/>
    <mergeCell ref="PPI55:PPP55"/>
    <mergeCell ref="PPQ55:PPX55"/>
    <mergeCell ref="PPY55:PQF55"/>
    <mergeCell ref="PQG55:PQN55"/>
    <mergeCell ref="PQO55:PQV55"/>
    <mergeCell ref="PNU55:POB55"/>
    <mergeCell ref="POC55:POJ55"/>
    <mergeCell ref="POK55:POR55"/>
    <mergeCell ref="POS55:POZ55"/>
    <mergeCell ref="PPA55:PPH55"/>
    <mergeCell ref="PMG55:PMN55"/>
    <mergeCell ref="PMO55:PMV55"/>
    <mergeCell ref="PMW55:PND55"/>
    <mergeCell ref="PNE55:PNL55"/>
    <mergeCell ref="PNM55:PNT55"/>
    <mergeCell ref="PXA55:PXH55"/>
    <mergeCell ref="PXI55:PXP55"/>
    <mergeCell ref="PXQ55:PXX55"/>
    <mergeCell ref="PXY55:PYF55"/>
    <mergeCell ref="PYG55:PYN55"/>
    <mergeCell ref="PVM55:PVT55"/>
    <mergeCell ref="PVU55:PWB55"/>
    <mergeCell ref="PWC55:PWJ55"/>
    <mergeCell ref="PWK55:PWR55"/>
    <mergeCell ref="PWS55:PWZ55"/>
    <mergeCell ref="PTY55:PUF55"/>
    <mergeCell ref="PUG55:PUN55"/>
    <mergeCell ref="PUO55:PUV55"/>
    <mergeCell ref="PUW55:PVD55"/>
    <mergeCell ref="PVE55:PVL55"/>
    <mergeCell ref="PSK55:PSR55"/>
    <mergeCell ref="PSS55:PSZ55"/>
    <mergeCell ref="PTA55:PTH55"/>
    <mergeCell ref="PTI55:PTP55"/>
    <mergeCell ref="PTQ55:PTX55"/>
    <mergeCell ref="QDE55:QDL55"/>
    <mergeCell ref="QDM55:QDT55"/>
    <mergeCell ref="QDU55:QEB55"/>
    <mergeCell ref="QEC55:QEJ55"/>
    <mergeCell ref="QEK55:QER55"/>
    <mergeCell ref="QBQ55:QBX55"/>
    <mergeCell ref="QBY55:QCF55"/>
    <mergeCell ref="QCG55:QCN55"/>
    <mergeCell ref="QCO55:QCV55"/>
    <mergeCell ref="QCW55:QDD55"/>
    <mergeCell ref="QAC55:QAJ55"/>
    <mergeCell ref="QAK55:QAR55"/>
    <mergeCell ref="QAS55:QAZ55"/>
    <mergeCell ref="QBA55:QBH55"/>
    <mergeCell ref="QBI55:QBP55"/>
    <mergeCell ref="PYO55:PYV55"/>
    <mergeCell ref="PYW55:PZD55"/>
    <mergeCell ref="PZE55:PZL55"/>
    <mergeCell ref="PZM55:PZT55"/>
    <mergeCell ref="PZU55:QAB55"/>
    <mergeCell ref="QJI55:QJP55"/>
    <mergeCell ref="QJQ55:QJX55"/>
    <mergeCell ref="QJY55:QKF55"/>
    <mergeCell ref="QKG55:QKN55"/>
    <mergeCell ref="QKO55:QKV55"/>
    <mergeCell ref="QHU55:QIB55"/>
    <mergeCell ref="QIC55:QIJ55"/>
    <mergeCell ref="QIK55:QIR55"/>
    <mergeCell ref="QIS55:QIZ55"/>
    <mergeCell ref="QJA55:QJH55"/>
    <mergeCell ref="QGG55:QGN55"/>
    <mergeCell ref="QGO55:QGV55"/>
    <mergeCell ref="QGW55:QHD55"/>
    <mergeCell ref="QHE55:QHL55"/>
    <mergeCell ref="QHM55:QHT55"/>
    <mergeCell ref="QES55:QEZ55"/>
    <mergeCell ref="QFA55:QFH55"/>
    <mergeCell ref="QFI55:QFP55"/>
    <mergeCell ref="QFQ55:QFX55"/>
    <mergeCell ref="QFY55:QGF55"/>
    <mergeCell ref="QPM55:QPT55"/>
    <mergeCell ref="QPU55:QQB55"/>
    <mergeCell ref="QQC55:QQJ55"/>
    <mergeCell ref="QQK55:QQR55"/>
    <mergeCell ref="QQS55:QQZ55"/>
    <mergeCell ref="QNY55:QOF55"/>
    <mergeCell ref="QOG55:QON55"/>
    <mergeCell ref="QOO55:QOV55"/>
    <mergeCell ref="QOW55:QPD55"/>
    <mergeCell ref="QPE55:QPL55"/>
    <mergeCell ref="QMK55:QMR55"/>
    <mergeCell ref="QMS55:QMZ55"/>
    <mergeCell ref="QNA55:QNH55"/>
    <mergeCell ref="QNI55:QNP55"/>
    <mergeCell ref="QNQ55:QNX55"/>
    <mergeCell ref="QKW55:QLD55"/>
    <mergeCell ref="QLE55:QLL55"/>
    <mergeCell ref="QLM55:QLT55"/>
    <mergeCell ref="QLU55:QMB55"/>
    <mergeCell ref="QMC55:QMJ55"/>
    <mergeCell ref="QVQ55:QVX55"/>
    <mergeCell ref="QVY55:QWF55"/>
    <mergeCell ref="QWG55:QWN55"/>
    <mergeCell ref="QWO55:QWV55"/>
    <mergeCell ref="QWW55:QXD55"/>
    <mergeCell ref="QUC55:QUJ55"/>
    <mergeCell ref="QUK55:QUR55"/>
    <mergeCell ref="QUS55:QUZ55"/>
    <mergeCell ref="QVA55:QVH55"/>
    <mergeCell ref="QVI55:QVP55"/>
    <mergeCell ref="QSO55:QSV55"/>
    <mergeCell ref="QSW55:QTD55"/>
    <mergeCell ref="QTE55:QTL55"/>
    <mergeCell ref="QTM55:QTT55"/>
    <mergeCell ref="QTU55:QUB55"/>
    <mergeCell ref="QRA55:QRH55"/>
    <mergeCell ref="QRI55:QRP55"/>
    <mergeCell ref="QRQ55:QRX55"/>
    <mergeCell ref="QRY55:QSF55"/>
    <mergeCell ref="QSG55:QSN55"/>
    <mergeCell ref="RBU55:RCB55"/>
    <mergeCell ref="RCC55:RCJ55"/>
    <mergeCell ref="RCK55:RCR55"/>
    <mergeCell ref="RCS55:RCZ55"/>
    <mergeCell ref="RDA55:RDH55"/>
    <mergeCell ref="RAG55:RAN55"/>
    <mergeCell ref="RAO55:RAV55"/>
    <mergeCell ref="RAW55:RBD55"/>
    <mergeCell ref="RBE55:RBL55"/>
    <mergeCell ref="RBM55:RBT55"/>
    <mergeCell ref="QYS55:QYZ55"/>
    <mergeCell ref="QZA55:QZH55"/>
    <mergeCell ref="QZI55:QZP55"/>
    <mergeCell ref="QZQ55:QZX55"/>
    <mergeCell ref="QZY55:RAF55"/>
    <mergeCell ref="QXE55:QXL55"/>
    <mergeCell ref="QXM55:QXT55"/>
    <mergeCell ref="QXU55:QYB55"/>
    <mergeCell ref="QYC55:QYJ55"/>
    <mergeCell ref="QYK55:QYR55"/>
    <mergeCell ref="RHY55:RIF55"/>
    <mergeCell ref="RIG55:RIN55"/>
    <mergeCell ref="RIO55:RIV55"/>
    <mergeCell ref="RIW55:RJD55"/>
    <mergeCell ref="RJE55:RJL55"/>
    <mergeCell ref="RGK55:RGR55"/>
    <mergeCell ref="RGS55:RGZ55"/>
    <mergeCell ref="RHA55:RHH55"/>
    <mergeCell ref="RHI55:RHP55"/>
    <mergeCell ref="RHQ55:RHX55"/>
    <mergeCell ref="REW55:RFD55"/>
    <mergeCell ref="RFE55:RFL55"/>
    <mergeCell ref="RFM55:RFT55"/>
    <mergeCell ref="RFU55:RGB55"/>
    <mergeCell ref="RGC55:RGJ55"/>
    <mergeCell ref="RDI55:RDP55"/>
    <mergeCell ref="RDQ55:RDX55"/>
    <mergeCell ref="RDY55:REF55"/>
    <mergeCell ref="REG55:REN55"/>
    <mergeCell ref="REO55:REV55"/>
    <mergeCell ref="ROC55:ROJ55"/>
    <mergeCell ref="ROK55:ROR55"/>
    <mergeCell ref="ROS55:ROZ55"/>
    <mergeCell ref="RPA55:RPH55"/>
    <mergeCell ref="RPI55:RPP55"/>
    <mergeCell ref="RMO55:RMV55"/>
    <mergeCell ref="RMW55:RND55"/>
    <mergeCell ref="RNE55:RNL55"/>
    <mergeCell ref="RNM55:RNT55"/>
    <mergeCell ref="RNU55:ROB55"/>
    <mergeCell ref="RLA55:RLH55"/>
    <mergeCell ref="RLI55:RLP55"/>
    <mergeCell ref="RLQ55:RLX55"/>
    <mergeCell ref="RLY55:RMF55"/>
    <mergeCell ref="RMG55:RMN55"/>
    <mergeCell ref="RJM55:RJT55"/>
    <mergeCell ref="RJU55:RKB55"/>
    <mergeCell ref="RKC55:RKJ55"/>
    <mergeCell ref="RKK55:RKR55"/>
    <mergeCell ref="RKS55:RKZ55"/>
    <mergeCell ref="RUG55:RUN55"/>
    <mergeCell ref="RUO55:RUV55"/>
    <mergeCell ref="RUW55:RVD55"/>
    <mergeCell ref="RVE55:RVL55"/>
    <mergeCell ref="RVM55:RVT55"/>
    <mergeCell ref="RSS55:RSZ55"/>
    <mergeCell ref="RTA55:RTH55"/>
    <mergeCell ref="RTI55:RTP55"/>
    <mergeCell ref="RTQ55:RTX55"/>
    <mergeCell ref="RTY55:RUF55"/>
    <mergeCell ref="RRE55:RRL55"/>
    <mergeCell ref="RRM55:RRT55"/>
    <mergeCell ref="RRU55:RSB55"/>
    <mergeCell ref="RSC55:RSJ55"/>
    <mergeCell ref="RSK55:RSR55"/>
    <mergeCell ref="RPQ55:RPX55"/>
    <mergeCell ref="RPY55:RQF55"/>
    <mergeCell ref="RQG55:RQN55"/>
    <mergeCell ref="RQO55:RQV55"/>
    <mergeCell ref="RQW55:RRD55"/>
    <mergeCell ref="SAK55:SAR55"/>
    <mergeCell ref="SAS55:SAZ55"/>
    <mergeCell ref="SBA55:SBH55"/>
    <mergeCell ref="SBI55:SBP55"/>
    <mergeCell ref="SBQ55:SBX55"/>
    <mergeCell ref="RYW55:RZD55"/>
    <mergeCell ref="RZE55:RZL55"/>
    <mergeCell ref="RZM55:RZT55"/>
    <mergeCell ref="RZU55:SAB55"/>
    <mergeCell ref="SAC55:SAJ55"/>
    <mergeCell ref="RXI55:RXP55"/>
    <mergeCell ref="RXQ55:RXX55"/>
    <mergeCell ref="RXY55:RYF55"/>
    <mergeCell ref="RYG55:RYN55"/>
    <mergeCell ref="RYO55:RYV55"/>
    <mergeCell ref="RVU55:RWB55"/>
    <mergeCell ref="RWC55:RWJ55"/>
    <mergeCell ref="RWK55:RWR55"/>
    <mergeCell ref="RWS55:RWZ55"/>
    <mergeCell ref="RXA55:RXH55"/>
    <mergeCell ref="SGO55:SGV55"/>
    <mergeCell ref="SGW55:SHD55"/>
    <mergeCell ref="SHE55:SHL55"/>
    <mergeCell ref="SHM55:SHT55"/>
    <mergeCell ref="SHU55:SIB55"/>
    <mergeCell ref="SFA55:SFH55"/>
    <mergeCell ref="SFI55:SFP55"/>
    <mergeCell ref="SFQ55:SFX55"/>
    <mergeCell ref="SFY55:SGF55"/>
    <mergeCell ref="SGG55:SGN55"/>
    <mergeCell ref="SDM55:SDT55"/>
    <mergeCell ref="SDU55:SEB55"/>
    <mergeCell ref="SEC55:SEJ55"/>
    <mergeCell ref="SEK55:SER55"/>
    <mergeCell ref="SES55:SEZ55"/>
    <mergeCell ref="SBY55:SCF55"/>
    <mergeCell ref="SCG55:SCN55"/>
    <mergeCell ref="SCO55:SCV55"/>
    <mergeCell ref="SCW55:SDD55"/>
    <mergeCell ref="SDE55:SDL55"/>
    <mergeCell ref="SMS55:SMZ55"/>
    <mergeCell ref="SNA55:SNH55"/>
    <mergeCell ref="SNI55:SNP55"/>
    <mergeCell ref="SNQ55:SNX55"/>
    <mergeCell ref="SNY55:SOF55"/>
    <mergeCell ref="SLE55:SLL55"/>
    <mergeCell ref="SLM55:SLT55"/>
    <mergeCell ref="SLU55:SMB55"/>
    <mergeCell ref="SMC55:SMJ55"/>
    <mergeCell ref="SMK55:SMR55"/>
    <mergeCell ref="SJQ55:SJX55"/>
    <mergeCell ref="SJY55:SKF55"/>
    <mergeCell ref="SKG55:SKN55"/>
    <mergeCell ref="SKO55:SKV55"/>
    <mergeCell ref="SKW55:SLD55"/>
    <mergeCell ref="SIC55:SIJ55"/>
    <mergeCell ref="SIK55:SIR55"/>
    <mergeCell ref="SIS55:SIZ55"/>
    <mergeCell ref="SJA55:SJH55"/>
    <mergeCell ref="SJI55:SJP55"/>
    <mergeCell ref="SSW55:STD55"/>
    <mergeCell ref="STE55:STL55"/>
    <mergeCell ref="STM55:STT55"/>
    <mergeCell ref="STU55:SUB55"/>
    <mergeCell ref="SUC55:SUJ55"/>
    <mergeCell ref="SRI55:SRP55"/>
    <mergeCell ref="SRQ55:SRX55"/>
    <mergeCell ref="SRY55:SSF55"/>
    <mergeCell ref="SSG55:SSN55"/>
    <mergeCell ref="SSO55:SSV55"/>
    <mergeCell ref="SPU55:SQB55"/>
    <mergeCell ref="SQC55:SQJ55"/>
    <mergeCell ref="SQK55:SQR55"/>
    <mergeCell ref="SQS55:SQZ55"/>
    <mergeCell ref="SRA55:SRH55"/>
    <mergeCell ref="SOG55:SON55"/>
    <mergeCell ref="SOO55:SOV55"/>
    <mergeCell ref="SOW55:SPD55"/>
    <mergeCell ref="SPE55:SPL55"/>
    <mergeCell ref="SPM55:SPT55"/>
    <mergeCell ref="SZA55:SZH55"/>
    <mergeCell ref="SZI55:SZP55"/>
    <mergeCell ref="SZQ55:SZX55"/>
    <mergeCell ref="SZY55:TAF55"/>
    <mergeCell ref="TAG55:TAN55"/>
    <mergeCell ref="SXM55:SXT55"/>
    <mergeCell ref="SXU55:SYB55"/>
    <mergeCell ref="SYC55:SYJ55"/>
    <mergeCell ref="SYK55:SYR55"/>
    <mergeCell ref="SYS55:SYZ55"/>
    <mergeCell ref="SVY55:SWF55"/>
    <mergeCell ref="SWG55:SWN55"/>
    <mergeCell ref="SWO55:SWV55"/>
    <mergeCell ref="SWW55:SXD55"/>
    <mergeCell ref="SXE55:SXL55"/>
    <mergeCell ref="SUK55:SUR55"/>
    <mergeCell ref="SUS55:SUZ55"/>
    <mergeCell ref="SVA55:SVH55"/>
    <mergeCell ref="SVI55:SVP55"/>
    <mergeCell ref="SVQ55:SVX55"/>
    <mergeCell ref="TFE55:TFL55"/>
    <mergeCell ref="TFM55:TFT55"/>
    <mergeCell ref="TFU55:TGB55"/>
    <mergeCell ref="TGC55:TGJ55"/>
    <mergeCell ref="TGK55:TGR55"/>
    <mergeCell ref="TDQ55:TDX55"/>
    <mergeCell ref="TDY55:TEF55"/>
    <mergeCell ref="TEG55:TEN55"/>
    <mergeCell ref="TEO55:TEV55"/>
    <mergeCell ref="TEW55:TFD55"/>
    <mergeCell ref="TCC55:TCJ55"/>
    <mergeCell ref="TCK55:TCR55"/>
    <mergeCell ref="TCS55:TCZ55"/>
    <mergeCell ref="TDA55:TDH55"/>
    <mergeCell ref="TDI55:TDP55"/>
    <mergeCell ref="TAO55:TAV55"/>
    <mergeCell ref="TAW55:TBD55"/>
    <mergeCell ref="TBE55:TBL55"/>
    <mergeCell ref="TBM55:TBT55"/>
    <mergeCell ref="TBU55:TCB55"/>
    <mergeCell ref="TLI55:TLP55"/>
    <mergeCell ref="TLQ55:TLX55"/>
    <mergeCell ref="TLY55:TMF55"/>
    <mergeCell ref="TMG55:TMN55"/>
    <mergeCell ref="TMO55:TMV55"/>
    <mergeCell ref="TJU55:TKB55"/>
    <mergeCell ref="TKC55:TKJ55"/>
    <mergeCell ref="TKK55:TKR55"/>
    <mergeCell ref="TKS55:TKZ55"/>
    <mergeCell ref="TLA55:TLH55"/>
    <mergeCell ref="TIG55:TIN55"/>
    <mergeCell ref="TIO55:TIV55"/>
    <mergeCell ref="TIW55:TJD55"/>
    <mergeCell ref="TJE55:TJL55"/>
    <mergeCell ref="TJM55:TJT55"/>
    <mergeCell ref="TGS55:TGZ55"/>
    <mergeCell ref="THA55:THH55"/>
    <mergeCell ref="THI55:THP55"/>
    <mergeCell ref="THQ55:THX55"/>
    <mergeCell ref="THY55:TIF55"/>
    <mergeCell ref="TRM55:TRT55"/>
    <mergeCell ref="TRU55:TSB55"/>
    <mergeCell ref="TSC55:TSJ55"/>
    <mergeCell ref="TSK55:TSR55"/>
    <mergeCell ref="TSS55:TSZ55"/>
    <mergeCell ref="TPY55:TQF55"/>
    <mergeCell ref="TQG55:TQN55"/>
    <mergeCell ref="TQO55:TQV55"/>
    <mergeCell ref="TQW55:TRD55"/>
    <mergeCell ref="TRE55:TRL55"/>
    <mergeCell ref="TOK55:TOR55"/>
    <mergeCell ref="TOS55:TOZ55"/>
    <mergeCell ref="TPA55:TPH55"/>
    <mergeCell ref="TPI55:TPP55"/>
    <mergeCell ref="TPQ55:TPX55"/>
    <mergeCell ref="TMW55:TND55"/>
    <mergeCell ref="TNE55:TNL55"/>
    <mergeCell ref="TNM55:TNT55"/>
    <mergeCell ref="TNU55:TOB55"/>
    <mergeCell ref="TOC55:TOJ55"/>
    <mergeCell ref="TXQ55:TXX55"/>
    <mergeCell ref="TXY55:TYF55"/>
    <mergeCell ref="TYG55:TYN55"/>
    <mergeCell ref="TYO55:TYV55"/>
    <mergeCell ref="TYW55:TZD55"/>
    <mergeCell ref="TWC55:TWJ55"/>
    <mergeCell ref="TWK55:TWR55"/>
    <mergeCell ref="TWS55:TWZ55"/>
    <mergeCell ref="TXA55:TXH55"/>
    <mergeCell ref="TXI55:TXP55"/>
    <mergeCell ref="TUO55:TUV55"/>
    <mergeCell ref="TUW55:TVD55"/>
    <mergeCell ref="TVE55:TVL55"/>
    <mergeCell ref="TVM55:TVT55"/>
    <mergeCell ref="TVU55:TWB55"/>
    <mergeCell ref="TTA55:TTH55"/>
    <mergeCell ref="TTI55:TTP55"/>
    <mergeCell ref="TTQ55:TTX55"/>
    <mergeCell ref="TTY55:TUF55"/>
    <mergeCell ref="TUG55:TUN55"/>
    <mergeCell ref="UDU55:UEB55"/>
    <mergeCell ref="UEC55:UEJ55"/>
    <mergeCell ref="UEK55:UER55"/>
    <mergeCell ref="UES55:UEZ55"/>
    <mergeCell ref="UFA55:UFH55"/>
    <mergeCell ref="UCG55:UCN55"/>
    <mergeCell ref="UCO55:UCV55"/>
    <mergeCell ref="UCW55:UDD55"/>
    <mergeCell ref="UDE55:UDL55"/>
    <mergeCell ref="UDM55:UDT55"/>
    <mergeCell ref="UAS55:UAZ55"/>
    <mergeCell ref="UBA55:UBH55"/>
    <mergeCell ref="UBI55:UBP55"/>
    <mergeCell ref="UBQ55:UBX55"/>
    <mergeCell ref="UBY55:UCF55"/>
    <mergeCell ref="TZE55:TZL55"/>
    <mergeCell ref="TZM55:TZT55"/>
    <mergeCell ref="TZU55:UAB55"/>
    <mergeCell ref="UAC55:UAJ55"/>
    <mergeCell ref="UAK55:UAR55"/>
    <mergeCell ref="UJY55:UKF55"/>
    <mergeCell ref="UKG55:UKN55"/>
    <mergeCell ref="UKO55:UKV55"/>
    <mergeCell ref="UKW55:ULD55"/>
    <mergeCell ref="ULE55:ULL55"/>
    <mergeCell ref="UIK55:UIR55"/>
    <mergeCell ref="UIS55:UIZ55"/>
    <mergeCell ref="UJA55:UJH55"/>
    <mergeCell ref="UJI55:UJP55"/>
    <mergeCell ref="UJQ55:UJX55"/>
    <mergeCell ref="UGW55:UHD55"/>
    <mergeCell ref="UHE55:UHL55"/>
    <mergeCell ref="UHM55:UHT55"/>
    <mergeCell ref="UHU55:UIB55"/>
    <mergeCell ref="UIC55:UIJ55"/>
    <mergeCell ref="UFI55:UFP55"/>
    <mergeCell ref="UFQ55:UFX55"/>
    <mergeCell ref="UFY55:UGF55"/>
    <mergeCell ref="UGG55:UGN55"/>
    <mergeCell ref="UGO55:UGV55"/>
    <mergeCell ref="UQC55:UQJ55"/>
    <mergeCell ref="UQK55:UQR55"/>
    <mergeCell ref="UQS55:UQZ55"/>
    <mergeCell ref="URA55:URH55"/>
    <mergeCell ref="URI55:URP55"/>
    <mergeCell ref="UOO55:UOV55"/>
    <mergeCell ref="UOW55:UPD55"/>
    <mergeCell ref="UPE55:UPL55"/>
    <mergeCell ref="UPM55:UPT55"/>
    <mergeCell ref="UPU55:UQB55"/>
    <mergeCell ref="UNA55:UNH55"/>
    <mergeCell ref="UNI55:UNP55"/>
    <mergeCell ref="UNQ55:UNX55"/>
    <mergeCell ref="UNY55:UOF55"/>
    <mergeCell ref="UOG55:UON55"/>
    <mergeCell ref="ULM55:ULT55"/>
    <mergeCell ref="ULU55:UMB55"/>
    <mergeCell ref="UMC55:UMJ55"/>
    <mergeCell ref="UMK55:UMR55"/>
    <mergeCell ref="UMS55:UMZ55"/>
    <mergeCell ref="UWG55:UWN55"/>
    <mergeCell ref="UWO55:UWV55"/>
    <mergeCell ref="UWW55:UXD55"/>
    <mergeCell ref="UXE55:UXL55"/>
    <mergeCell ref="UXM55:UXT55"/>
    <mergeCell ref="UUS55:UUZ55"/>
    <mergeCell ref="UVA55:UVH55"/>
    <mergeCell ref="UVI55:UVP55"/>
    <mergeCell ref="UVQ55:UVX55"/>
    <mergeCell ref="UVY55:UWF55"/>
    <mergeCell ref="UTE55:UTL55"/>
    <mergeCell ref="UTM55:UTT55"/>
    <mergeCell ref="UTU55:UUB55"/>
    <mergeCell ref="UUC55:UUJ55"/>
    <mergeCell ref="UUK55:UUR55"/>
    <mergeCell ref="URQ55:URX55"/>
    <mergeCell ref="URY55:USF55"/>
    <mergeCell ref="USG55:USN55"/>
    <mergeCell ref="USO55:USV55"/>
    <mergeCell ref="USW55:UTD55"/>
    <mergeCell ref="VCK55:VCR55"/>
    <mergeCell ref="VCS55:VCZ55"/>
    <mergeCell ref="VDA55:VDH55"/>
    <mergeCell ref="VDI55:VDP55"/>
    <mergeCell ref="VDQ55:VDX55"/>
    <mergeCell ref="VAW55:VBD55"/>
    <mergeCell ref="VBE55:VBL55"/>
    <mergeCell ref="VBM55:VBT55"/>
    <mergeCell ref="VBU55:VCB55"/>
    <mergeCell ref="VCC55:VCJ55"/>
    <mergeCell ref="UZI55:UZP55"/>
    <mergeCell ref="UZQ55:UZX55"/>
    <mergeCell ref="UZY55:VAF55"/>
    <mergeCell ref="VAG55:VAN55"/>
    <mergeCell ref="VAO55:VAV55"/>
    <mergeCell ref="UXU55:UYB55"/>
    <mergeCell ref="UYC55:UYJ55"/>
    <mergeCell ref="UYK55:UYR55"/>
    <mergeCell ref="UYS55:UYZ55"/>
    <mergeCell ref="UZA55:UZH55"/>
    <mergeCell ref="VIO55:VIV55"/>
    <mergeCell ref="VIW55:VJD55"/>
    <mergeCell ref="VJE55:VJL55"/>
    <mergeCell ref="VJM55:VJT55"/>
    <mergeCell ref="VJU55:VKB55"/>
    <mergeCell ref="VHA55:VHH55"/>
    <mergeCell ref="VHI55:VHP55"/>
    <mergeCell ref="VHQ55:VHX55"/>
    <mergeCell ref="VHY55:VIF55"/>
    <mergeCell ref="VIG55:VIN55"/>
    <mergeCell ref="VFM55:VFT55"/>
    <mergeCell ref="VFU55:VGB55"/>
    <mergeCell ref="VGC55:VGJ55"/>
    <mergeCell ref="VGK55:VGR55"/>
    <mergeCell ref="VGS55:VGZ55"/>
    <mergeCell ref="VDY55:VEF55"/>
    <mergeCell ref="VEG55:VEN55"/>
    <mergeCell ref="VEO55:VEV55"/>
    <mergeCell ref="VEW55:VFD55"/>
    <mergeCell ref="VFE55:VFL55"/>
    <mergeCell ref="VOS55:VOZ55"/>
    <mergeCell ref="VPA55:VPH55"/>
    <mergeCell ref="VPI55:VPP55"/>
    <mergeCell ref="VPQ55:VPX55"/>
    <mergeCell ref="VPY55:VQF55"/>
    <mergeCell ref="VNE55:VNL55"/>
    <mergeCell ref="VNM55:VNT55"/>
    <mergeCell ref="VNU55:VOB55"/>
    <mergeCell ref="VOC55:VOJ55"/>
    <mergeCell ref="VOK55:VOR55"/>
    <mergeCell ref="VLQ55:VLX55"/>
    <mergeCell ref="VLY55:VMF55"/>
    <mergeCell ref="VMG55:VMN55"/>
    <mergeCell ref="VMO55:VMV55"/>
    <mergeCell ref="VMW55:VND55"/>
    <mergeCell ref="VKC55:VKJ55"/>
    <mergeCell ref="VKK55:VKR55"/>
    <mergeCell ref="VKS55:VKZ55"/>
    <mergeCell ref="VLA55:VLH55"/>
    <mergeCell ref="VLI55:VLP55"/>
    <mergeCell ref="VUW55:VVD55"/>
    <mergeCell ref="VVE55:VVL55"/>
    <mergeCell ref="VVM55:VVT55"/>
    <mergeCell ref="VVU55:VWB55"/>
    <mergeCell ref="VWC55:VWJ55"/>
    <mergeCell ref="VTI55:VTP55"/>
    <mergeCell ref="VTQ55:VTX55"/>
    <mergeCell ref="VTY55:VUF55"/>
    <mergeCell ref="VUG55:VUN55"/>
    <mergeCell ref="VUO55:VUV55"/>
    <mergeCell ref="VRU55:VSB55"/>
    <mergeCell ref="VSC55:VSJ55"/>
    <mergeCell ref="VSK55:VSR55"/>
    <mergeCell ref="VSS55:VSZ55"/>
    <mergeCell ref="VTA55:VTH55"/>
    <mergeCell ref="VQG55:VQN55"/>
    <mergeCell ref="VQO55:VQV55"/>
    <mergeCell ref="VQW55:VRD55"/>
    <mergeCell ref="VRE55:VRL55"/>
    <mergeCell ref="VRM55:VRT55"/>
    <mergeCell ref="WBA55:WBH55"/>
    <mergeCell ref="WBI55:WBP55"/>
    <mergeCell ref="WBQ55:WBX55"/>
    <mergeCell ref="WBY55:WCF55"/>
    <mergeCell ref="WCG55:WCN55"/>
    <mergeCell ref="VZM55:VZT55"/>
    <mergeCell ref="VZU55:WAB55"/>
    <mergeCell ref="WAC55:WAJ55"/>
    <mergeCell ref="WAK55:WAR55"/>
    <mergeCell ref="WAS55:WAZ55"/>
    <mergeCell ref="VXY55:VYF55"/>
    <mergeCell ref="VYG55:VYN55"/>
    <mergeCell ref="VYO55:VYV55"/>
    <mergeCell ref="VYW55:VZD55"/>
    <mergeCell ref="VZE55:VZL55"/>
    <mergeCell ref="VWK55:VWR55"/>
    <mergeCell ref="VWS55:VWZ55"/>
    <mergeCell ref="VXA55:VXH55"/>
    <mergeCell ref="VXI55:VXP55"/>
    <mergeCell ref="VXQ55:VXX55"/>
    <mergeCell ref="WHE55:WHL55"/>
    <mergeCell ref="WHM55:WHT55"/>
    <mergeCell ref="WHU55:WIB55"/>
    <mergeCell ref="WIC55:WIJ55"/>
    <mergeCell ref="WIK55:WIR55"/>
    <mergeCell ref="WFQ55:WFX55"/>
    <mergeCell ref="WFY55:WGF55"/>
    <mergeCell ref="WGG55:WGN55"/>
    <mergeCell ref="WGO55:WGV55"/>
    <mergeCell ref="WGW55:WHD55"/>
    <mergeCell ref="WEC55:WEJ55"/>
    <mergeCell ref="WEK55:WER55"/>
    <mergeCell ref="WES55:WEZ55"/>
    <mergeCell ref="WFA55:WFH55"/>
    <mergeCell ref="WFI55:WFP55"/>
    <mergeCell ref="WCO55:WCV55"/>
    <mergeCell ref="WCW55:WDD55"/>
    <mergeCell ref="WDE55:WDL55"/>
    <mergeCell ref="WDM55:WDT55"/>
    <mergeCell ref="WDU55:WEB55"/>
    <mergeCell ref="WNI55:WNP55"/>
    <mergeCell ref="WNQ55:WNX55"/>
    <mergeCell ref="WNY55:WOF55"/>
    <mergeCell ref="WOG55:WON55"/>
    <mergeCell ref="WOO55:WOV55"/>
    <mergeCell ref="WLU55:WMB55"/>
    <mergeCell ref="WMC55:WMJ55"/>
    <mergeCell ref="WMK55:WMR55"/>
    <mergeCell ref="WMS55:WMZ55"/>
    <mergeCell ref="WNA55:WNH55"/>
    <mergeCell ref="WKG55:WKN55"/>
    <mergeCell ref="WKO55:WKV55"/>
    <mergeCell ref="WKW55:WLD55"/>
    <mergeCell ref="WLE55:WLL55"/>
    <mergeCell ref="WLM55:WLT55"/>
    <mergeCell ref="WIS55:WIZ55"/>
    <mergeCell ref="WJA55:WJH55"/>
    <mergeCell ref="WJI55:WJP55"/>
    <mergeCell ref="WJQ55:WJX55"/>
    <mergeCell ref="WJY55:WKF55"/>
    <mergeCell ref="WUK55:WUR55"/>
    <mergeCell ref="WUS55:WUZ55"/>
    <mergeCell ref="WRY55:WSF55"/>
    <mergeCell ref="WSG55:WSN55"/>
    <mergeCell ref="WSO55:WSV55"/>
    <mergeCell ref="WSW55:WTD55"/>
    <mergeCell ref="WTE55:WTL55"/>
    <mergeCell ref="WQK55:WQR55"/>
    <mergeCell ref="WQS55:WQZ55"/>
    <mergeCell ref="WRA55:WRH55"/>
    <mergeCell ref="WRI55:WRP55"/>
    <mergeCell ref="WRQ55:WRX55"/>
    <mergeCell ref="WOW55:WPD55"/>
    <mergeCell ref="WPE55:WPL55"/>
    <mergeCell ref="WPM55:WPT55"/>
    <mergeCell ref="WPU55:WQB55"/>
    <mergeCell ref="WQC55:WQJ55"/>
    <mergeCell ref="XEW55:XFD55"/>
    <mergeCell ref="A54:H54"/>
    <mergeCell ref="I54:P54"/>
    <mergeCell ref="Q54:X54"/>
    <mergeCell ref="Y54:AF54"/>
    <mergeCell ref="AG54:AN54"/>
    <mergeCell ref="AO54:AV54"/>
    <mergeCell ref="AW54:BD54"/>
    <mergeCell ref="BE54:BL54"/>
    <mergeCell ref="BM54:BT54"/>
    <mergeCell ref="BU54:CB54"/>
    <mergeCell ref="CC54:CJ54"/>
    <mergeCell ref="CK54:CR54"/>
    <mergeCell ref="CS54:CZ54"/>
    <mergeCell ref="XCS55:XCZ55"/>
    <mergeCell ref="XDA55:XDH55"/>
    <mergeCell ref="XDI55:XDP55"/>
    <mergeCell ref="XDQ55:XDX55"/>
    <mergeCell ref="XDY55:XEF55"/>
    <mergeCell ref="XBE55:XBL55"/>
    <mergeCell ref="XBM55:XBT55"/>
    <mergeCell ref="XBU55:XCB55"/>
    <mergeCell ref="XCC55:XCJ55"/>
    <mergeCell ref="XCK55:XCR55"/>
    <mergeCell ref="WZQ55:WZX55"/>
    <mergeCell ref="WZY55:XAF55"/>
    <mergeCell ref="XAG55:XAN55"/>
    <mergeCell ref="XAO55:XAV55"/>
    <mergeCell ref="XAW55:XBD55"/>
    <mergeCell ref="WYC55:WYJ55"/>
    <mergeCell ref="WYK55:WYR55"/>
    <mergeCell ref="WYS55:WYZ55"/>
    <mergeCell ref="FM54:FT54"/>
    <mergeCell ref="FU54:GB54"/>
    <mergeCell ref="DA54:DH54"/>
    <mergeCell ref="DI54:DP54"/>
    <mergeCell ref="DQ54:DX54"/>
    <mergeCell ref="DY54:EF54"/>
    <mergeCell ref="EG54:EN54"/>
    <mergeCell ref="XEG55:XEN55"/>
    <mergeCell ref="XEO55:XEV55"/>
    <mergeCell ref="WZA55:WZH55"/>
    <mergeCell ref="WZI55:WZP55"/>
    <mergeCell ref="WWO55:WWV55"/>
    <mergeCell ref="WWW55:WXD55"/>
    <mergeCell ref="WXE55:WXL55"/>
    <mergeCell ref="WXM55:WXT55"/>
    <mergeCell ref="WXU55:WYB55"/>
    <mergeCell ref="WVA55:WVH55"/>
    <mergeCell ref="WVI55:WVP55"/>
    <mergeCell ref="WVQ55:WVX55"/>
    <mergeCell ref="WVY55:WWF55"/>
    <mergeCell ref="WWG55:WWN55"/>
    <mergeCell ref="WTM55:WTT55"/>
    <mergeCell ref="WTU55:WUB55"/>
    <mergeCell ref="WUC55:WUJ55"/>
    <mergeCell ref="MG54:MN54"/>
    <mergeCell ref="MO54:MV54"/>
    <mergeCell ref="MW54:ND54"/>
    <mergeCell ref="NE54:NL54"/>
    <mergeCell ref="NM54:NT54"/>
    <mergeCell ref="KS54:KZ54"/>
    <mergeCell ref="LA54:LH54"/>
    <mergeCell ref="LI54:LP54"/>
    <mergeCell ref="LQ54:LX54"/>
    <mergeCell ref="LY54:MF54"/>
    <mergeCell ref="JE54:JL54"/>
    <mergeCell ref="JM54:JT54"/>
    <mergeCell ref="JU54:KB54"/>
    <mergeCell ref="KC54:KJ54"/>
    <mergeCell ref="KK54:KR54"/>
    <mergeCell ref="HQ54:HX54"/>
    <mergeCell ref="HY54:IF54"/>
    <mergeCell ref="IG54:IN54"/>
    <mergeCell ref="IO54:IV54"/>
    <mergeCell ref="IW54:JD54"/>
    <mergeCell ref="SK54:SR54"/>
    <mergeCell ref="SS54:SZ54"/>
    <mergeCell ref="TA54:TH54"/>
    <mergeCell ref="TI54:TP54"/>
    <mergeCell ref="TQ54:TX54"/>
    <mergeCell ref="QW54:RD54"/>
    <mergeCell ref="RE54:RL54"/>
    <mergeCell ref="RM54:RT54"/>
    <mergeCell ref="RU54:SB54"/>
    <mergeCell ref="SC54:SJ54"/>
    <mergeCell ref="PI54:PP54"/>
    <mergeCell ref="PQ54:PX54"/>
    <mergeCell ref="PY54:QF54"/>
    <mergeCell ref="QG54:QN54"/>
    <mergeCell ref="QO54:QV54"/>
    <mergeCell ref="NU54:OB54"/>
    <mergeCell ref="OC54:OJ54"/>
    <mergeCell ref="OK54:OR54"/>
    <mergeCell ref="OS54:OZ54"/>
    <mergeCell ref="PA54:PH54"/>
    <mergeCell ref="YO54:YV54"/>
    <mergeCell ref="YW54:ZD54"/>
    <mergeCell ref="ZE54:ZL54"/>
    <mergeCell ref="ZM54:ZT54"/>
    <mergeCell ref="ZU54:AAB54"/>
    <mergeCell ref="XA54:XH54"/>
    <mergeCell ref="XI54:XP54"/>
    <mergeCell ref="XQ54:XX54"/>
    <mergeCell ref="XY54:YF54"/>
    <mergeCell ref="YG54:YN54"/>
    <mergeCell ref="VM54:VT54"/>
    <mergeCell ref="VU54:WB54"/>
    <mergeCell ref="WC54:WJ54"/>
    <mergeCell ref="WK54:WR54"/>
    <mergeCell ref="WS54:WZ54"/>
    <mergeCell ref="TY54:UF54"/>
    <mergeCell ref="UG54:UN54"/>
    <mergeCell ref="UO54:UV54"/>
    <mergeCell ref="UW54:VD54"/>
    <mergeCell ref="VE54:VL54"/>
    <mergeCell ref="AES54:AEZ54"/>
    <mergeCell ref="AFA54:AFH54"/>
    <mergeCell ref="AFI54:AFP54"/>
    <mergeCell ref="AFQ54:AFX54"/>
    <mergeCell ref="AFY54:AGF54"/>
    <mergeCell ref="ADE54:ADL54"/>
    <mergeCell ref="ADM54:ADT54"/>
    <mergeCell ref="ADU54:AEB54"/>
    <mergeCell ref="AEC54:AEJ54"/>
    <mergeCell ref="AEK54:AER54"/>
    <mergeCell ref="ABQ54:ABX54"/>
    <mergeCell ref="ABY54:ACF54"/>
    <mergeCell ref="ACG54:ACN54"/>
    <mergeCell ref="ACO54:ACV54"/>
    <mergeCell ref="ACW54:ADD54"/>
    <mergeCell ref="AAC54:AAJ54"/>
    <mergeCell ref="AAK54:AAR54"/>
    <mergeCell ref="AAS54:AAZ54"/>
    <mergeCell ref="ABA54:ABH54"/>
    <mergeCell ref="ABI54:ABP54"/>
    <mergeCell ref="AKW54:ALD54"/>
    <mergeCell ref="ALE54:ALL54"/>
    <mergeCell ref="ALM54:ALT54"/>
    <mergeCell ref="ALU54:AMB54"/>
    <mergeCell ref="AMC54:AMJ54"/>
    <mergeCell ref="AJI54:AJP54"/>
    <mergeCell ref="AJQ54:AJX54"/>
    <mergeCell ref="AJY54:AKF54"/>
    <mergeCell ref="AKG54:AKN54"/>
    <mergeCell ref="AKO54:AKV54"/>
    <mergeCell ref="AHU54:AIB54"/>
    <mergeCell ref="AIC54:AIJ54"/>
    <mergeCell ref="AIK54:AIR54"/>
    <mergeCell ref="AIS54:AIZ54"/>
    <mergeCell ref="AJA54:AJH54"/>
    <mergeCell ref="AGG54:AGN54"/>
    <mergeCell ref="AGO54:AGV54"/>
    <mergeCell ref="AGW54:AHD54"/>
    <mergeCell ref="AHE54:AHL54"/>
    <mergeCell ref="AHM54:AHT54"/>
    <mergeCell ref="ARA54:ARH54"/>
    <mergeCell ref="ARI54:ARP54"/>
    <mergeCell ref="ARQ54:ARX54"/>
    <mergeCell ref="ARY54:ASF54"/>
    <mergeCell ref="ASG54:ASN54"/>
    <mergeCell ref="APM54:APT54"/>
    <mergeCell ref="APU54:AQB54"/>
    <mergeCell ref="AQC54:AQJ54"/>
    <mergeCell ref="AQK54:AQR54"/>
    <mergeCell ref="AQS54:AQZ54"/>
    <mergeCell ref="ANY54:AOF54"/>
    <mergeCell ref="AOG54:AON54"/>
    <mergeCell ref="AOO54:AOV54"/>
    <mergeCell ref="AOW54:APD54"/>
    <mergeCell ref="APE54:APL54"/>
    <mergeCell ref="AMK54:AMR54"/>
    <mergeCell ref="AMS54:AMZ54"/>
    <mergeCell ref="ANA54:ANH54"/>
    <mergeCell ref="ANI54:ANP54"/>
    <mergeCell ref="ANQ54:ANX54"/>
    <mergeCell ref="AXE54:AXL54"/>
    <mergeCell ref="AXM54:AXT54"/>
    <mergeCell ref="AXU54:AYB54"/>
    <mergeCell ref="AYC54:AYJ54"/>
    <mergeCell ref="AYK54:AYR54"/>
    <mergeCell ref="AVQ54:AVX54"/>
    <mergeCell ref="AVY54:AWF54"/>
    <mergeCell ref="AWG54:AWN54"/>
    <mergeCell ref="AWO54:AWV54"/>
    <mergeCell ref="AWW54:AXD54"/>
    <mergeCell ref="AUC54:AUJ54"/>
    <mergeCell ref="AUK54:AUR54"/>
    <mergeCell ref="AUS54:AUZ54"/>
    <mergeCell ref="AVA54:AVH54"/>
    <mergeCell ref="AVI54:AVP54"/>
    <mergeCell ref="ASO54:ASV54"/>
    <mergeCell ref="ASW54:ATD54"/>
    <mergeCell ref="ATE54:ATL54"/>
    <mergeCell ref="ATM54:ATT54"/>
    <mergeCell ref="ATU54:AUB54"/>
    <mergeCell ref="BDI54:BDP54"/>
    <mergeCell ref="BDQ54:BDX54"/>
    <mergeCell ref="BDY54:BEF54"/>
    <mergeCell ref="BEG54:BEN54"/>
    <mergeCell ref="BEO54:BEV54"/>
    <mergeCell ref="BBU54:BCB54"/>
    <mergeCell ref="BCC54:BCJ54"/>
    <mergeCell ref="BCK54:BCR54"/>
    <mergeCell ref="BCS54:BCZ54"/>
    <mergeCell ref="BDA54:BDH54"/>
    <mergeCell ref="BAG54:BAN54"/>
    <mergeCell ref="BAO54:BAV54"/>
    <mergeCell ref="BAW54:BBD54"/>
    <mergeCell ref="BBE54:BBL54"/>
    <mergeCell ref="BBM54:BBT54"/>
    <mergeCell ref="AYS54:AYZ54"/>
    <mergeCell ref="AZA54:AZH54"/>
    <mergeCell ref="AZI54:AZP54"/>
    <mergeCell ref="AZQ54:AZX54"/>
    <mergeCell ref="AZY54:BAF54"/>
    <mergeCell ref="BJM54:BJT54"/>
    <mergeCell ref="BJU54:BKB54"/>
    <mergeCell ref="BKC54:BKJ54"/>
    <mergeCell ref="BKK54:BKR54"/>
    <mergeCell ref="BKS54:BKZ54"/>
    <mergeCell ref="BHY54:BIF54"/>
    <mergeCell ref="BIG54:BIN54"/>
    <mergeCell ref="BIO54:BIV54"/>
    <mergeCell ref="BIW54:BJD54"/>
    <mergeCell ref="BJE54:BJL54"/>
    <mergeCell ref="BGK54:BGR54"/>
    <mergeCell ref="BGS54:BGZ54"/>
    <mergeCell ref="BHA54:BHH54"/>
    <mergeCell ref="BHI54:BHP54"/>
    <mergeCell ref="BHQ54:BHX54"/>
    <mergeCell ref="BEW54:BFD54"/>
    <mergeCell ref="BFE54:BFL54"/>
    <mergeCell ref="BFM54:BFT54"/>
    <mergeCell ref="BFU54:BGB54"/>
    <mergeCell ref="BGC54:BGJ54"/>
    <mergeCell ref="BPQ54:BPX54"/>
    <mergeCell ref="BPY54:BQF54"/>
    <mergeCell ref="BQG54:BQN54"/>
    <mergeCell ref="BQO54:BQV54"/>
    <mergeCell ref="BQW54:BRD54"/>
    <mergeCell ref="BOC54:BOJ54"/>
    <mergeCell ref="BOK54:BOR54"/>
    <mergeCell ref="BOS54:BOZ54"/>
    <mergeCell ref="BPA54:BPH54"/>
    <mergeCell ref="BPI54:BPP54"/>
    <mergeCell ref="BMO54:BMV54"/>
    <mergeCell ref="BMW54:BND54"/>
    <mergeCell ref="BNE54:BNL54"/>
    <mergeCell ref="BNM54:BNT54"/>
    <mergeCell ref="BNU54:BOB54"/>
    <mergeCell ref="BLA54:BLH54"/>
    <mergeCell ref="BLI54:BLP54"/>
    <mergeCell ref="BLQ54:BLX54"/>
    <mergeCell ref="BLY54:BMF54"/>
    <mergeCell ref="BMG54:BMN54"/>
    <mergeCell ref="BVU54:BWB54"/>
    <mergeCell ref="BWC54:BWJ54"/>
    <mergeCell ref="BWK54:BWR54"/>
    <mergeCell ref="BWS54:BWZ54"/>
    <mergeCell ref="BXA54:BXH54"/>
    <mergeCell ref="BUG54:BUN54"/>
    <mergeCell ref="BUO54:BUV54"/>
    <mergeCell ref="BUW54:BVD54"/>
    <mergeCell ref="BVE54:BVL54"/>
    <mergeCell ref="BVM54:BVT54"/>
    <mergeCell ref="BSS54:BSZ54"/>
    <mergeCell ref="BTA54:BTH54"/>
    <mergeCell ref="BTI54:BTP54"/>
    <mergeCell ref="BTQ54:BTX54"/>
    <mergeCell ref="BTY54:BUF54"/>
    <mergeCell ref="BRE54:BRL54"/>
    <mergeCell ref="BRM54:BRT54"/>
    <mergeCell ref="BRU54:BSB54"/>
    <mergeCell ref="BSC54:BSJ54"/>
    <mergeCell ref="BSK54:BSR54"/>
    <mergeCell ref="CBY54:CCF54"/>
    <mergeCell ref="CCG54:CCN54"/>
    <mergeCell ref="CCO54:CCV54"/>
    <mergeCell ref="CCW54:CDD54"/>
    <mergeCell ref="CDE54:CDL54"/>
    <mergeCell ref="CAK54:CAR54"/>
    <mergeCell ref="CAS54:CAZ54"/>
    <mergeCell ref="CBA54:CBH54"/>
    <mergeCell ref="CBI54:CBP54"/>
    <mergeCell ref="CBQ54:CBX54"/>
    <mergeCell ref="BYW54:BZD54"/>
    <mergeCell ref="BZE54:BZL54"/>
    <mergeCell ref="BZM54:BZT54"/>
    <mergeCell ref="BZU54:CAB54"/>
    <mergeCell ref="CAC54:CAJ54"/>
    <mergeCell ref="BXI54:BXP54"/>
    <mergeCell ref="BXQ54:BXX54"/>
    <mergeCell ref="BXY54:BYF54"/>
    <mergeCell ref="BYG54:BYN54"/>
    <mergeCell ref="BYO54:BYV54"/>
    <mergeCell ref="CIC54:CIJ54"/>
    <mergeCell ref="CIK54:CIR54"/>
    <mergeCell ref="CIS54:CIZ54"/>
    <mergeCell ref="CJA54:CJH54"/>
    <mergeCell ref="CJI54:CJP54"/>
    <mergeCell ref="CGO54:CGV54"/>
    <mergeCell ref="CGW54:CHD54"/>
    <mergeCell ref="CHE54:CHL54"/>
    <mergeCell ref="CHM54:CHT54"/>
    <mergeCell ref="CHU54:CIB54"/>
    <mergeCell ref="CFA54:CFH54"/>
    <mergeCell ref="CFI54:CFP54"/>
    <mergeCell ref="CFQ54:CFX54"/>
    <mergeCell ref="CFY54:CGF54"/>
    <mergeCell ref="CGG54:CGN54"/>
    <mergeCell ref="CDM54:CDT54"/>
    <mergeCell ref="CDU54:CEB54"/>
    <mergeCell ref="CEC54:CEJ54"/>
    <mergeCell ref="CEK54:CER54"/>
    <mergeCell ref="CES54:CEZ54"/>
    <mergeCell ref="COG54:CON54"/>
    <mergeCell ref="COO54:COV54"/>
    <mergeCell ref="COW54:CPD54"/>
    <mergeCell ref="CPE54:CPL54"/>
    <mergeCell ref="CPM54:CPT54"/>
    <mergeCell ref="CMS54:CMZ54"/>
    <mergeCell ref="CNA54:CNH54"/>
    <mergeCell ref="CNI54:CNP54"/>
    <mergeCell ref="CNQ54:CNX54"/>
    <mergeCell ref="CNY54:COF54"/>
    <mergeCell ref="CLE54:CLL54"/>
    <mergeCell ref="CLM54:CLT54"/>
    <mergeCell ref="CLU54:CMB54"/>
    <mergeCell ref="CMC54:CMJ54"/>
    <mergeCell ref="CMK54:CMR54"/>
    <mergeCell ref="CJQ54:CJX54"/>
    <mergeCell ref="CJY54:CKF54"/>
    <mergeCell ref="CKG54:CKN54"/>
    <mergeCell ref="CKO54:CKV54"/>
    <mergeCell ref="CKW54:CLD54"/>
    <mergeCell ref="CUK54:CUR54"/>
    <mergeCell ref="CUS54:CUZ54"/>
    <mergeCell ref="CVA54:CVH54"/>
    <mergeCell ref="CVI54:CVP54"/>
    <mergeCell ref="CVQ54:CVX54"/>
    <mergeCell ref="CSW54:CTD54"/>
    <mergeCell ref="CTE54:CTL54"/>
    <mergeCell ref="CTM54:CTT54"/>
    <mergeCell ref="CTU54:CUB54"/>
    <mergeCell ref="CUC54:CUJ54"/>
    <mergeCell ref="CRI54:CRP54"/>
    <mergeCell ref="CRQ54:CRX54"/>
    <mergeCell ref="CRY54:CSF54"/>
    <mergeCell ref="CSG54:CSN54"/>
    <mergeCell ref="CSO54:CSV54"/>
    <mergeCell ref="CPU54:CQB54"/>
    <mergeCell ref="CQC54:CQJ54"/>
    <mergeCell ref="CQK54:CQR54"/>
    <mergeCell ref="CQS54:CQZ54"/>
    <mergeCell ref="CRA54:CRH54"/>
    <mergeCell ref="DAO54:DAV54"/>
    <mergeCell ref="DAW54:DBD54"/>
    <mergeCell ref="DBE54:DBL54"/>
    <mergeCell ref="DBM54:DBT54"/>
    <mergeCell ref="DBU54:DCB54"/>
    <mergeCell ref="CZA54:CZH54"/>
    <mergeCell ref="CZI54:CZP54"/>
    <mergeCell ref="CZQ54:CZX54"/>
    <mergeCell ref="CZY54:DAF54"/>
    <mergeCell ref="DAG54:DAN54"/>
    <mergeCell ref="CXM54:CXT54"/>
    <mergeCell ref="CXU54:CYB54"/>
    <mergeCell ref="CYC54:CYJ54"/>
    <mergeCell ref="CYK54:CYR54"/>
    <mergeCell ref="CYS54:CYZ54"/>
    <mergeCell ref="CVY54:CWF54"/>
    <mergeCell ref="CWG54:CWN54"/>
    <mergeCell ref="CWO54:CWV54"/>
    <mergeCell ref="CWW54:CXD54"/>
    <mergeCell ref="CXE54:CXL54"/>
    <mergeCell ref="DGS54:DGZ54"/>
    <mergeCell ref="DHA54:DHH54"/>
    <mergeCell ref="DHI54:DHP54"/>
    <mergeCell ref="DHQ54:DHX54"/>
    <mergeCell ref="DHY54:DIF54"/>
    <mergeCell ref="DFE54:DFL54"/>
    <mergeCell ref="DFM54:DFT54"/>
    <mergeCell ref="DFU54:DGB54"/>
    <mergeCell ref="DGC54:DGJ54"/>
    <mergeCell ref="DGK54:DGR54"/>
    <mergeCell ref="DDQ54:DDX54"/>
    <mergeCell ref="DDY54:DEF54"/>
    <mergeCell ref="DEG54:DEN54"/>
    <mergeCell ref="DEO54:DEV54"/>
    <mergeCell ref="DEW54:DFD54"/>
    <mergeCell ref="DCC54:DCJ54"/>
    <mergeCell ref="DCK54:DCR54"/>
    <mergeCell ref="DCS54:DCZ54"/>
    <mergeCell ref="DDA54:DDH54"/>
    <mergeCell ref="DDI54:DDP54"/>
    <mergeCell ref="DMW54:DND54"/>
    <mergeCell ref="DNE54:DNL54"/>
    <mergeCell ref="DNM54:DNT54"/>
    <mergeCell ref="DNU54:DOB54"/>
    <mergeCell ref="DOC54:DOJ54"/>
    <mergeCell ref="DLI54:DLP54"/>
    <mergeCell ref="DLQ54:DLX54"/>
    <mergeCell ref="DLY54:DMF54"/>
    <mergeCell ref="DMG54:DMN54"/>
    <mergeCell ref="DMO54:DMV54"/>
    <mergeCell ref="DJU54:DKB54"/>
    <mergeCell ref="DKC54:DKJ54"/>
    <mergeCell ref="DKK54:DKR54"/>
    <mergeCell ref="DKS54:DKZ54"/>
    <mergeCell ref="DLA54:DLH54"/>
    <mergeCell ref="DIG54:DIN54"/>
    <mergeCell ref="DIO54:DIV54"/>
    <mergeCell ref="DIW54:DJD54"/>
    <mergeCell ref="DJE54:DJL54"/>
    <mergeCell ref="DJM54:DJT54"/>
    <mergeCell ref="DTA54:DTH54"/>
    <mergeCell ref="DTI54:DTP54"/>
    <mergeCell ref="DTQ54:DTX54"/>
    <mergeCell ref="DTY54:DUF54"/>
    <mergeCell ref="DUG54:DUN54"/>
    <mergeCell ref="DRM54:DRT54"/>
    <mergeCell ref="DRU54:DSB54"/>
    <mergeCell ref="DSC54:DSJ54"/>
    <mergeCell ref="DSK54:DSR54"/>
    <mergeCell ref="DSS54:DSZ54"/>
    <mergeCell ref="DPY54:DQF54"/>
    <mergeCell ref="DQG54:DQN54"/>
    <mergeCell ref="DQO54:DQV54"/>
    <mergeCell ref="DQW54:DRD54"/>
    <mergeCell ref="DRE54:DRL54"/>
    <mergeCell ref="DOK54:DOR54"/>
    <mergeCell ref="DOS54:DOZ54"/>
    <mergeCell ref="DPA54:DPH54"/>
    <mergeCell ref="DPI54:DPP54"/>
    <mergeCell ref="DPQ54:DPX54"/>
    <mergeCell ref="DZE54:DZL54"/>
    <mergeCell ref="DZM54:DZT54"/>
    <mergeCell ref="DZU54:EAB54"/>
    <mergeCell ref="EAC54:EAJ54"/>
    <mergeCell ref="EAK54:EAR54"/>
    <mergeCell ref="DXQ54:DXX54"/>
    <mergeCell ref="DXY54:DYF54"/>
    <mergeCell ref="DYG54:DYN54"/>
    <mergeCell ref="DYO54:DYV54"/>
    <mergeCell ref="DYW54:DZD54"/>
    <mergeCell ref="DWC54:DWJ54"/>
    <mergeCell ref="DWK54:DWR54"/>
    <mergeCell ref="DWS54:DWZ54"/>
    <mergeCell ref="DXA54:DXH54"/>
    <mergeCell ref="DXI54:DXP54"/>
    <mergeCell ref="DUO54:DUV54"/>
    <mergeCell ref="DUW54:DVD54"/>
    <mergeCell ref="DVE54:DVL54"/>
    <mergeCell ref="DVM54:DVT54"/>
    <mergeCell ref="DVU54:DWB54"/>
    <mergeCell ref="EFI54:EFP54"/>
    <mergeCell ref="EFQ54:EFX54"/>
    <mergeCell ref="EFY54:EGF54"/>
    <mergeCell ref="EGG54:EGN54"/>
    <mergeCell ref="EGO54:EGV54"/>
    <mergeCell ref="EDU54:EEB54"/>
    <mergeCell ref="EEC54:EEJ54"/>
    <mergeCell ref="EEK54:EER54"/>
    <mergeCell ref="EES54:EEZ54"/>
    <mergeCell ref="EFA54:EFH54"/>
    <mergeCell ref="ECG54:ECN54"/>
    <mergeCell ref="ECO54:ECV54"/>
    <mergeCell ref="ECW54:EDD54"/>
    <mergeCell ref="EDE54:EDL54"/>
    <mergeCell ref="EDM54:EDT54"/>
    <mergeCell ref="EAS54:EAZ54"/>
    <mergeCell ref="EBA54:EBH54"/>
    <mergeCell ref="EBI54:EBP54"/>
    <mergeCell ref="EBQ54:EBX54"/>
    <mergeCell ref="EBY54:ECF54"/>
    <mergeCell ref="ELM54:ELT54"/>
    <mergeCell ref="ELU54:EMB54"/>
    <mergeCell ref="EMC54:EMJ54"/>
    <mergeCell ref="EMK54:EMR54"/>
    <mergeCell ref="EMS54:EMZ54"/>
    <mergeCell ref="EJY54:EKF54"/>
    <mergeCell ref="EKG54:EKN54"/>
    <mergeCell ref="EKO54:EKV54"/>
    <mergeCell ref="EKW54:ELD54"/>
    <mergeCell ref="ELE54:ELL54"/>
    <mergeCell ref="EIK54:EIR54"/>
    <mergeCell ref="EIS54:EIZ54"/>
    <mergeCell ref="EJA54:EJH54"/>
    <mergeCell ref="EJI54:EJP54"/>
    <mergeCell ref="EJQ54:EJX54"/>
    <mergeCell ref="EGW54:EHD54"/>
    <mergeCell ref="EHE54:EHL54"/>
    <mergeCell ref="EHM54:EHT54"/>
    <mergeCell ref="EHU54:EIB54"/>
    <mergeCell ref="EIC54:EIJ54"/>
    <mergeCell ref="ERQ54:ERX54"/>
    <mergeCell ref="ERY54:ESF54"/>
    <mergeCell ref="ESG54:ESN54"/>
    <mergeCell ref="ESO54:ESV54"/>
    <mergeCell ref="ESW54:ETD54"/>
    <mergeCell ref="EQC54:EQJ54"/>
    <mergeCell ref="EQK54:EQR54"/>
    <mergeCell ref="EQS54:EQZ54"/>
    <mergeCell ref="ERA54:ERH54"/>
    <mergeCell ref="ERI54:ERP54"/>
    <mergeCell ref="EOO54:EOV54"/>
    <mergeCell ref="EOW54:EPD54"/>
    <mergeCell ref="EPE54:EPL54"/>
    <mergeCell ref="EPM54:EPT54"/>
    <mergeCell ref="EPU54:EQB54"/>
    <mergeCell ref="ENA54:ENH54"/>
    <mergeCell ref="ENI54:ENP54"/>
    <mergeCell ref="ENQ54:ENX54"/>
    <mergeCell ref="ENY54:EOF54"/>
    <mergeCell ref="EOG54:EON54"/>
    <mergeCell ref="EXU54:EYB54"/>
    <mergeCell ref="EYC54:EYJ54"/>
    <mergeCell ref="EYK54:EYR54"/>
    <mergeCell ref="EYS54:EYZ54"/>
    <mergeCell ref="EZA54:EZH54"/>
    <mergeCell ref="EWG54:EWN54"/>
    <mergeCell ref="EWO54:EWV54"/>
    <mergeCell ref="EWW54:EXD54"/>
    <mergeCell ref="EXE54:EXL54"/>
    <mergeCell ref="EXM54:EXT54"/>
    <mergeCell ref="EUS54:EUZ54"/>
    <mergeCell ref="EVA54:EVH54"/>
    <mergeCell ref="EVI54:EVP54"/>
    <mergeCell ref="EVQ54:EVX54"/>
    <mergeCell ref="EVY54:EWF54"/>
    <mergeCell ref="ETE54:ETL54"/>
    <mergeCell ref="ETM54:ETT54"/>
    <mergeCell ref="ETU54:EUB54"/>
    <mergeCell ref="EUC54:EUJ54"/>
    <mergeCell ref="EUK54:EUR54"/>
    <mergeCell ref="FDY54:FEF54"/>
    <mergeCell ref="FEG54:FEN54"/>
    <mergeCell ref="FEO54:FEV54"/>
    <mergeCell ref="FEW54:FFD54"/>
    <mergeCell ref="FFE54:FFL54"/>
    <mergeCell ref="FCK54:FCR54"/>
    <mergeCell ref="FCS54:FCZ54"/>
    <mergeCell ref="FDA54:FDH54"/>
    <mergeCell ref="FDI54:FDP54"/>
    <mergeCell ref="FDQ54:FDX54"/>
    <mergeCell ref="FAW54:FBD54"/>
    <mergeCell ref="FBE54:FBL54"/>
    <mergeCell ref="FBM54:FBT54"/>
    <mergeCell ref="FBU54:FCB54"/>
    <mergeCell ref="FCC54:FCJ54"/>
    <mergeCell ref="EZI54:EZP54"/>
    <mergeCell ref="EZQ54:EZX54"/>
    <mergeCell ref="EZY54:FAF54"/>
    <mergeCell ref="FAG54:FAN54"/>
    <mergeCell ref="FAO54:FAV54"/>
    <mergeCell ref="FKC54:FKJ54"/>
    <mergeCell ref="FKK54:FKR54"/>
    <mergeCell ref="FKS54:FKZ54"/>
    <mergeCell ref="FLA54:FLH54"/>
    <mergeCell ref="FLI54:FLP54"/>
    <mergeCell ref="FIO54:FIV54"/>
    <mergeCell ref="FIW54:FJD54"/>
    <mergeCell ref="FJE54:FJL54"/>
    <mergeCell ref="FJM54:FJT54"/>
    <mergeCell ref="FJU54:FKB54"/>
    <mergeCell ref="FHA54:FHH54"/>
    <mergeCell ref="FHI54:FHP54"/>
    <mergeCell ref="FHQ54:FHX54"/>
    <mergeCell ref="FHY54:FIF54"/>
    <mergeCell ref="FIG54:FIN54"/>
    <mergeCell ref="FFM54:FFT54"/>
    <mergeCell ref="FFU54:FGB54"/>
    <mergeCell ref="FGC54:FGJ54"/>
    <mergeCell ref="FGK54:FGR54"/>
    <mergeCell ref="FGS54:FGZ54"/>
    <mergeCell ref="FQG54:FQN54"/>
    <mergeCell ref="FQO54:FQV54"/>
    <mergeCell ref="FQW54:FRD54"/>
    <mergeCell ref="FRE54:FRL54"/>
    <mergeCell ref="FRM54:FRT54"/>
    <mergeCell ref="FOS54:FOZ54"/>
    <mergeCell ref="FPA54:FPH54"/>
    <mergeCell ref="FPI54:FPP54"/>
    <mergeCell ref="FPQ54:FPX54"/>
    <mergeCell ref="FPY54:FQF54"/>
    <mergeCell ref="FNE54:FNL54"/>
    <mergeCell ref="FNM54:FNT54"/>
    <mergeCell ref="FNU54:FOB54"/>
    <mergeCell ref="FOC54:FOJ54"/>
    <mergeCell ref="FOK54:FOR54"/>
    <mergeCell ref="FLQ54:FLX54"/>
    <mergeCell ref="FLY54:FMF54"/>
    <mergeCell ref="FMG54:FMN54"/>
    <mergeCell ref="FMO54:FMV54"/>
    <mergeCell ref="FMW54:FND54"/>
    <mergeCell ref="FWK54:FWR54"/>
    <mergeCell ref="FWS54:FWZ54"/>
    <mergeCell ref="FXA54:FXH54"/>
    <mergeCell ref="FXI54:FXP54"/>
    <mergeCell ref="FXQ54:FXX54"/>
    <mergeCell ref="FUW54:FVD54"/>
    <mergeCell ref="FVE54:FVL54"/>
    <mergeCell ref="FVM54:FVT54"/>
    <mergeCell ref="FVU54:FWB54"/>
    <mergeCell ref="FWC54:FWJ54"/>
    <mergeCell ref="FTI54:FTP54"/>
    <mergeCell ref="FTQ54:FTX54"/>
    <mergeCell ref="FTY54:FUF54"/>
    <mergeCell ref="FUG54:FUN54"/>
    <mergeCell ref="FUO54:FUV54"/>
    <mergeCell ref="FRU54:FSB54"/>
    <mergeCell ref="FSC54:FSJ54"/>
    <mergeCell ref="FSK54:FSR54"/>
    <mergeCell ref="FSS54:FSZ54"/>
    <mergeCell ref="FTA54:FTH54"/>
    <mergeCell ref="GCO54:GCV54"/>
    <mergeCell ref="GCW54:GDD54"/>
    <mergeCell ref="GDE54:GDL54"/>
    <mergeCell ref="GDM54:GDT54"/>
    <mergeCell ref="GDU54:GEB54"/>
    <mergeCell ref="GBA54:GBH54"/>
    <mergeCell ref="GBI54:GBP54"/>
    <mergeCell ref="GBQ54:GBX54"/>
    <mergeCell ref="GBY54:GCF54"/>
    <mergeCell ref="GCG54:GCN54"/>
    <mergeCell ref="FZM54:FZT54"/>
    <mergeCell ref="FZU54:GAB54"/>
    <mergeCell ref="GAC54:GAJ54"/>
    <mergeCell ref="GAK54:GAR54"/>
    <mergeCell ref="GAS54:GAZ54"/>
    <mergeCell ref="FXY54:FYF54"/>
    <mergeCell ref="FYG54:FYN54"/>
    <mergeCell ref="FYO54:FYV54"/>
    <mergeCell ref="FYW54:FZD54"/>
    <mergeCell ref="FZE54:FZL54"/>
    <mergeCell ref="GIS54:GIZ54"/>
    <mergeCell ref="GJA54:GJH54"/>
    <mergeCell ref="GJI54:GJP54"/>
    <mergeCell ref="GJQ54:GJX54"/>
    <mergeCell ref="GJY54:GKF54"/>
    <mergeCell ref="GHE54:GHL54"/>
    <mergeCell ref="GHM54:GHT54"/>
    <mergeCell ref="GHU54:GIB54"/>
    <mergeCell ref="GIC54:GIJ54"/>
    <mergeCell ref="GIK54:GIR54"/>
    <mergeCell ref="GFQ54:GFX54"/>
    <mergeCell ref="GFY54:GGF54"/>
    <mergeCell ref="GGG54:GGN54"/>
    <mergeCell ref="GGO54:GGV54"/>
    <mergeCell ref="GGW54:GHD54"/>
    <mergeCell ref="GEC54:GEJ54"/>
    <mergeCell ref="GEK54:GER54"/>
    <mergeCell ref="GES54:GEZ54"/>
    <mergeCell ref="GFA54:GFH54"/>
    <mergeCell ref="GFI54:GFP54"/>
    <mergeCell ref="GOW54:GPD54"/>
    <mergeCell ref="GPE54:GPL54"/>
    <mergeCell ref="GPM54:GPT54"/>
    <mergeCell ref="GPU54:GQB54"/>
    <mergeCell ref="GQC54:GQJ54"/>
    <mergeCell ref="GNI54:GNP54"/>
    <mergeCell ref="GNQ54:GNX54"/>
    <mergeCell ref="GNY54:GOF54"/>
    <mergeCell ref="GOG54:GON54"/>
    <mergeCell ref="GOO54:GOV54"/>
    <mergeCell ref="GLU54:GMB54"/>
    <mergeCell ref="GMC54:GMJ54"/>
    <mergeCell ref="GMK54:GMR54"/>
    <mergeCell ref="GMS54:GMZ54"/>
    <mergeCell ref="GNA54:GNH54"/>
    <mergeCell ref="GKG54:GKN54"/>
    <mergeCell ref="GKO54:GKV54"/>
    <mergeCell ref="GKW54:GLD54"/>
    <mergeCell ref="GLE54:GLL54"/>
    <mergeCell ref="GLM54:GLT54"/>
    <mergeCell ref="GVA54:GVH54"/>
    <mergeCell ref="GVI54:GVP54"/>
    <mergeCell ref="GVQ54:GVX54"/>
    <mergeCell ref="GVY54:GWF54"/>
    <mergeCell ref="GWG54:GWN54"/>
    <mergeCell ref="GTM54:GTT54"/>
    <mergeCell ref="GTU54:GUB54"/>
    <mergeCell ref="GUC54:GUJ54"/>
    <mergeCell ref="GUK54:GUR54"/>
    <mergeCell ref="GUS54:GUZ54"/>
    <mergeCell ref="GRY54:GSF54"/>
    <mergeCell ref="GSG54:GSN54"/>
    <mergeCell ref="GSO54:GSV54"/>
    <mergeCell ref="GSW54:GTD54"/>
    <mergeCell ref="GTE54:GTL54"/>
    <mergeCell ref="GQK54:GQR54"/>
    <mergeCell ref="GQS54:GQZ54"/>
    <mergeCell ref="GRA54:GRH54"/>
    <mergeCell ref="GRI54:GRP54"/>
    <mergeCell ref="GRQ54:GRX54"/>
    <mergeCell ref="HBE54:HBL54"/>
    <mergeCell ref="HBM54:HBT54"/>
    <mergeCell ref="HBU54:HCB54"/>
    <mergeCell ref="HCC54:HCJ54"/>
    <mergeCell ref="HCK54:HCR54"/>
    <mergeCell ref="GZQ54:GZX54"/>
    <mergeCell ref="GZY54:HAF54"/>
    <mergeCell ref="HAG54:HAN54"/>
    <mergeCell ref="HAO54:HAV54"/>
    <mergeCell ref="HAW54:HBD54"/>
    <mergeCell ref="GYC54:GYJ54"/>
    <mergeCell ref="GYK54:GYR54"/>
    <mergeCell ref="GYS54:GYZ54"/>
    <mergeCell ref="GZA54:GZH54"/>
    <mergeCell ref="GZI54:GZP54"/>
    <mergeCell ref="GWO54:GWV54"/>
    <mergeCell ref="GWW54:GXD54"/>
    <mergeCell ref="GXE54:GXL54"/>
    <mergeCell ref="GXM54:GXT54"/>
    <mergeCell ref="GXU54:GYB54"/>
    <mergeCell ref="HHI54:HHP54"/>
    <mergeCell ref="HHQ54:HHX54"/>
    <mergeCell ref="HHY54:HIF54"/>
    <mergeCell ref="HIG54:HIN54"/>
    <mergeCell ref="HIO54:HIV54"/>
    <mergeCell ref="HFU54:HGB54"/>
    <mergeCell ref="HGC54:HGJ54"/>
    <mergeCell ref="HGK54:HGR54"/>
    <mergeCell ref="HGS54:HGZ54"/>
    <mergeCell ref="HHA54:HHH54"/>
    <mergeCell ref="HEG54:HEN54"/>
    <mergeCell ref="HEO54:HEV54"/>
    <mergeCell ref="HEW54:HFD54"/>
    <mergeCell ref="HFE54:HFL54"/>
    <mergeCell ref="HFM54:HFT54"/>
    <mergeCell ref="HCS54:HCZ54"/>
    <mergeCell ref="HDA54:HDH54"/>
    <mergeCell ref="HDI54:HDP54"/>
    <mergeCell ref="HDQ54:HDX54"/>
    <mergeCell ref="HDY54:HEF54"/>
    <mergeCell ref="HNM54:HNT54"/>
    <mergeCell ref="HNU54:HOB54"/>
    <mergeCell ref="HOC54:HOJ54"/>
    <mergeCell ref="HOK54:HOR54"/>
    <mergeCell ref="HOS54:HOZ54"/>
    <mergeCell ref="HLY54:HMF54"/>
    <mergeCell ref="HMG54:HMN54"/>
    <mergeCell ref="HMO54:HMV54"/>
    <mergeCell ref="HMW54:HND54"/>
    <mergeCell ref="HNE54:HNL54"/>
    <mergeCell ref="HKK54:HKR54"/>
    <mergeCell ref="HKS54:HKZ54"/>
    <mergeCell ref="HLA54:HLH54"/>
    <mergeCell ref="HLI54:HLP54"/>
    <mergeCell ref="HLQ54:HLX54"/>
    <mergeCell ref="HIW54:HJD54"/>
    <mergeCell ref="HJE54:HJL54"/>
    <mergeCell ref="HJM54:HJT54"/>
    <mergeCell ref="HJU54:HKB54"/>
    <mergeCell ref="HKC54:HKJ54"/>
    <mergeCell ref="HTQ54:HTX54"/>
    <mergeCell ref="HTY54:HUF54"/>
    <mergeCell ref="HUG54:HUN54"/>
    <mergeCell ref="HUO54:HUV54"/>
    <mergeCell ref="HUW54:HVD54"/>
    <mergeCell ref="HSC54:HSJ54"/>
    <mergeCell ref="HSK54:HSR54"/>
    <mergeCell ref="HSS54:HSZ54"/>
    <mergeCell ref="HTA54:HTH54"/>
    <mergeCell ref="HTI54:HTP54"/>
    <mergeCell ref="HQO54:HQV54"/>
    <mergeCell ref="HQW54:HRD54"/>
    <mergeCell ref="HRE54:HRL54"/>
    <mergeCell ref="HRM54:HRT54"/>
    <mergeCell ref="HRU54:HSB54"/>
    <mergeCell ref="HPA54:HPH54"/>
    <mergeCell ref="HPI54:HPP54"/>
    <mergeCell ref="HPQ54:HPX54"/>
    <mergeCell ref="HPY54:HQF54"/>
    <mergeCell ref="HQG54:HQN54"/>
    <mergeCell ref="HZU54:IAB54"/>
    <mergeCell ref="IAC54:IAJ54"/>
    <mergeCell ref="IAK54:IAR54"/>
    <mergeCell ref="IAS54:IAZ54"/>
    <mergeCell ref="IBA54:IBH54"/>
    <mergeCell ref="HYG54:HYN54"/>
    <mergeCell ref="HYO54:HYV54"/>
    <mergeCell ref="HYW54:HZD54"/>
    <mergeCell ref="HZE54:HZL54"/>
    <mergeCell ref="HZM54:HZT54"/>
    <mergeCell ref="HWS54:HWZ54"/>
    <mergeCell ref="HXA54:HXH54"/>
    <mergeCell ref="HXI54:HXP54"/>
    <mergeCell ref="HXQ54:HXX54"/>
    <mergeCell ref="HXY54:HYF54"/>
    <mergeCell ref="HVE54:HVL54"/>
    <mergeCell ref="HVM54:HVT54"/>
    <mergeCell ref="HVU54:HWB54"/>
    <mergeCell ref="HWC54:HWJ54"/>
    <mergeCell ref="HWK54:HWR54"/>
    <mergeCell ref="IFY54:IGF54"/>
    <mergeCell ref="IGG54:IGN54"/>
    <mergeCell ref="IGO54:IGV54"/>
    <mergeCell ref="IGW54:IHD54"/>
    <mergeCell ref="IHE54:IHL54"/>
    <mergeCell ref="IEK54:IER54"/>
    <mergeCell ref="IES54:IEZ54"/>
    <mergeCell ref="IFA54:IFH54"/>
    <mergeCell ref="IFI54:IFP54"/>
    <mergeCell ref="IFQ54:IFX54"/>
    <mergeCell ref="ICW54:IDD54"/>
    <mergeCell ref="IDE54:IDL54"/>
    <mergeCell ref="IDM54:IDT54"/>
    <mergeCell ref="IDU54:IEB54"/>
    <mergeCell ref="IEC54:IEJ54"/>
    <mergeCell ref="IBI54:IBP54"/>
    <mergeCell ref="IBQ54:IBX54"/>
    <mergeCell ref="IBY54:ICF54"/>
    <mergeCell ref="ICG54:ICN54"/>
    <mergeCell ref="ICO54:ICV54"/>
    <mergeCell ref="IMC54:IMJ54"/>
    <mergeCell ref="IMK54:IMR54"/>
    <mergeCell ref="IMS54:IMZ54"/>
    <mergeCell ref="INA54:INH54"/>
    <mergeCell ref="INI54:INP54"/>
    <mergeCell ref="IKO54:IKV54"/>
    <mergeCell ref="IKW54:ILD54"/>
    <mergeCell ref="ILE54:ILL54"/>
    <mergeCell ref="ILM54:ILT54"/>
    <mergeCell ref="ILU54:IMB54"/>
    <mergeCell ref="IJA54:IJH54"/>
    <mergeCell ref="IJI54:IJP54"/>
    <mergeCell ref="IJQ54:IJX54"/>
    <mergeCell ref="IJY54:IKF54"/>
    <mergeCell ref="IKG54:IKN54"/>
    <mergeCell ref="IHM54:IHT54"/>
    <mergeCell ref="IHU54:IIB54"/>
    <mergeCell ref="IIC54:IIJ54"/>
    <mergeCell ref="IIK54:IIR54"/>
    <mergeCell ref="IIS54:IIZ54"/>
    <mergeCell ref="ISG54:ISN54"/>
    <mergeCell ref="ISO54:ISV54"/>
    <mergeCell ref="ISW54:ITD54"/>
    <mergeCell ref="ITE54:ITL54"/>
    <mergeCell ref="ITM54:ITT54"/>
    <mergeCell ref="IQS54:IQZ54"/>
    <mergeCell ref="IRA54:IRH54"/>
    <mergeCell ref="IRI54:IRP54"/>
    <mergeCell ref="IRQ54:IRX54"/>
    <mergeCell ref="IRY54:ISF54"/>
    <mergeCell ref="IPE54:IPL54"/>
    <mergeCell ref="IPM54:IPT54"/>
    <mergeCell ref="IPU54:IQB54"/>
    <mergeCell ref="IQC54:IQJ54"/>
    <mergeCell ref="IQK54:IQR54"/>
    <mergeCell ref="INQ54:INX54"/>
    <mergeCell ref="INY54:IOF54"/>
    <mergeCell ref="IOG54:ION54"/>
    <mergeCell ref="IOO54:IOV54"/>
    <mergeCell ref="IOW54:IPD54"/>
    <mergeCell ref="IYK54:IYR54"/>
    <mergeCell ref="IYS54:IYZ54"/>
    <mergeCell ref="IZA54:IZH54"/>
    <mergeCell ref="IZI54:IZP54"/>
    <mergeCell ref="IZQ54:IZX54"/>
    <mergeCell ref="IWW54:IXD54"/>
    <mergeCell ref="IXE54:IXL54"/>
    <mergeCell ref="IXM54:IXT54"/>
    <mergeCell ref="IXU54:IYB54"/>
    <mergeCell ref="IYC54:IYJ54"/>
    <mergeCell ref="IVI54:IVP54"/>
    <mergeCell ref="IVQ54:IVX54"/>
    <mergeCell ref="IVY54:IWF54"/>
    <mergeCell ref="IWG54:IWN54"/>
    <mergeCell ref="IWO54:IWV54"/>
    <mergeCell ref="ITU54:IUB54"/>
    <mergeCell ref="IUC54:IUJ54"/>
    <mergeCell ref="IUK54:IUR54"/>
    <mergeCell ref="IUS54:IUZ54"/>
    <mergeCell ref="IVA54:IVH54"/>
    <mergeCell ref="JEO54:JEV54"/>
    <mergeCell ref="JEW54:JFD54"/>
    <mergeCell ref="JFE54:JFL54"/>
    <mergeCell ref="JFM54:JFT54"/>
    <mergeCell ref="JFU54:JGB54"/>
    <mergeCell ref="JDA54:JDH54"/>
    <mergeCell ref="JDI54:JDP54"/>
    <mergeCell ref="JDQ54:JDX54"/>
    <mergeCell ref="JDY54:JEF54"/>
    <mergeCell ref="JEG54:JEN54"/>
    <mergeCell ref="JBM54:JBT54"/>
    <mergeCell ref="JBU54:JCB54"/>
    <mergeCell ref="JCC54:JCJ54"/>
    <mergeCell ref="JCK54:JCR54"/>
    <mergeCell ref="JCS54:JCZ54"/>
    <mergeCell ref="IZY54:JAF54"/>
    <mergeCell ref="JAG54:JAN54"/>
    <mergeCell ref="JAO54:JAV54"/>
    <mergeCell ref="JAW54:JBD54"/>
    <mergeCell ref="JBE54:JBL54"/>
    <mergeCell ref="JKS54:JKZ54"/>
    <mergeCell ref="JLA54:JLH54"/>
    <mergeCell ref="JLI54:JLP54"/>
    <mergeCell ref="JLQ54:JLX54"/>
    <mergeCell ref="JLY54:JMF54"/>
    <mergeCell ref="JJE54:JJL54"/>
    <mergeCell ref="JJM54:JJT54"/>
    <mergeCell ref="JJU54:JKB54"/>
    <mergeCell ref="JKC54:JKJ54"/>
    <mergeCell ref="JKK54:JKR54"/>
    <mergeCell ref="JHQ54:JHX54"/>
    <mergeCell ref="JHY54:JIF54"/>
    <mergeCell ref="JIG54:JIN54"/>
    <mergeCell ref="JIO54:JIV54"/>
    <mergeCell ref="JIW54:JJD54"/>
    <mergeCell ref="JGC54:JGJ54"/>
    <mergeCell ref="JGK54:JGR54"/>
    <mergeCell ref="JGS54:JGZ54"/>
    <mergeCell ref="JHA54:JHH54"/>
    <mergeCell ref="JHI54:JHP54"/>
    <mergeCell ref="JQW54:JRD54"/>
    <mergeCell ref="JRE54:JRL54"/>
    <mergeCell ref="JRM54:JRT54"/>
    <mergeCell ref="JRU54:JSB54"/>
    <mergeCell ref="JSC54:JSJ54"/>
    <mergeCell ref="JPI54:JPP54"/>
    <mergeCell ref="JPQ54:JPX54"/>
    <mergeCell ref="JPY54:JQF54"/>
    <mergeCell ref="JQG54:JQN54"/>
    <mergeCell ref="JQO54:JQV54"/>
    <mergeCell ref="JNU54:JOB54"/>
    <mergeCell ref="JOC54:JOJ54"/>
    <mergeCell ref="JOK54:JOR54"/>
    <mergeCell ref="JOS54:JOZ54"/>
    <mergeCell ref="JPA54:JPH54"/>
    <mergeCell ref="JMG54:JMN54"/>
    <mergeCell ref="JMO54:JMV54"/>
    <mergeCell ref="JMW54:JND54"/>
    <mergeCell ref="JNE54:JNL54"/>
    <mergeCell ref="JNM54:JNT54"/>
    <mergeCell ref="JXA54:JXH54"/>
    <mergeCell ref="JXI54:JXP54"/>
    <mergeCell ref="JXQ54:JXX54"/>
    <mergeCell ref="JXY54:JYF54"/>
    <mergeCell ref="JYG54:JYN54"/>
    <mergeCell ref="JVM54:JVT54"/>
    <mergeCell ref="JVU54:JWB54"/>
    <mergeCell ref="JWC54:JWJ54"/>
    <mergeCell ref="JWK54:JWR54"/>
    <mergeCell ref="JWS54:JWZ54"/>
    <mergeCell ref="JTY54:JUF54"/>
    <mergeCell ref="JUG54:JUN54"/>
    <mergeCell ref="JUO54:JUV54"/>
    <mergeCell ref="JUW54:JVD54"/>
    <mergeCell ref="JVE54:JVL54"/>
    <mergeCell ref="JSK54:JSR54"/>
    <mergeCell ref="JSS54:JSZ54"/>
    <mergeCell ref="JTA54:JTH54"/>
    <mergeCell ref="JTI54:JTP54"/>
    <mergeCell ref="JTQ54:JTX54"/>
    <mergeCell ref="KDE54:KDL54"/>
    <mergeCell ref="KDM54:KDT54"/>
    <mergeCell ref="KDU54:KEB54"/>
    <mergeCell ref="KEC54:KEJ54"/>
    <mergeCell ref="KEK54:KER54"/>
    <mergeCell ref="KBQ54:KBX54"/>
    <mergeCell ref="KBY54:KCF54"/>
    <mergeCell ref="KCG54:KCN54"/>
    <mergeCell ref="KCO54:KCV54"/>
    <mergeCell ref="KCW54:KDD54"/>
    <mergeCell ref="KAC54:KAJ54"/>
    <mergeCell ref="KAK54:KAR54"/>
    <mergeCell ref="KAS54:KAZ54"/>
    <mergeCell ref="KBA54:KBH54"/>
    <mergeCell ref="KBI54:KBP54"/>
    <mergeCell ref="JYO54:JYV54"/>
    <mergeCell ref="JYW54:JZD54"/>
    <mergeCell ref="JZE54:JZL54"/>
    <mergeCell ref="JZM54:JZT54"/>
    <mergeCell ref="JZU54:KAB54"/>
    <mergeCell ref="KJI54:KJP54"/>
    <mergeCell ref="KJQ54:KJX54"/>
    <mergeCell ref="KJY54:KKF54"/>
    <mergeCell ref="KKG54:KKN54"/>
    <mergeCell ref="KKO54:KKV54"/>
    <mergeCell ref="KHU54:KIB54"/>
    <mergeCell ref="KIC54:KIJ54"/>
    <mergeCell ref="KIK54:KIR54"/>
    <mergeCell ref="KIS54:KIZ54"/>
    <mergeCell ref="KJA54:KJH54"/>
    <mergeCell ref="KGG54:KGN54"/>
    <mergeCell ref="KGO54:KGV54"/>
    <mergeCell ref="KGW54:KHD54"/>
    <mergeCell ref="KHE54:KHL54"/>
    <mergeCell ref="KHM54:KHT54"/>
    <mergeCell ref="KES54:KEZ54"/>
    <mergeCell ref="KFA54:KFH54"/>
    <mergeCell ref="KFI54:KFP54"/>
    <mergeCell ref="KFQ54:KFX54"/>
    <mergeCell ref="KFY54:KGF54"/>
    <mergeCell ref="KPM54:KPT54"/>
    <mergeCell ref="KPU54:KQB54"/>
    <mergeCell ref="KQC54:KQJ54"/>
    <mergeCell ref="KQK54:KQR54"/>
    <mergeCell ref="KQS54:KQZ54"/>
    <mergeCell ref="KNY54:KOF54"/>
    <mergeCell ref="KOG54:KON54"/>
    <mergeCell ref="KOO54:KOV54"/>
    <mergeCell ref="KOW54:KPD54"/>
    <mergeCell ref="KPE54:KPL54"/>
    <mergeCell ref="KMK54:KMR54"/>
    <mergeCell ref="KMS54:KMZ54"/>
    <mergeCell ref="KNA54:KNH54"/>
    <mergeCell ref="KNI54:KNP54"/>
    <mergeCell ref="KNQ54:KNX54"/>
    <mergeCell ref="KKW54:KLD54"/>
    <mergeCell ref="KLE54:KLL54"/>
    <mergeCell ref="KLM54:KLT54"/>
    <mergeCell ref="KLU54:KMB54"/>
    <mergeCell ref="KMC54:KMJ54"/>
    <mergeCell ref="KVQ54:KVX54"/>
    <mergeCell ref="KVY54:KWF54"/>
    <mergeCell ref="KWG54:KWN54"/>
    <mergeCell ref="KWO54:KWV54"/>
    <mergeCell ref="KWW54:KXD54"/>
    <mergeCell ref="KUC54:KUJ54"/>
    <mergeCell ref="KUK54:KUR54"/>
    <mergeCell ref="KUS54:KUZ54"/>
    <mergeCell ref="KVA54:KVH54"/>
    <mergeCell ref="KVI54:KVP54"/>
    <mergeCell ref="KSO54:KSV54"/>
    <mergeCell ref="KSW54:KTD54"/>
    <mergeCell ref="KTE54:KTL54"/>
    <mergeCell ref="KTM54:KTT54"/>
    <mergeCell ref="KTU54:KUB54"/>
    <mergeCell ref="KRA54:KRH54"/>
    <mergeCell ref="KRI54:KRP54"/>
    <mergeCell ref="KRQ54:KRX54"/>
    <mergeCell ref="KRY54:KSF54"/>
    <mergeCell ref="KSG54:KSN54"/>
    <mergeCell ref="LBU54:LCB54"/>
    <mergeCell ref="LCC54:LCJ54"/>
    <mergeCell ref="LCK54:LCR54"/>
    <mergeCell ref="LCS54:LCZ54"/>
    <mergeCell ref="LDA54:LDH54"/>
    <mergeCell ref="LAG54:LAN54"/>
    <mergeCell ref="LAO54:LAV54"/>
    <mergeCell ref="LAW54:LBD54"/>
    <mergeCell ref="LBE54:LBL54"/>
    <mergeCell ref="LBM54:LBT54"/>
    <mergeCell ref="KYS54:KYZ54"/>
    <mergeCell ref="KZA54:KZH54"/>
    <mergeCell ref="KZI54:KZP54"/>
    <mergeCell ref="KZQ54:KZX54"/>
    <mergeCell ref="KZY54:LAF54"/>
    <mergeCell ref="KXE54:KXL54"/>
    <mergeCell ref="KXM54:KXT54"/>
    <mergeCell ref="KXU54:KYB54"/>
    <mergeCell ref="KYC54:KYJ54"/>
    <mergeCell ref="KYK54:KYR54"/>
    <mergeCell ref="LHY54:LIF54"/>
    <mergeCell ref="LIG54:LIN54"/>
    <mergeCell ref="LIO54:LIV54"/>
    <mergeCell ref="LIW54:LJD54"/>
    <mergeCell ref="LJE54:LJL54"/>
    <mergeCell ref="LGK54:LGR54"/>
    <mergeCell ref="LGS54:LGZ54"/>
    <mergeCell ref="LHA54:LHH54"/>
    <mergeCell ref="LHI54:LHP54"/>
    <mergeCell ref="LHQ54:LHX54"/>
    <mergeCell ref="LEW54:LFD54"/>
    <mergeCell ref="LFE54:LFL54"/>
    <mergeCell ref="LFM54:LFT54"/>
    <mergeCell ref="LFU54:LGB54"/>
    <mergeCell ref="LGC54:LGJ54"/>
    <mergeCell ref="LDI54:LDP54"/>
    <mergeCell ref="LDQ54:LDX54"/>
    <mergeCell ref="LDY54:LEF54"/>
    <mergeCell ref="LEG54:LEN54"/>
    <mergeCell ref="LEO54:LEV54"/>
    <mergeCell ref="LOC54:LOJ54"/>
    <mergeCell ref="LOK54:LOR54"/>
    <mergeCell ref="LOS54:LOZ54"/>
    <mergeCell ref="LPA54:LPH54"/>
    <mergeCell ref="LPI54:LPP54"/>
    <mergeCell ref="LMO54:LMV54"/>
    <mergeCell ref="LMW54:LND54"/>
    <mergeCell ref="LNE54:LNL54"/>
    <mergeCell ref="LNM54:LNT54"/>
    <mergeCell ref="LNU54:LOB54"/>
    <mergeCell ref="LLA54:LLH54"/>
    <mergeCell ref="LLI54:LLP54"/>
    <mergeCell ref="LLQ54:LLX54"/>
    <mergeCell ref="LLY54:LMF54"/>
    <mergeCell ref="LMG54:LMN54"/>
    <mergeCell ref="LJM54:LJT54"/>
    <mergeCell ref="LJU54:LKB54"/>
    <mergeCell ref="LKC54:LKJ54"/>
    <mergeCell ref="LKK54:LKR54"/>
    <mergeCell ref="LKS54:LKZ54"/>
    <mergeCell ref="LUG54:LUN54"/>
    <mergeCell ref="LUO54:LUV54"/>
    <mergeCell ref="LUW54:LVD54"/>
    <mergeCell ref="LVE54:LVL54"/>
    <mergeCell ref="LVM54:LVT54"/>
    <mergeCell ref="LSS54:LSZ54"/>
    <mergeCell ref="LTA54:LTH54"/>
    <mergeCell ref="LTI54:LTP54"/>
    <mergeCell ref="LTQ54:LTX54"/>
    <mergeCell ref="LTY54:LUF54"/>
    <mergeCell ref="LRE54:LRL54"/>
    <mergeCell ref="LRM54:LRT54"/>
    <mergeCell ref="LRU54:LSB54"/>
    <mergeCell ref="LSC54:LSJ54"/>
    <mergeCell ref="LSK54:LSR54"/>
    <mergeCell ref="LPQ54:LPX54"/>
    <mergeCell ref="LPY54:LQF54"/>
    <mergeCell ref="LQG54:LQN54"/>
    <mergeCell ref="LQO54:LQV54"/>
    <mergeCell ref="LQW54:LRD54"/>
    <mergeCell ref="MAK54:MAR54"/>
    <mergeCell ref="MAS54:MAZ54"/>
    <mergeCell ref="MBA54:MBH54"/>
    <mergeCell ref="MBI54:MBP54"/>
    <mergeCell ref="MBQ54:MBX54"/>
    <mergeCell ref="LYW54:LZD54"/>
    <mergeCell ref="LZE54:LZL54"/>
    <mergeCell ref="LZM54:LZT54"/>
    <mergeCell ref="LZU54:MAB54"/>
    <mergeCell ref="MAC54:MAJ54"/>
    <mergeCell ref="LXI54:LXP54"/>
    <mergeCell ref="LXQ54:LXX54"/>
    <mergeCell ref="LXY54:LYF54"/>
    <mergeCell ref="LYG54:LYN54"/>
    <mergeCell ref="LYO54:LYV54"/>
    <mergeCell ref="LVU54:LWB54"/>
    <mergeCell ref="LWC54:LWJ54"/>
    <mergeCell ref="LWK54:LWR54"/>
    <mergeCell ref="LWS54:LWZ54"/>
    <mergeCell ref="LXA54:LXH54"/>
    <mergeCell ref="MGO54:MGV54"/>
    <mergeCell ref="MGW54:MHD54"/>
    <mergeCell ref="MHE54:MHL54"/>
    <mergeCell ref="MHM54:MHT54"/>
    <mergeCell ref="MHU54:MIB54"/>
    <mergeCell ref="MFA54:MFH54"/>
    <mergeCell ref="MFI54:MFP54"/>
    <mergeCell ref="MFQ54:MFX54"/>
    <mergeCell ref="MFY54:MGF54"/>
    <mergeCell ref="MGG54:MGN54"/>
    <mergeCell ref="MDM54:MDT54"/>
    <mergeCell ref="MDU54:MEB54"/>
    <mergeCell ref="MEC54:MEJ54"/>
    <mergeCell ref="MEK54:MER54"/>
    <mergeCell ref="MES54:MEZ54"/>
    <mergeCell ref="MBY54:MCF54"/>
    <mergeCell ref="MCG54:MCN54"/>
    <mergeCell ref="MCO54:MCV54"/>
    <mergeCell ref="MCW54:MDD54"/>
    <mergeCell ref="MDE54:MDL54"/>
    <mergeCell ref="MMS54:MMZ54"/>
    <mergeCell ref="MNA54:MNH54"/>
    <mergeCell ref="MNI54:MNP54"/>
    <mergeCell ref="MNQ54:MNX54"/>
    <mergeCell ref="MNY54:MOF54"/>
    <mergeCell ref="MLE54:MLL54"/>
    <mergeCell ref="MLM54:MLT54"/>
    <mergeCell ref="MLU54:MMB54"/>
    <mergeCell ref="MMC54:MMJ54"/>
    <mergeCell ref="MMK54:MMR54"/>
    <mergeCell ref="MJQ54:MJX54"/>
    <mergeCell ref="MJY54:MKF54"/>
    <mergeCell ref="MKG54:MKN54"/>
    <mergeCell ref="MKO54:MKV54"/>
    <mergeCell ref="MKW54:MLD54"/>
    <mergeCell ref="MIC54:MIJ54"/>
    <mergeCell ref="MIK54:MIR54"/>
    <mergeCell ref="MIS54:MIZ54"/>
    <mergeCell ref="MJA54:MJH54"/>
    <mergeCell ref="MJI54:MJP54"/>
    <mergeCell ref="MSW54:MTD54"/>
    <mergeCell ref="MTE54:MTL54"/>
    <mergeCell ref="MTM54:MTT54"/>
    <mergeCell ref="MTU54:MUB54"/>
    <mergeCell ref="MUC54:MUJ54"/>
    <mergeCell ref="MRI54:MRP54"/>
    <mergeCell ref="MRQ54:MRX54"/>
    <mergeCell ref="MRY54:MSF54"/>
    <mergeCell ref="MSG54:MSN54"/>
    <mergeCell ref="MSO54:MSV54"/>
    <mergeCell ref="MPU54:MQB54"/>
    <mergeCell ref="MQC54:MQJ54"/>
    <mergeCell ref="MQK54:MQR54"/>
    <mergeCell ref="MQS54:MQZ54"/>
    <mergeCell ref="MRA54:MRH54"/>
    <mergeCell ref="MOG54:MON54"/>
    <mergeCell ref="MOO54:MOV54"/>
    <mergeCell ref="MOW54:MPD54"/>
    <mergeCell ref="MPE54:MPL54"/>
    <mergeCell ref="MPM54:MPT54"/>
    <mergeCell ref="MZA54:MZH54"/>
    <mergeCell ref="MZI54:MZP54"/>
    <mergeCell ref="MZQ54:MZX54"/>
    <mergeCell ref="MZY54:NAF54"/>
    <mergeCell ref="NAG54:NAN54"/>
    <mergeCell ref="MXM54:MXT54"/>
    <mergeCell ref="MXU54:MYB54"/>
    <mergeCell ref="MYC54:MYJ54"/>
    <mergeCell ref="MYK54:MYR54"/>
    <mergeCell ref="MYS54:MYZ54"/>
    <mergeCell ref="MVY54:MWF54"/>
    <mergeCell ref="MWG54:MWN54"/>
    <mergeCell ref="MWO54:MWV54"/>
    <mergeCell ref="MWW54:MXD54"/>
    <mergeCell ref="MXE54:MXL54"/>
    <mergeCell ref="MUK54:MUR54"/>
    <mergeCell ref="MUS54:MUZ54"/>
    <mergeCell ref="MVA54:MVH54"/>
    <mergeCell ref="MVI54:MVP54"/>
    <mergeCell ref="MVQ54:MVX54"/>
    <mergeCell ref="NFE54:NFL54"/>
    <mergeCell ref="NFM54:NFT54"/>
    <mergeCell ref="NFU54:NGB54"/>
    <mergeCell ref="NGC54:NGJ54"/>
    <mergeCell ref="NGK54:NGR54"/>
    <mergeCell ref="NDQ54:NDX54"/>
    <mergeCell ref="NDY54:NEF54"/>
    <mergeCell ref="NEG54:NEN54"/>
    <mergeCell ref="NEO54:NEV54"/>
    <mergeCell ref="NEW54:NFD54"/>
    <mergeCell ref="NCC54:NCJ54"/>
    <mergeCell ref="NCK54:NCR54"/>
    <mergeCell ref="NCS54:NCZ54"/>
    <mergeCell ref="NDA54:NDH54"/>
    <mergeCell ref="NDI54:NDP54"/>
    <mergeCell ref="NAO54:NAV54"/>
    <mergeCell ref="NAW54:NBD54"/>
    <mergeCell ref="NBE54:NBL54"/>
    <mergeCell ref="NBM54:NBT54"/>
    <mergeCell ref="NBU54:NCB54"/>
    <mergeCell ref="NLI54:NLP54"/>
    <mergeCell ref="NLQ54:NLX54"/>
    <mergeCell ref="NLY54:NMF54"/>
    <mergeCell ref="NMG54:NMN54"/>
    <mergeCell ref="NMO54:NMV54"/>
    <mergeCell ref="NJU54:NKB54"/>
    <mergeCell ref="NKC54:NKJ54"/>
    <mergeCell ref="NKK54:NKR54"/>
    <mergeCell ref="NKS54:NKZ54"/>
    <mergeCell ref="NLA54:NLH54"/>
    <mergeCell ref="NIG54:NIN54"/>
    <mergeCell ref="NIO54:NIV54"/>
    <mergeCell ref="NIW54:NJD54"/>
    <mergeCell ref="NJE54:NJL54"/>
    <mergeCell ref="NJM54:NJT54"/>
    <mergeCell ref="NGS54:NGZ54"/>
    <mergeCell ref="NHA54:NHH54"/>
    <mergeCell ref="NHI54:NHP54"/>
    <mergeCell ref="NHQ54:NHX54"/>
    <mergeCell ref="NHY54:NIF54"/>
    <mergeCell ref="NRM54:NRT54"/>
    <mergeCell ref="NRU54:NSB54"/>
    <mergeCell ref="NSC54:NSJ54"/>
    <mergeCell ref="NSK54:NSR54"/>
    <mergeCell ref="NSS54:NSZ54"/>
    <mergeCell ref="NPY54:NQF54"/>
    <mergeCell ref="NQG54:NQN54"/>
    <mergeCell ref="NQO54:NQV54"/>
    <mergeCell ref="NQW54:NRD54"/>
    <mergeCell ref="NRE54:NRL54"/>
    <mergeCell ref="NOK54:NOR54"/>
    <mergeCell ref="NOS54:NOZ54"/>
    <mergeCell ref="NPA54:NPH54"/>
    <mergeCell ref="NPI54:NPP54"/>
    <mergeCell ref="NPQ54:NPX54"/>
    <mergeCell ref="NMW54:NND54"/>
    <mergeCell ref="NNE54:NNL54"/>
    <mergeCell ref="NNM54:NNT54"/>
    <mergeCell ref="NNU54:NOB54"/>
    <mergeCell ref="NOC54:NOJ54"/>
    <mergeCell ref="NXQ54:NXX54"/>
    <mergeCell ref="NXY54:NYF54"/>
    <mergeCell ref="NYG54:NYN54"/>
    <mergeCell ref="NYO54:NYV54"/>
    <mergeCell ref="NYW54:NZD54"/>
    <mergeCell ref="NWC54:NWJ54"/>
    <mergeCell ref="NWK54:NWR54"/>
    <mergeCell ref="NWS54:NWZ54"/>
    <mergeCell ref="NXA54:NXH54"/>
    <mergeCell ref="NXI54:NXP54"/>
    <mergeCell ref="NUO54:NUV54"/>
    <mergeCell ref="NUW54:NVD54"/>
    <mergeCell ref="NVE54:NVL54"/>
    <mergeCell ref="NVM54:NVT54"/>
    <mergeCell ref="NVU54:NWB54"/>
    <mergeCell ref="NTA54:NTH54"/>
    <mergeCell ref="NTI54:NTP54"/>
    <mergeCell ref="NTQ54:NTX54"/>
    <mergeCell ref="NTY54:NUF54"/>
    <mergeCell ref="NUG54:NUN54"/>
    <mergeCell ref="ODU54:OEB54"/>
    <mergeCell ref="OEC54:OEJ54"/>
    <mergeCell ref="OEK54:OER54"/>
    <mergeCell ref="OES54:OEZ54"/>
    <mergeCell ref="OFA54:OFH54"/>
    <mergeCell ref="OCG54:OCN54"/>
    <mergeCell ref="OCO54:OCV54"/>
    <mergeCell ref="OCW54:ODD54"/>
    <mergeCell ref="ODE54:ODL54"/>
    <mergeCell ref="ODM54:ODT54"/>
    <mergeCell ref="OAS54:OAZ54"/>
    <mergeCell ref="OBA54:OBH54"/>
    <mergeCell ref="OBI54:OBP54"/>
    <mergeCell ref="OBQ54:OBX54"/>
    <mergeCell ref="OBY54:OCF54"/>
    <mergeCell ref="NZE54:NZL54"/>
    <mergeCell ref="NZM54:NZT54"/>
    <mergeCell ref="NZU54:OAB54"/>
    <mergeCell ref="OAC54:OAJ54"/>
    <mergeCell ref="OAK54:OAR54"/>
    <mergeCell ref="OJY54:OKF54"/>
    <mergeCell ref="OKG54:OKN54"/>
    <mergeCell ref="OKO54:OKV54"/>
    <mergeCell ref="OKW54:OLD54"/>
    <mergeCell ref="OLE54:OLL54"/>
    <mergeCell ref="OIK54:OIR54"/>
    <mergeCell ref="OIS54:OIZ54"/>
    <mergeCell ref="OJA54:OJH54"/>
    <mergeCell ref="OJI54:OJP54"/>
    <mergeCell ref="OJQ54:OJX54"/>
    <mergeCell ref="OGW54:OHD54"/>
    <mergeCell ref="OHE54:OHL54"/>
    <mergeCell ref="OHM54:OHT54"/>
    <mergeCell ref="OHU54:OIB54"/>
    <mergeCell ref="OIC54:OIJ54"/>
    <mergeCell ref="OFI54:OFP54"/>
    <mergeCell ref="OFQ54:OFX54"/>
    <mergeCell ref="OFY54:OGF54"/>
    <mergeCell ref="OGG54:OGN54"/>
    <mergeCell ref="OGO54:OGV54"/>
    <mergeCell ref="OQC54:OQJ54"/>
    <mergeCell ref="OQK54:OQR54"/>
    <mergeCell ref="OQS54:OQZ54"/>
    <mergeCell ref="ORA54:ORH54"/>
    <mergeCell ref="ORI54:ORP54"/>
    <mergeCell ref="OOO54:OOV54"/>
    <mergeCell ref="OOW54:OPD54"/>
    <mergeCell ref="OPE54:OPL54"/>
    <mergeCell ref="OPM54:OPT54"/>
    <mergeCell ref="OPU54:OQB54"/>
    <mergeCell ref="ONA54:ONH54"/>
    <mergeCell ref="ONI54:ONP54"/>
    <mergeCell ref="ONQ54:ONX54"/>
    <mergeCell ref="ONY54:OOF54"/>
    <mergeCell ref="OOG54:OON54"/>
    <mergeCell ref="OLM54:OLT54"/>
    <mergeCell ref="OLU54:OMB54"/>
    <mergeCell ref="OMC54:OMJ54"/>
    <mergeCell ref="OMK54:OMR54"/>
    <mergeCell ref="OMS54:OMZ54"/>
    <mergeCell ref="OWG54:OWN54"/>
    <mergeCell ref="OWO54:OWV54"/>
    <mergeCell ref="OWW54:OXD54"/>
    <mergeCell ref="OXE54:OXL54"/>
    <mergeCell ref="OXM54:OXT54"/>
    <mergeCell ref="OUS54:OUZ54"/>
    <mergeCell ref="OVA54:OVH54"/>
    <mergeCell ref="OVI54:OVP54"/>
    <mergeCell ref="OVQ54:OVX54"/>
    <mergeCell ref="OVY54:OWF54"/>
    <mergeCell ref="OTE54:OTL54"/>
    <mergeCell ref="OTM54:OTT54"/>
    <mergeCell ref="OTU54:OUB54"/>
    <mergeCell ref="OUC54:OUJ54"/>
    <mergeCell ref="OUK54:OUR54"/>
    <mergeCell ref="ORQ54:ORX54"/>
    <mergeCell ref="ORY54:OSF54"/>
    <mergeCell ref="OSG54:OSN54"/>
    <mergeCell ref="OSO54:OSV54"/>
    <mergeCell ref="OSW54:OTD54"/>
    <mergeCell ref="PCK54:PCR54"/>
    <mergeCell ref="PCS54:PCZ54"/>
    <mergeCell ref="PDA54:PDH54"/>
    <mergeCell ref="PDI54:PDP54"/>
    <mergeCell ref="PDQ54:PDX54"/>
    <mergeCell ref="PAW54:PBD54"/>
    <mergeCell ref="PBE54:PBL54"/>
    <mergeCell ref="PBM54:PBT54"/>
    <mergeCell ref="PBU54:PCB54"/>
    <mergeCell ref="PCC54:PCJ54"/>
    <mergeCell ref="OZI54:OZP54"/>
    <mergeCell ref="OZQ54:OZX54"/>
    <mergeCell ref="OZY54:PAF54"/>
    <mergeCell ref="PAG54:PAN54"/>
    <mergeCell ref="PAO54:PAV54"/>
    <mergeCell ref="OXU54:OYB54"/>
    <mergeCell ref="OYC54:OYJ54"/>
    <mergeCell ref="OYK54:OYR54"/>
    <mergeCell ref="OYS54:OYZ54"/>
    <mergeCell ref="OZA54:OZH54"/>
    <mergeCell ref="PIO54:PIV54"/>
    <mergeCell ref="PIW54:PJD54"/>
    <mergeCell ref="PJE54:PJL54"/>
    <mergeCell ref="PJM54:PJT54"/>
    <mergeCell ref="PJU54:PKB54"/>
    <mergeCell ref="PHA54:PHH54"/>
    <mergeCell ref="PHI54:PHP54"/>
    <mergeCell ref="PHQ54:PHX54"/>
    <mergeCell ref="PHY54:PIF54"/>
    <mergeCell ref="PIG54:PIN54"/>
    <mergeCell ref="PFM54:PFT54"/>
    <mergeCell ref="PFU54:PGB54"/>
    <mergeCell ref="PGC54:PGJ54"/>
    <mergeCell ref="PGK54:PGR54"/>
    <mergeCell ref="PGS54:PGZ54"/>
    <mergeCell ref="PDY54:PEF54"/>
    <mergeCell ref="PEG54:PEN54"/>
    <mergeCell ref="PEO54:PEV54"/>
    <mergeCell ref="PEW54:PFD54"/>
    <mergeCell ref="PFE54:PFL54"/>
    <mergeCell ref="POS54:POZ54"/>
    <mergeCell ref="PPA54:PPH54"/>
    <mergeCell ref="PPI54:PPP54"/>
    <mergeCell ref="PPQ54:PPX54"/>
    <mergeCell ref="PPY54:PQF54"/>
    <mergeCell ref="PNE54:PNL54"/>
    <mergeCell ref="PNM54:PNT54"/>
    <mergeCell ref="PNU54:POB54"/>
    <mergeCell ref="POC54:POJ54"/>
    <mergeCell ref="POK54:POR54"/>
    <mergeCell ref="PLQ54:PLX54"/>
    <mergeCell ref="PLY54:PMF54"/>
    <mergeCell ref="PMG54:PMN54"/>
    <mergeCell ref="PMO54:PMV54"/>
    <mergeCell ref="PMW54:PND54"/>
    <mergeCell ref="PKC54:PKJ54"/>
    <mergeCell ref="PKK54:PKR54"/>
    <mergeCell ref="PKS54:PKZ54"/>
    <mergeCell ref="PLA54:PLH54"/>
    <mergeCell ref="PLI54:PLP54"/>
    <mergeCell ref="PUW54:PVD54"/>
    <mergeCell ref="PVE54:PVL54"/>
    <mergeCell ref="PVM54:PVT54"/>
    <mergeCell ref="PVU54:PWB54"/>
    <mergeCell ref="PWC54:PWJ54"/>
    <mergeCell ref="PTI54:PTP54"/>
    <mergeCell ref="PTQ54:PTX54"/>
    <mergeCell ref="PTY54:PUF54"/>
    <mergeCell ref="PUG54:PUN54"/>
    <mergeCell ref="PUO54:PUV54"/>
    <mergeCell ref="PRU54:PSB54"/>
    <mergeCell ref="PSC54:PSJ54"/>
    <mergeCell ref="PSK54:PSR54"/>
    <mergeCell ref="PSS54:PSZ54"/>
    <mergeCell ref="PTA54:PTH54"/>
    <mergeCell ref="PQG54:PQN54"/>
    <mergeCell ref="PQO54:PQV54"/>
    <mergeCell ref="PQW54:PRD54"/>
    <mergeCell ref="PRE54:PRL54"/>
    <mergeCell ref="PRM54:PRT54"/>
    <mergeCell ref="QBA54:QBH54"/>
    <mergeCell ref="QBI54:QBP54"/>
    <mergeCell ref="QBQ54:QBX54"/>
    <mergeCell ref="QBY54:QCF54"/>
    <mergeCell ref="QCG54:QCN54"/>
    <mergeCell ref="PZM54:PZT54"/>
    <mergeCell ref="PZU54:QAB54"/>
    <mergeCell ref="QAC54:QAJ54"/>
    <mergeCell ref="QAK54:QAR54"/>
    <mergeCell ref="QAS54:QAZ54"/>
    <mergeCell ref="PXY54:PYF54"/>
    <mergeCell ref="PYG54:PYN54"/>
    <mergeCell ref="PYO54:PYV54"/>
    <mergeCell ref="PYW54:PZD54"/>
    <mergeCell ref="PZE54:PZL54"/>
    <mergeCell ref="PWK54:PWR54"/>
    <mergeCell ref="PWS54:PWZ54"/>
    <mergeCell ref="PXA54:PXH54"/>
    <mergeCell ref="PXI54:PXP54"/>
    <mergeCell ref="PXQ54:PXX54"/>
    <mergeCell ref="QHE54:QHL54"/>
    <mergeCell ref="QHM54:QHT54"/>
    <mergeCell ref="QHU54:QIB54"/>
    <mergeCell ref="QIC54:QIJ54"/>
    <mergeCell ref="QIK54:QIR54"/>
    <mergeCell ref="QFQ54:QFX54"/>
    <mergeCell ref="QFY54:QGF54"/>
    <mergeCell ref="QGG54:QGN54"/>
    <mergeCell ref="QGO54:QGV54"/>
    <mergeCell ref="QGW54:QHD54"/>
    <mergeCell ref="QEC54:QEJ54"/>
    <mergeCell ref="QEK54:QER54"/>
    <mergeCell ref="QES54:QEZ54"/>
    <mergeCell ref="QFA54:QFH54"/>
    <mergeCell ref="QFI54:QFP54"/>
    <mergeCell ref="QCO54:QCV54"/>
    <mergeCell ref="QCW54:QDD54"/>
    <mergeCell ref="QDE54:QDL54"/>
    <mergeCell ref="QDM54:QDT54"/>
    <mergeCell ref="QDU54:QEB54"/>
    <mergeCell ref="QNI54:QNP54"/>
    <mergeCell ref="QNQ54:QNX54"/>
    <mergeCell ref="QNY54:QOF54"/>
    <mergeCell ref="QOG54:QON54"/>
    <mergeCell ref="QOO54:QOV54"/>
    <mergeCell ref="QLU54:QMB54"/>
    <mergeCell ref="QMC54:QMJ54"/>
    <mergeCell ref="QMK54:QMR54"/>
    <mergeCell ref="QMS54:QMZ54"/>
    <mergeCell ref="QNA54:QNH54"/>
    <mergeCell ref="QKG54:QKN54"/>
    <mergeCell ref="QKO54:QKV54"/>
    <mergeCell ref="QKW54:QLD54"/>
    <mergeCell ref="QLE54:QLL54"/>
    <mergeCell ref="QLM54:QLT54"/>
    <mergeCell ref="QIS54:QIZ54"/>
    <mergeCell ref="QJA54:QJH54"/>
    <mergeCell ref="QJI54:QJP54"/>
    <mergeCell ref="QJQ54:QJX54"/>
    <mergeCell ref="QJY54:QKF54"/>
    <mergeCell ref="QTM54:QTT54"/>
    <mergeCell ref="QTU54:QUB54"/>
    <mergeCell ref="QUC54:QUJ54"/>
    <mergeCell ref="QUK54:QUR54"/>
    <mergeCell ref="QUS54:QUZ54"/>
    <mergeCell ref="QRY54:QSF54"/>
    <mergeCell ref="QSG54:QSN54"/>
    <mergeCell ref="QSO54:QSV54"/>
    <mergeCell ref="QSW54:QTD54"/>
    <mergeCell ref="QTE54:QTL54"/>
    <mergeCell ref="QQK54:QQR54"/>
    <mergeCell ref="QQS54:QQZ54"/>
    <mergeCell ref="QRA54:QRH54"/>
    <mergeCell ref="QRI54:QRP54"/>
    <mergeCell ref="QRQ54:QRX54"/>
    <mergeCell ref="QOW54:QPD54"/>
    <mergeCell ref="QPE54:QPL54"/>
    <mergeCell ref="QPM54:QPT54"/>
    <mergeCell ref="QPU54:QQB54"/>
    <mergeCell ref="QQC54:QQJ54"/>
    <mergeCell ref="QZQ54:QZX54"/>
    <mergeCell ref="QZY54:RAF54"/>
    <mergeCell ref="RAG54:RAN54"/>
    <mergeCell ref="RAO54:RAV54"/>
    <mergeCell ref="RAW54:RBD54"/>
    <mergeCell ref="QYC54:QYJ54"/>
    <mergeCell ref="QYK54:QYR54"/>
    <mergeCell ref="QYS54:QYZ54"/>
    <mergeCell ref="QZA54:QZH54"/>
    <mergeCell ref="QZI54:QZP54"/>
    <mergeCell ref="QWO54:QWV54"/>
    <mergeCell ref="QWW54:QXD54"/>
    <mergeCell ref="QXE54:QXL54"/>
    <mergeCell ref="QXM54:QXT54"/>
    <mergeCell ref="QXU54:QYB54"/>
    <mergeCell ref="QVA54:QVH54"/>
    <mergeCell ref="QVI54:QVP54"/>
    <mergeCell ref="QVQ54:QVX54"/>
    <mergeCell ref="QVY54:QWF54"/>
    <mergeCell ref="QWG54:QWN54"/>
    <mergeCell ref="RFU54:RGB54"/>
    <mergeCell ref="RGC54:RGJ54"/>
    <mergeCell ref="RGK54:RGR54"/>
    <mergeCell ref="RGS54:RGZ54"/>
    <mergeCell ref="RHA54:RHH54"/>
    <mergeCell ref="REG54:REN54"/>
    <mergeCell ref="REO54:REV54"/>
    <mergeCell ref="REW54:RFD54"/>
    <mergeCell ref="RFE54:RFL54"/>
    <mergeCell ref="RFM54:RFT54"/>
    <mergeCell ref="RCS54:RCZ54"/>
    <mergeCell ref="RDA54:RDH54"/>
    <mergeCell ref="RDI54:RDP54"/>
    <mergeCell ref="RDQ54:RDX54"/>
    <mergeCell ref="RDY54:REF54"/>
    <mergeCell ref="RBE54:RBL54"/>
    <mergeCell ref="RBM54:RBT54"/>
    <mergeCell ref="RBU54:RCB54"/>
    <mergeCell ref="RCC54:RCJ54"/>
    <mergeCell ref="RCK54:RCR54"/>
    <mergeCell ref="RLY54:RMF54"/>
    <mergeCell ref="RMG54:RMN54"/>
    <mergeCell ref="RMO54:RMV54"/>
    <mergeCell ref="RMW54:RND54"/>
    <mergeCell ref="RNE54:RNL54"/>
    <mergeCell ref="RKK54:RKR54"/>
    <mergeCell ref="RKS54:RKZ54"/>
    <mergeCell ref="RLA54:RLH54"/>
    <mergeCell ref="RLI54:RLP54"/>
    <mergeCell ref="RLQ54:RLX54"/>
    <mergeCell ref="RIW54:RJD54"/>
    <mergeCell ref="RJE54:RJL54"/>
    <mergeCell ref="RJM54:RJT54"/>
    <mergeCell ref="RJU54:RKB54"/>
    <mergeCell ref="RKC54:RKJ54"/>
    <mergeCell ref="RHI54:RHP54"/>
    <mergeCell ref="RHQ54:RHX54"/>
    <mergeCell ref="RHY54:RIF54"/>
    <mergeCell ref="RIG54:RIN54"/>
    <mergeCell ref="RIO54:RIV54"/>
    <mergeCell ref="RSC54:RSJ54"/>
    <mergeCell ref="RSK54:RSR54"/>
    <mergeCell ref="RSS54:RSZ54"/>
    <mergeCell ref="RTA54:RTH54"/>
    <mergeCell ref="RTI54:RTP54"/>
    <mergeCell ref="RQO54:RQV54"/>
    <mergeCell ref="RQW54:RRD54"/>
    <mergeCell ref="RRE54:RRL54"/>
    <mergeCell ref="RRM54:RRT54"/>
    <mergeCell ref="RRU54:RSB54"/>
    <mergeCell ref="RPA54:RPH54"/>
    <mergeCell ref="RPI54:RPP54"/>
    <mergeCell ref="RPQ54:RPX54"/>
    <mergeCell ref="RPY54:RQF54"/>
    <mergeCell ref="RQG54:RQN54"/>
    <mergeCell ref="RNM54:RNT54"/>
    <mergeCell ref="RNU54:ROB54"/>
    <mergeCell ref="ROC54:ROJ54"/>
    <mergeCell ref="ROK54:ROR54"/>
    <mergeCell ref="ROS54:ROZ54"/>
    <mergeCell ref="RYG54:RYN54"/>
    <mergeCell ref="RYO54:RYV54"/>
    <mergeCell ref="RYW54:RZD54"/>
    <mergeCell ref="RZE54:RZL54"/>
    <mergeCell ref="RZM54:RZT54"/>
    <mergeCell ref="RWS54:RWZ54"/>
    <mergeCell ref="RXA54:RXH54"/>
    <mergeCell ref="RXI54:RXP54"/>
    <mergeCell ref="RXQ54:RXX54"/>
    <mergeCell ref="RXY54:RYF54"/>
    <mergeCell ref="RVE54:RVL54"/>
    <mergeCell ref="RVM54:RVT54"/>
    <mergeCell ref="RVU54:RWB54"/>
    <mergeCell ref="RWC54:RWJ54"/>
    <mergeCell ref="RWK54:RWR54"/>
    <mergeCell ref="RTQ54:RTX54"/>
    <mergeCell ref="RTY54:RUF54"/>
    <mergeCell ref="RUG54:RUN54"/>
    <mergeCell ref="RUO54:RUV54"/>
    <mergeCell ref="RUW54:RVD54"/>
    <mergeCell ref="SEK54:SER54"/>
    <mergeCell ref="SES54:SEZ54"/>
    <mergeCell ref="SFA54:SFH54"/>
    <mergeCell ref="SFI54:SFP54"/>
    <mergeCell ref="SFQ54:SFX54"/>
    <mergeCell ref="SCW54:SDD54"/>
    <mergeCell ref="SDE54:SDL54"/>
    <mergeCell ref="SDM54:SDT54"/>
    <mergeCell ref="SDU54:SEB54"/>
    <mergeCell ref="SEC54:SEJ54"/>
    <mergeCell ref="SBI54:SBP54"/>
    <mergeCell ref="SBQ54:SBX54"/>
    <mergeCell ref="SBY54:SCF54"/>
    <mergeCell ref="SCG54:SCN54"/>
    <mergeCell ref="SCO54:SCV54"/>
    <mergeCell ref="RZU54:SAB54"/>
    <mergeCell ref="SAC54:SAJ54"/>
    <mergeCell ref="SAK54:SAR54"/>
    <mergeCell ref="SAS54:SAZ54"/>
    <mergeCell ref="SBA54:SBH54"/>
    <mergeCell ref="SKO54:SKV54"/>
    <mergeCell ref="SKW54:SLD54"/>
    <mergeCell ref="SLE54:SLL54"/>
    <mergeCell ref="SLM54:SLT54"/>
    <mergeCell ref="SLU54:SMB54"/>
    <mergeCell ref="SJA54:SJH54"/>
    <mergeCell ref="SJI54:SJP54"/>
    <mergeCell ref="SJQ54:SJX54"/>
    <mergeCell ref="SJY54:SKF54"/>
    <mergeCell ref="SKG54:SKN54"/>
    <mergeCell ref="SHM54:SHT54"/>
    <mergeCell ref="SHU54:SIB54"/>
    <mergeCell ref="SIC54:SIJ54"/>
    <mergeCell ref="SIK54:SIR54"/>
    <mergeCell ref="SIS54:SIZ54"/>
    <mergeCell ref="SFY54:SGF54"/>
    <mergeCell ref="SGG54:SGN54"/>
    <mergeCell ref="SGO54:SGV54"/>
    <mergeCell ref="SGW54:SHD54"/>
    <mergeCell ref="SHE54:SHL54"/>
    <mergeCell ref="SQS54:SQZ54"/>
    <mergeCell ref="SRA54:SRH54"/>
    <mergeCell ref="SRI54:SRP54"/>
    <mergeCell ref="SRQ54:SRX54"/>
    <mergeCell ref="SRY54:SSF54"/>
    <mergeCell ref="SPE54:SPL54"/>
    <mergeCell ref="SPM54:SPT54"/>
    <mergeCell ref="SPU54:SQB54"/>
    <mergeCell ref="SQC54:SQJ54"/>
    <mergeCell ref="SQK54:SQR54"/>
    <mergeCell ref="SNQ54:SNX54"/>
    <mergeCell ref="SNY54:SOF54"/>
    <mergeCell ref="SOG54:SON54"/>
    <mergeCell ref="SOO54:SOV54"/>
    <mergeCell ref="SOW54:SPD54"/>
    <mergeCell ref="SMC54:SMJ54"/>
    <mergeCell ref="SMK54:SMR54"/>
    <mergeCell ref="SMS54:SMZ54"/>
    <mergeCell ref="SNA54:SNH54"/>
    <mergeCell ref="SNI54:SNP54"/>
    <mergeCell ref="SWW54:SXD54"/>
    <mergeCell ref="SXE54:SXL54"/>
    <mergeCell ref="SXM54:SXT54"/>
    <mergeCell ref="SXU54:SYB54"/>
    <mergeCell ref="SYC54:SYJ54"/>
    <mergeCell ref="SVI54:SVP54"/>
    <mergeCell ref="SVQ54:SVX54"/>
    <mergeCell ref="SVY54:SWF54"/>
    <mergeCell ref="SWG54:SWN54"/>
    <mergeCell ref="SWO54:SWV54"/>
    <mergeCell ref="STU54:SUB54"/>
    <mergeCell ref="SUC54:SUJ54"/>
    <mergeCell ref="SUK54:SUR54"/>
    <mergeCell ref="SUS54:SUZ54"/>
    <mergeCell ref="SVA54:SVH54"/>
    <mergeCell ref="SSG54:SSN54"/>
    <mergeCell ref="SSO54:SSV54"/>
    <mergeCell ref="SSW54:STD54"/>
    <mergeCell ref="STE54:STL54"/>
    <mergeCell ref="STM54:STT54"/>
    <mergeCell ref="TDA54:TDH54"/>
    <mergeCell ref="TDI54:TDP54"/>
    <mergeCell ref="TDQ54:TDX54"/>
    <mergeCell ref="TDY54:TEF54"/>
    <mergeCell ref="TEG54:TEN54"/>
    <mergeCell ref="TBM54:TBT54"/>
    <mergeCell ref="TBU54:TCB54"/>
    <mergeCell ref="TCC54:TCJ54"/>
    <mergeCell ref="TCK54:TCR54"/>
    <mergeCell ref="TCS54:TCZ54"/>
    <mergeCell ref="SZY54:TAF54"/>
    <mergeCell ref="TAG54:TAN54"/>
    <mergeCell ref="TAO54:TAV54"/>
    <mergeCell ref="TAW54:TBD54"/>
    <mergeCell ref="TBE54:TBL54"/>
    <mergeCell ref="SYK54:SYR54"/>
    <mergeCell ref="SYS54:SYZ54"/>
    <mergeCell ref="SZA54:SZH54"/>
    <mergeCell ref="SZI54:SZP54"/>
    <mergeCell ref="SZQ54:SZX54"/>
    <mergeCell ref="TJE54:TJL54"/>
    <mergeCell ref="TJM54:TJT54"/>
    <mergeCell ref="TJU54:TKB54"/>
    <mergeCell ref="TKC54:TKJ54"/>
    <mergeCell ref="TKK54:TKR54"/>
    <mergeCell ref="THQ54:THX54"/>
    <mergeCell ref="THY54:TIF54"/>
    <mergeCell ref="TIG54:TIN54"/>
    <mergeCell ref="TIO54:TIV54"/>
    <mergeCell ref="TIW54:TJD54"/>
    <mergeCell ref="TGC54:TGJ54"/>
    <mergeCell ref="TGK54:TGR54"/>
    <mergeCell ref="TGS54:TGZ54"/>
    <mergeCell ref="THA54:THH54"/>
    <mergeCell ref="THI54:THP54"/>
    <mergeCell ref="TEO54:TEV54"/>
    <mergeCell ref="TEW54:TFD54"/>
    <mergeCell ref="TFE54:TFL54"/>
    <mergeCell ref="TFM54:TFT54"/>
    <mergeCell ref="TFU54:TGB54"/>
    <mergeCell ref="TPI54:TPP54"/>
    <mergeCell ref="TPQ54:TPX54"/>
    <mergeCell ref="TPY54:TQF54"/>
    <mergeCell ref="TQG54:TQN54"/>
    <mergeCell ref="TQO54:TQV54"/>
    <mergeCell ref="TNU54:TOB54"/>
    <mergeCell ref="TOC54:TOJ54"/>
    <mergeCell ref="TOK54:TOR54"/>
    <mergeCell ref="TOS54:TOZ54"/>
    <mergeCell ref="TPA54:TPH54"/>
    <mergeCell ref="TMG54:TMN54"/>
    <mergeCell ref="TMO54:TMV54"/>
    <mergeCell ref="TMW54:TND54"/>
    <mergeCell ref="TNE54:TNL54"/>
    <mergeCell ref="TNM54:TNT54"/>
    <mergeCell ref="TKS54:TKZ54"/>
    <mergeCell ref="TLA54:TLH54"/>
    <mergeCell ref="TLI54:TLP54"/>
    <mergeCell ref="TLQ54:TLX54"/>
    <mergeCell ref="TLY54:TMF54"/>
    <mergeCell ref="TVM54:TVT54"/>
    <mergeCell ref="TVU54:TWB54"/>
    <mergeCell ref="TWC54:TWJ54"/>
    <mergeCell ref="TWK54:TWR54"/>
    <mergeCell ref="TWS54:TWZ54"/>
    <mergeCell ref="TTY54:TUF54"/>
    <mergeCell ref="TUG54:TUN54"/>
    <mergeCell ref="TUO54:TUV54"/>
    <mergeCell ref="TUW54:TVD54"/>
    <mergeCell ref="TVE54:TVL54"/>
    <mergeCell ref="TSK54:TSR54"/>
    <mergeCell ref="TSS54:TSZ54"/>
    <mergeCell ref="TTA54:TTH54"/>
    <mergeCell ref="TTI54:TTP54"/>
    <mergeCell ref="TTQ54:TTX54"/>
    <mergeCell ref="TQW54:TRD54"/>
    <mergeCell ref="TRE54:TRL54"/>
    <mergeCell ref="TRM54:TRT54"/>
    <mergeCell ref="TRU54:TSB54"/>
    <mergeCell ref="TSC54:TSJ54"/>
    <mergeCell ref="UBQ54:UBX54"/>
    <mergeCell ref="UBY54:UCF54"/>
    <mergeCell ref="UCG54:UCN54"/>
    <mergeCell ref="UCO54:UCV54"/>
    <mergeCell ref="UCW54:UDD54"/>
    <mergeCell ref="UAC54:UAJ54"/>
    <mergeCell ref="UAK54:UAR54"/>
    <mergeCell ref="UAS54:UAZ54"/>
    <mergeCell ref="UBA54:UBH54"/>
    <mergeCell ref="UBI54:UBP54"/>
    <mergeCell ref="TYO54:TYV54"/>
    <mergeCell ref="TYW54:TZD54"/>
    <mergeCell ref="TZE54:TZL54"/>
    <mergeCell ref="TZM54:TZT54"/>
    <mergeCell ref="TZU54:UAB54"/>
    <mergeCell ref="TXA54:TXH54"/>
    <mergeCell ref="TXI54:TXP54"/>
    <mergeCell ref="TXQ54:TXX54"/>
    <mergeCell ref="TXY54:TYF54"/>
    <mergeCell ref="TYG54:TYN54"/>
    <mergeCell ref="UHU54:UIB54"/>
    <mergeCell ref="UIC54:UIJ54"/>
    <mergeCell ref="UIK54:UIR54"/>
    <mergeCell ref="UIS54:UIZ54"/>
    <mergeCell ref="UJA54:UJH54"/>
    <mergeCell ref="UGG54:UGN54"/>
    <mergeCell ref="UGO54:UGV54"/>
    <mergeCell ref="UGW54:UHD54"/>
    <mergeCell ref="UHE54:UHL54"/>
    <mergeCell ref="UHM54:UHT54"/>
    <mergeCell ref="UES54:UEZ54"/>
    <mergeCell ref="UFA54:UFH54"/>
    <mergeCell ref="UFI54:UFP54"/>
    <mergeCell ref="UFQ54:UFX54"/>
    <mergeCell ref="UFY54:UGF54"/>
    <mergeCell ref="UDE54:UDL54"/>
    <mergeCell ref="UDM54:UDT54"/>
    <mergeCell ref="UDU54:UEB54"/>
    <mergeCell ref="UEC54:UEJ54"/>
    <mergeCell ref="UEK54:UER54"/>
    <mergeCell ref="UNY54:UOF54"/>
    <mergeCell ref="UOG54:UON54"/>
    <mergeCell ref="UOO54:UOV54"/>
    <mergeCell ref="UOW54:UPD54"/>
    <mergeCell ref="UPE54:UPL54"/>
    <mergeCell ref="UMK54:UMR54"/>
    <mergeCell ref="UMS54:UMZ54"/>
    <mergeCell ref="UNA54:UNH54"/>
    <mergeCell ref="UNI54:UNP54"/>
    <mergeCell ref="UNQ54:UNX54"/>
    <mergeCell ref="UKW54:ULD54"/>
    <mergeCell ref="ULE54:ULL54"/>
    <mergeCell ref="ULM54:ULT54"/>
    <mergeCell ref="ULU54:UMB54"/>
    <mergeCell ref="UMC54:UMJ54"/>
    <mergeCell ref="UJI54:UJP54"/>
    <mergeCell ref="UJQ54:UJX54"/>
    <mergeCell ref="UJY54:UKF54"/>
    <mergeCell ref="UKG54:UKN54"/>
    <mergeCell ref="UKO54:UKV54"/>
    <mergeCell ref="UUC54:UUJ54"/>
    <mergeCell ref="UUK54:UUR54"/>
    <mergeCell ref="UUS54:UUZ54"/>
    <mergeCell ref="UVA54:UVH54"/>
    <mergeCell ref="UVI54:UVP54"/>
    <mergeCell ref="USO54:USV54"/>
    <mergeCell ref="USW54:UTD54"/>
    <mergeCell ref="UTE54:UTL54"/>
    <mergeCell ref="UTM54:UTT54"/>
    <mergeCell ref="UTU54:UUB54"/>
    <mergeCell ref="URA54:URH54"/>
    <mergeCell ref="URI54:URP54"/>
    <mergeCell ref="URQ54:URX54"/>
    <mergeCell ref="URY54:USF54"/>
    <mergeCell ref="USG54:USN54"/>
    <mergeCell ref="UPM54:UPT54"/>
    <mergeCell ref="UPU54:UQB54"/>
    <mergeCell ref="UQC54:UQJ54"/>
    <mergeCell ref="UQK54:UQR54"/>
    <mergeCell ref="UQS54:UQZ54"/>
    <mergeCell ref="VAG54:VAN54"/>
    <mergeCell ref="VAO54:VAV54"/>
    <mergeCell ref="VAW54:VBD54"/>
    <mergeCell ref="VBE54:VBL54"/>
    <mergeCell ref="VBM54:VBT54"/>
    <mergeCell ref="UYS54:UYZ54"/>
    <mergeCell ref="UZA54:UZH54"/>
    <mergeCell ref="UZI54:UZP54"/>
    <mergeCell ref="UZQ54:UZX54"/>
    <mergeCell ref="UZY54:VAF54"/>
    <mergeCell ref="UXE54:UXL54"/>
    <mergeCell ref="UXM54:UXT54"/>
    <mergeCell ref="UXU54:UYB54"/>
    <mergeCell ref="UYC54:UYJ54"/>
    <mergeCell ref="UYK54:UYR54"/>
    <mergeCell ref="UVQ54:UVX54"/>
    <mergeCell ref="UVY54:UWF54"/>
    <mergeCell ref="UWG54:UWN54"/>
    <mergeCell ref="UWO54:UWV54"/>
    <mergeCell ref="UWW54:UXD54"/>
    <mergeCell ref="VGK54:VGR54"/>
    <mergeCell ref="VGS54:VGZ54"/>
    <mergeCell ref="VHA54:VHH54"/>
    <mergeCell ref="VHI54:VHP54"/>
    <mergeCell ref="VHQ54:VHX54"/>
    <mergeCell ref="VEW54:VFD54"/>
    <mergeCell ref="VFE54:VFL54"/>
    <mergeCell ref="VFM54:VFT54"/>
    <mergeCell ref="VFU54:VGB54"/>
    <mergeCell ref="VGC54:VGJ54"/>
    <mergeCell ref="VDI54:VDP54"/>
    <mergeCell ref="VDQ54:VDX54"/>
    <mergeCell ref="VDY54:VEF54"/>
    <mergeCell ref="VEG54:VEN54"/>
    <mergeCell ref="VEO54:VEV54"/>
    <mergeCell ref="VBU54:VCB54"/>
    <mergeCell ref="VCC54:VCJ54"/>
    <mergeCell ref="VCK54:VCR54"/>
    <mergeCell ref="VCS54:VCZ54"/>
    <mergeCell ref="VDA54:VDH54"/>
    <mergeCell ref="VMO54:VMV54"/>
    <mergeCell ref="VMW54:VND54"/>
    <mergeCell ref="VNE54:VNL54"/>
    <mergeCell ref="VNM54:VNT54"/>
    <mergeCell ref="VNU54:VOB54"/>
    <mergeCell ref="VLA54:VLH54"/>
    <mergeCell ref="VLI54:VLP54"/>
    <mergeCell ref="VLQ54:VLX54"/>
    <mergeCell ref="VLY54:VMF54"/>
    <mergeCell ref="VMG54:VMN54"/>
    <mergeCell ref="VJM54:VJT54"/>
    <mergeCell ref="VJU54:VKB54"/>
    <mergeCell ref="VKC54:VKJ54"/>
    <mergeCell ref="VKK54:VKR54"/>
    <mergeCell ref="VKS54:VKZ54"/>
    <mergeCell ref="VHY54:VIF54"/>
    <mergeCell ref="VIG54:VIN54"/>
    <mergeCell ref="VIO54:VIV54"/>
    <mergeCell ref="VIW54:VJD54"/>
    <mergeCell ref="VJE54:VJL54"/>
    <mergeCell ref="VSS54:VSZ54"/>
    <mergeCell ref="VTA54:VTH54"/>
    <mergeCell ref="VTI54:VTP54"/>
    <mergeCell ref="VTQ54:VTX54"/>
    <mergeCell ref="VTY54:VUF54"/>
    <mergeCell ref="VRE54:VRL54"/>
    <mergeCell ref="VRM54:VRT54"/>
    <mergeCell ref="VRU54:VSB54"/>
    <mergeCell ref="VSC54:VSJ54"/>
    <mergeCell ref="VSK54:VSR54"/>
    <mergeCell ref="VPQ54:VPX54"/>
    <mergeCell ref="VPY54:VQF54"/>
    <mergeCell ref="VQG54:VQN54"/>
    <mergeCell ref="VQO54:VQV54"/>
    <mergeCell ref="VQW54:VRD54"/>
    <mergeCell ref="VOC54:VOJ54"/>
    <mergeCell ref="VOK54:VOR54"/>
    <mergeCell ref="VOS54:VOZ54"/>
    <mergeCell ref="VPA54:VPH54"/>
    <mergeCell ref="VPI54:VPP54"/>
    <mergeCell ref="VYW54:VZD54"/>
    <mergeCell ref="VZE54:VZL54"/>
    <mergeCell ref="VZM54:VZT54"/>
    <mergeCell ref="VZU54:WAB54"/>
    <mergeCell ref="WAC54:WAJ54"/>
    <mergeCell ref="VXI54:VXP54"/>
    <mergeCell ref="VXQ54:VXX54"/>
    <mergeCell ref="VXY54:VYF54"/>
    <mergeCell ref="VYG54:VYN54"/>
    <mergeCell ref="VYO54:VYV54"/>
    <mergeCell ref="VVU54:VWB54"/>
    <mergeCell ref="VWC54:VWJ54"/>
    <mergeCell ref="VWK54:VWR54"/>
    <mergeCell ref="VWS54:VWZ54"/>
    <mergeCell ref="VXA54:VXH54"/>
    <mergeCell ref="VUG54:VUN54"/>
    <mergeCell ref="VUO54:VUV54"/>
    <mergeCell ref="VUW54:VVD54"/>
    <mergeCell ref="VVE54:VVL54"/>
    <mergeCell ref="VVM54:VVT54"/>
    <mergeCell ref="WFA54:WFH54"/>
    <mergeCell ref="WFI54:WFP54"/>
    <mergeCell ref="WFQ54:WFX54"/>
    <mergeCell ref="WFY54:WGF54"/>
    <mergeCell ref="WGG54:WGN54"/>
    <mergeCell ref="WDM54:WDT54"/>
    <mergeCell ref="WDU54:WEB54"/>
    <mergeCell ref="WEC54:WEJ54"/>
    <mergeCell ref="WEK54:WER54"/>
    <mergeCell ref="WES54:WEZ54"/>
    <mergeCell ref="WBY54:WCF54"/>
    <mergeCell ref="WCG54:WCN54"/>
    <mergeCell ref="WCO54:WCV54"/>
    <mergeCell ref="WCW54:WDD54"/>
    <mergeCell ref="WDE54:WDL54"/>
    <mergeCell ref="WAK54:WAR54"/>
    <mergeCell ref="WAS54:WAZ54"/>
    <mergeCell ref="WBA54:WBH54"/>
    <mergeCell ref="WBI54:WBP54"/>
    <mergeCell ref="WBQ54:WBX54"/>
    <mergeCell ref="WLE54:WLL54"/>
    <mergeCell ref="WLM54:WLT54"/>
    <mergeCell ref="WLU54:WMB54"/>
    <mergeCell ref="WMC54:WMJ54"/>
    <mergeCell ref="WMK54:WMR54"/>
    <mergeCell ref="WJQ54:WJX54"/>
    <mergeCell ref="WJY54:WKF54"/>
    <mergeCell ref="WKG54:WKN54"/>
    <mergeCell ref="WKO54:WKV54"/>
    <mergeCell ref="WKW54:WLD54"/>
    <mergeCell ref="WIC54:WIJ54"/>
    <mergeCell ref="WIK54:WIR54"/>
    <mergeCell ref="WIS54:WIZ54"/>
    <mergeCell ref="WJA54:WJH54"/>
    <mergeCell ref="WJI54:WJP54"/>
    <mergeCell ref="WGO54:WGV54"/>
    <mergeCell ref="WGW54:WHD54"/>
    <mergeCell ref="WHE54:WHL54"/>
    <mergeCell ref="WHM54:WHT54"/>
    <mergeCell ref="WHU54:WIB54"/>
    <mergeCell ref="WRI54:WRP54"/>
    <mergeCell ref="WRQ54:WRX54"/>
    <mergeCell ref="WRY54:WSF54"/>
    <mergeCell ref="WSG54:WSN54"/>
    <mergeCell ref="WSO54:WSV54"/>
    <mergeCell ref="WPU54:WQB54"/>
    <mergeCell ref="WQC54:WQJ54"/>
    <mergeCell ref="WQK54:WQR54"/>
    <mergeCell ref="WQS54:WQZ54"/>
    <mergeCell ref="WRA54:WRH54"/>
    <mergeCell ref="WOG54:WON54"/>
    <mergeCell ref="WOO54:WOV54"/>
    <mergeCell ref="WOW54:WPD54"/>
    <mergeCell ref="WPE54:WPL54"/>
    <mergeCell ref="WPM54:WPT54"/>
    <mergeCell ref="WMS54:WMZ54"/>
    <mergeCell ref="WNA54:WNH54"/>
    <mergeCell ref="WNI54:WNP54"/>
    <mergeCell ref="WNQ54:WNX54"/>
    <mergeCell ref="WNY54:WOF54"/>
    <mergeCell ref="WXM54:WXT54"/>
    <mergeCell ref="WXU54:WYB54"/>
    <mergeCell ref="WYC54:WYJ54"/>
    <mergeCell ref="WYK54:WYR54"/>
    <mergeCell ref="WYS54:WYZ54"/>
    <mergeCell ref="WVY54:WWF54"/>
    <mergeCell ref="WWG54:WWN54"/>
    <mergeCell ref="WWO54:WWV54"/>
    <mergeCell ref="WWW54:WXD54"/>
    <mergeCell ref="WXE54:WXL54"/>
    <mergeCell ref="WUK54:WUR54"/>
    <mergeCell ref="WUS54:WUZ54"/>
    <mergeCell ref="WVA54:WVH54"/>
    <mergeCell ref="WVI54:WVP54"/>
    <mergeCell ref="WVQ54:WVX54"/>
    <mergeCell ref="WSW54:WTD54"/>
    <mergeCell ref="WTE54:WTL54"/>
    <mergeCell ref="WTM54:WTT54"/>
    <mergeCell ref="WTU54:WUB54"/>
    <mergeCell ref="WUC54:WUJ54"/>
    <mergeCell ref="XDQ54:XDX54"/>
    <mergeCell ref="XDY54:XEF54"/>
    <mergeCell ref="XEG54:XEN54"/>
    <mergeCell ref="XEO54:XEV54"/>
    <mergeCell ref="XEW54:XFD54"/>
    <mergeCell ref="XCC54:XCJ54"/>
    <mergeCell ref="XCK54:XCR54"/>
    <mergeCell ref="XCS54:XCZ54"/>
    <mergeCell ref="XDA54:XDH54"/>
    <mergeCell ref="XDI54:XDP54"/>
    <mergeCell ref="XAO54:XAV54"/>
    <mergeCell ref="XAW54:XBD54"/>
    <mergeCell ref="XBE54:XBL54"/>
    <mergeCell ref="XBM54:XBT54"/>
    <mergeCell ref="XBU54:XCB54"/>
    <mergeCell ref="WZA54:WZH54"/>
    <mergeCell ref="WZI54:WZP54"/>
    <mergeCell ref="WZQ54:WZX54"/>
    <mergeCell ref="WZY54:XAF54"/>
    <mergeCell ref="XAG54:XAN54"/>
  </mergeCells>
  <pageMargins left="0.75" right="0.37" top="1" bottom="1" header="0" footer="0"/>
  <pageSetup paperSize="9" scale="51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9025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29025" r:id="rId4" name="CommandButton1"/>
      </mc:Fallback>
    </mc:AlternateContent>
  </control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7">
    <tabColor rgb="FF00B050"/>
    <pageSetUpPr fitToPage="1"/>
  </sheetPr>
  <dimension ref="A1:BB93"/>
  <sheetViews>
    <sheetView showGridLines="0" topLeftCell="A8" workbookViewId="0">
      <selection activeCell="B2" sqref="B2"/>
    </sheetView>
  </sheetViews>
  <sheetFormatPr defaultColWidth="11" defaultRowHeight="12.6" x14ac:dyDescent="0.2"/>
  <cols>
    <col min="1" max="1" width="33.7265625" style="1463" customWidth="1"/>
    <col min="2" max="2" width="11" style="1463"/>
    <col min="3" max="3" width="14.36328125" style="1463" bestFit="1" customWidth="1"/>
    <col min="4" max="4" width="14" style="1463" bestFit="1" customWidth="1"/>
    <col min="5" max="8" width="16.26953125" style="1463" bestFit="1" customWidth="1"/>
    <col min="9" max="9" width="12.7265625" style="1463" bestFit="1" customWidth="1"/>
    <col min="10" max="10" width="11" style="1463"/>
    <col min="11" max="11" width="18.7265625" style="1463" customWidth="1"/>
    <col min="12" max="16384" width="11" style="1463"/>
  </cols>
  <sheetData>
    <row r="1" spans="1:54" s="1455" customFormat="1" ht="22.2" x14ac:dyDescent="0.35">
      <c r="A1" s="1454" t="s">
        <v>1062</v>
      </c>
      <c r="D1" s="1456">
        <v>0.94400644600000005</v>
      </c>
      <c r="I1" s="1457"/>
      <c r="J1" s="1457"/>
    </row>
    <row r="2" spans="1:54" s="1455" customFormat="1" ht="22.2" x14ac:dyDescent="0.35">
      <c r="A2" s="1768"/>
      <c r="D2" s="1459"/>
      <c r="I2" s="1457"/>
      <c r="J2" s="1457"/>
    </row>
    <row r="4" spans="1:54" x14ac:dyDescent="0.2">
      <c r="A4" s="1460" t="s">
        <v>62</v>
      </c>
      <c r="B4" s="1461" t="s">
        <v>36</v>
      </c>
      <c r="C4" s="1462">
        <f>'Gen. Capacity 132'!C4</f>
        <v>46023</v>
      </c>
      <c r="D4" s="1462">
        <f>'Gen. Capacity 132'!D4</f>
        <v>46054</v>
      </c>
      <c r="E4" s="1462">
        <f>'Gen. Capacity 132'!E4</f>
        <v>46082</v>
      </c>
      <c r="F4" s="1462">
        <f>'Gen. Capacity 132'!F4</f>
        <v>46113</v>
      </c>
      <c r="G4" s="1462">
        <f>'Gen. Capacity 132'!G4</f>
        <v>46143</v>
      </c>
      <c r="H4" s="1462">
        <f>'Gen. Capacity 132'!H4</f>
        <v>46174</v>
      </c>
      <c r="M4" s="337"/>
    </row>
    <row r="5" spans="1:54" x14ac:dyDescent="0.2">
      <c r="A5" s="1471" t="s">
        <v>874</v>
      </c>
      <c r="B5" s="1472" t="s">
        <v>39</v>
      </c>
      <c r="C5" s="1516">
        <f>'Gen. Capacity 132'!C11</f>
        <v>-15.464973200144652</v>
      </c>
      <c r="D5" s="1516">
        <f>'Gen. Capacity 132'!D11</f>
        <v>-15.109534628128094</v>
      </c>
      <c r="E5" s="1516">
        <f>'Gen. Capacity 132'!E11</f>
        <v>-15.392322709502169</v>
      </c>
      <c r="F5" s="1516">
        <f>'Gen. Capacity 132'!F11</f>
        <v>2110.0989642963909</v>
      </c>
      <c r="G5" s="1516">
        <f>'Gen. Capacity 132'!G11</f>
        <v>2196.5355779232659</v>
      </c>
      <c r="H5" s="1516">
        <f>'Gen. Capacity 132'!H11</f>
        <v>2082.613832659134</v>
      </c>
      <c r="I5" s="1482"/>
      <c r="J5" s="1482"/>
      <c r="K5" s="1482"/>
      <c r="L5" s="1482"/>
      <c r="M5" s="1480"/>
      <c r="N5" s="1482"/>
      <c r="O5" s="1482"/>
      <c r="P5" s="1482"/>
      <c r="Q5" s="1482"/>
      <c r="R5" s="1482"/>
      <c r="S5" s="1482"/>
      <c r="T5" s="1482"/>
      <c r="U5" s="1482"/>
      <c r="V5" s="1482"/>
      <c r="W5" s="1482"/>
      <c r="X5" s="1482"/>
      <c r="Y5" s="1482"/>
      <c r="Z5" s="1482"/>
      <c r="AA5" s="1482"/>
      <c r="AB5" s="1482"/>
      <c r="AC5" s="1482"/>
      <c r="AD5" s="1482"/>
      <c r="AE5" s="1482"/>
      <c r="AF5" s="1482"/>
      <c r="AG5" s="1482"/>
      <c r="AH5" s="1482"/>
      <c r="AI5" s="1482"/>
      <c r="AJ5" s="1482"/>
      <c r="AK5" s="1482"/>
      <c r="AL5" s="1482"/>
      <c r="AM5" s="1482"/>
      <c r="AN5" s="1482"/>
      <c r="AO5" s="1482"/>
      <c r="AP5" s="1482"/>
      <c r="AQ5" s="1482"/>
      <c r="AR5" s="1482"/>
      <c r="AS5" s="1482"/>
      <c r="AT5" s="1482"/>
      <c r="AU5" s="1482"/>
      <c r="AV5" s="1482"/>
      <c r="AW5" s="1482"/>
      <c r="AX5" s="1482"/>
      <c r="AY5" s="1482"/>
      <c r="AZ5" s="1479"/>
      <c r="BA5" s="1483"/>
      <c r="BB5" s="1483"/>
    </row>
    <row r="6" spans="1:54" x14ac:dyDescent="0.2">
      <c r="A6" s="1471" t="s">
        <v>878</v>
      </c>
      <c r="B6" s="1472" t="s">
        <v>39</v>
      </c>
      <c r="C6" s="1527">
        <f>'tx consumer data'!B5*$D$1</f>
        <v>10.532563119955801</v>
      </c>
      <c r="D6" s="1527">
        <f>'tx consumer data'!C5*$D$1</f>
        <v>9.7628202638874004</v>
      </c>
      <c r="E6" s="1527">
        <f>'tx consumer data'!D5*$D$1</f>
        <v>10.059332688576001</v>
      </c>
      <c r="F6" s="1527">
        <f>'tx consumer data'!E5*$D$1</f>
        <v>10.700785068632999</v>
      </c>
      <c r="G6" s="1527">
        <f>'tx consumer data'!F5*$D$1</f>
        <v>8.6031083449764001</v>
      </c>
      <c r="H6" s="1527">
        <f>'tx consumer data'!G5*$D$1</f>
        <v>10.027047668122801</v>
      </c>
      <c r="I6" s="1482"/>
      <c r="J6" s="1482"/>
      <c r="K6" s="1482"/>
      <c r="L6" s="1482"/>
      <c r="M6" s="1480"/>
      <c r="N6" s="1482"/>
      <c r="O6" s="1482"/>
      <c r="P6" s="1482"/>
      <c r="Q6" s="1482"/>
      <c r="R6" s="1482"/>
      <c r="S6" s="1482"/>
      <c r="T6" s="1482"/>
      <c r="U6" s="1482"/>
      <c r="V6" s="1482"/>
      <c r="W6" s="1482"/>
      <c r="X6" s="1482"/>
      <c r="Y6" s="1482"/>
      <c r="Z6" s="1482"/>
      <c r="AA6" s="1482"/>
      <c r="AB6" s="1482"/>
      <c r="AC6" s="1482"/>
      <c r="AD6" s="1482"/>
      <c r="AE6" s="1482"/>
      <c r="AF6" s="1482"/>
      <c r="AG6" s="1482"/>
      <c r="AH6" s="1482"/>
      <c r="AI6" s="1482"/>
      <c r="AJ6" s="1482"/>
      <c r="AK6" s="1482"/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79"/>
      <c r="BA6" s="1483"/>
      <c r="BB6" s="1483"/>
    </row>
    <row r="7" spans="1:54" x14ac:dyDescent="0.2">
      <c r="A7" s="1471" t="s">
        <v>879</v>
      </c>
      <c r="B7" s="1472" t="s">
        <v>39</v>
      </c>
      <c r="C7" s="1516">
        <f t="shared" ref="C7:H7" si="0">C5-C6</f>
        <v>-25.997536320100451</v>
      </c>
      <c r="D7" s="1516">
        <f t="shared" si="0"/>
        <v>-24.872354892015494</v>
      </c>
      <c r="E7" s="1516">
        <f t="shared" si="0"/>
        <v>-25.45165539807817</v>
      </c>
      <c r="F7" s="1516">
        <f t="shared" si="0"/>
        <v>2099.3981792277577</v>
      </c>
      <c r="G7" s="1516">
        <f t="shared" si="0"/>
        <v>2187.9324695782893</v>
      </c>
      <c r="H7" s="1516">
        <f t="shared" si="0"/>
        <v>2072.5867849910114</v>
      </c>
      <c r="I7" s="1482"/>
      <c r="J7" s="1482"/>
      <c r="K7" s="1482"/>
      <c r="L7" s="1482"/>
      <c r="M7" s="1480"/>
      <c r="N7" s="1482"/>
      <c r="O7" s="1482"/>
      <c r="P7" s="1482"/>
      <c r="Q7" s="1482"/>
      <c r="R7" s="1482"/>
      <c r="S7" s="1482"/>
      <c r="T7" s="1482"/>
      <c r="U7" s="1482"/>
      <c r="V7" s="1482"/>
      <c r="W7" s="1482"/>
      <c r="X7" s="1482"/>
      <c r="Y7" s="1482"/>
      <c r="Z7" s="1482"/>
      <c r="AA7" s="1482"/>
      <c r="AB7" s="1482"/>
      <c r="AC7" s="1482"/>
      <c r="AD7" s="1482"/>
      <c r="AE7" s="1482"/>
      <c r="AF7" s="1482"/>
      <c r="AG7" s="1482"/>
      <c r="AH7" s="1482"/>
      <c r="AI7" s="1482"/>
      <c r="AJ7" s="1482"/>
      <c r="AK7" s="1482"/>
      <c r="AL7" s="1482"/>
      <c r="AM7" s="1482"/>
      <c r="AN7" s="1482"/>
      <c r="AO7" s="1482"/>
      <c r="AP7" s="1482"/>
      <c r="AQ7" s="1482"/>
      <c r="AR7" s="1482"/>
      <c r="AS7" s="1482"/>
      <c r="AT7" s="1482"/>
      <c r="AU7" s="1482"/>
      <c r="AV7" s="1482"/>
      <c r="AW7" s="1482"/>
      <c r="AX7" s="1482"/>
      <c r="AY7" s="1482"/>
      <c r="AZ7" s="1479"/>
      <c r="BA7" s="1483"/>
      <c r="BB7" s="1483"/>
    </row>
    <row r="8" spans="1:54" x14ac:dyDescent="0.2">
      <c r="A8" s="1464" t="s">
        <v>880</v>
      </c>
      <c r="B8" s="1475" t="s">
        <v>39</v>
      </c>
      <c r="C8" s="1466">
        <f>'MW voltage wise'!F13</f>
        <v>0</v>
      </c>
      <c r="D8" s="1466">
        <f>'MW voltage wise'!G13</f>
        <v>0</v>
      </c>
      <c r="E8" s="1466">
        <f>'MW voltage wise'!H13</f>
        <v>0</v>
      </c>
      <c r="F8" s="1466">
        <f>'MW voltage wise'!I13</f>
        <v>29.497650822217214</v>
      </c>
      <c r="G8" s="1466">
        <f>'MW voltage wise'!J13</f>
        <v>31.4675674186084</v>
      </c>
      <c r="H8" s="1466">
        <f>'MW voltage wise'!K13</f>
        <v>33.685747609303029</v>
      </c>
      <c r="I8" s="1467"/>
      <c r="J8" s="1482"/>
      <c r="K8" s="1467"/>
      <c r="L8" s="314"/>
    </row>
    <row r="9" spans="1:54" hidden="1" x14ac:dyDescent="0.2">
      <c r="A9" s="1471" t="s">
        <v>881</v>
      </c>
      <c r="B9" s="1528" t="s">
        <v>37</v>
      </c>
      <c r="C9" s="1528">
        <v>0</v>
      </c>
      <c r="D9" s="1528">
        <v>0</v>
      </c>
      <c r="E9" s="1528">
        <v>0</v>
      </c>
      <c r="F9" s="1528">
        <v>0</v>
      </c>
      <c r="G9" s="1528">
        <v>0</v>
      </c>
      <c r="H9" s="1528">
        <v>0</v>
      </c>
      <c r="I9" s="1482"/>
      <c r="J9" s="1482"/>
      <c r="K9" s="1482"/>
      <c r="L9" s="1482"/>
      <c r="M9" s="1480"/>
      <c r="N9" s="1482"/>
      <c r="O9" s="1482"/>
      <c r="P9" s="1482"/>
      <c r="Q9" s="1482"/>
      <c r="R9" s="1482"/>
      <c r="S9" s="1482"/>
      <c r="T9" s="1482"/>
      <c r="U9" s="1482"/>
      <c r="V9" s="1482"/>
      <c r="W9" s="1482"/>
      <c r="X9" s="1482"/>
      <c r="Y9" s="1482"/>
      <c r="Z9" s="1482"/>
      <c r="AA9" s="1482"/>
      <c r="AB9" s="1482"/>
      <c r="AC9" s="1482"/>
      <c r="AD9" s="1482"/>
      <c r="AE9" s="1482"/>
      <c r="AF9" s="1482"/>
      <c r="AG9" s="1482"/>
      <c r="AH9" s="1482"/>
      <c r="AI9" s="1482"/>
      <c r="AJ9" s="1482"/>
      <c r="AK9" s="1482"/>
      <c r="AL9" s="1482"/>
      <c r="AM9" s="1482"/>
      <c r="AN9" s="1482"/>
      <c r="AO9" s="1482"/>
      <c r="AP9" s="1482"/>
      <c r="AQ9" s="1482"/>
      <c r="AR9" s="1482"/>
      <c r="AS9" s="1482"/>
      <c r="AT9" s="1482"/>
      <c r="AU9" s="1482"/>
      <c r="AV9" s="1482"/>
      <c r="AW9" s="1482"/>
      <c r="AX9" s="1482"/>
      <c r="AY9" s="1482"/>
      <c r="AZ9" s="1479"/>
      <c r="BA9" s="1483"/>
      <c r="BB9" s="1483"/>
    </row>
    <row r="10" spans="1:54" hidden="1" x14ac:dyDescent="0.2">
      <c r="A10" s="1471" t="s">
        <v>881</v>
      </c>
      <c r="B10" s="1528" t="s">
        <v>39</v>
      </c>
      <c r="C10" s="1520">
        <f t="shared" ref="C10:H10" si="1">(C8+C7)*C9</f>
        <v>0</v>
      </c>
      <c r="D10" s="1520">
        <f t="shared" si="1"/>
        <v>0</v>
      </c>
      <c r="E10" s="1520">
        <f t="shared" si="1"/>
        <v>0</v>
      </c>
      <c r="F10" s="1520">
        <f t="shared" si="1"/>
        <v>0</v>
      </c>
      <c r="G10" s="1520">
        <f t="shared" si="1"/>
        <v>0</v>
      </c>
      <c r="H10" s="1520">
        <f t="shared" si="1"/>
        <v>0</v>
      </c>
      <c r="I10" s="1482"/>
      <c r="J10" s="1482"/>
      <c r="K10" s="1482"/>
      <c r="L10" s="1482"/>
      <c r="M10" s="1480"/>
      <c r="N10" s="1482"/>
      <c r="O10" s="1482"/>
      <c r="P10" s="1482"/>
      <c r="Q10" s="1482"/>
      <c r="R10" s="1482"/>
      <c r="S10" s="1482"/>
      <c r="T10" s="1482"/>
      <c r="U10" s="1482"/>
      <c r="V10" s="1482"/>
      <c r="W10" s="1482"/>
      <c r="X10" s="1482"/>
      <c r="Y10" s="1482"/>
      <c r="Z10" s="1482"/>
      <c r="AA10" s="1482"/>
      <c r="AB10" s="1482"/>
      <c r="AC10" s="1482"/>
      <c r="AD10" s="1482"/>
      <c r="AE10" s="1482"/>
      <c r="AF10" s="1482"/>
      <c r="AG10" s="1482"/>
      <c r="AH10" s="1482"/>
      <c r="AI10" s="1482"/>
      <c r="AJ10" s="1482"/>
      <c r="AK10" s="1482"/>
      <c r="AL10" s="1482"/>
      <c r="AM10" s="1482"/>
      <c r="AN10" s="1482"/>
      <c r="AO10" s="1482"/>
      <c r="AP10" s="1482"/>
      <c r="AQ10" s="1482"/>
      <c r="AR10" s="1482"/>
      <c r="AS10" s="1482"/>
      <c r="AT10" s="1482"/>
      <c r="AU10" s="1482"/>
      <c r="AV10" s="1482"/>
      <c r="AW10" s="1482"/>
      <c r="AX10" s="1482"/>
      <c r="AY10" s="1482"/>
      <c r="AZ10" s="1479"/>
      <c r="BA10" s="1483"/>
      <c r="BB10" s="1483"/>
    </row>
    <row r="11" spans="1:54" x14ac:dyDescent="0.2">
      <c r="A11" s="1464" t="s">
        <v>882</v>
      </c>
      <c r="B11" s="1475" t="s">
        <v>39</v>
      </c>
      <c r="C11" s="1466">
        <f t="shared" ref="C11:H11" si="2">C7+C8-C10</f>
        <v>-25.997536320100451</v>
      </c>
      <c r="D11" s="1466">
        <f t="shared" si="2"/>
        <v>-24.872354892015494</v>
      </c>
      <c r="E11" s="1466">
        <f t="shared" si="2"/>
        <v>-25.45165539807817</v>
      </c>
      <c r="F11" s="1466">
        <f t="shared" si="2"/>
        <v>2128.8958300499748</v>
      </c>
      <c r="G11" s="1466">
        <f t="shared" si="2"/>
        <v>2219.4000369968976</v>
      </c>
      <c r="H11" s="1466">
        <f t="shared" si="2"/>
        <v>2106.2725326003147</v>
      </c>
      <c r="I11" s="1467"/>
      <c r="J11" s="1480"/>
      <c r="K11" s="1467"/>
      <c r="L11" s="314"/>
    </row>
    <row r="12" spans="1:54" x14ac:dyDescent="0.2">
      <c r="A12" s="1476"/>
      <c r="B12" s="1477"/>
      <c r="C12" s="1478"/>
      <c r="D12" s="1478"/>
      <c r="E12" s="1478"/>
      <c r="F12" s="1478"/>
      <c r="G12" s="1478"/>
      <c r="H12" s="1478"/>
      <c r="I12" s="1467"/>
      <c r="J12" s="1482"/>
      <c r="K12" s="1467"/>
      <c r="L12" s="314"/>
    </row>
    <row r="13" spans="1:54" x14ac:dyDescent="0.2">
      <c r="A13" s="1476"/>
      <c r="B13" s="1477"/>
      <c r="C13" s="1478"/>
      <c r="D13" s="1478"/>
      <c r="E13" s="1478"/>
      <c r="F13" s="1478"/>
      <c r="G13" s="1478"/>
      <c r="H13" s="1478"/>
      <c r="I13" s="1467"/>
      <c r="J13" s="1467"/>
      <c r="K13" s="1467"/>
      <c r="L13" s="314"/>
    </row>
    <row r="14" spans="1:54" x14ac:dyDescent="0.2">
      <c r="A14" s="3075" t="s">
        <v>54</v>
      </c>
      <c r="B14" s="3078"/>
      <c r="C14" s="3078"/>
      <c r="D14" s="3078"/>
      <c r="E14" s="3078"/>
      <c r="F14" s="3078"/>
      <c r="G14" s="3078"/>
      <c r="H14" s="3078"/>
      <c r="I14" s="1479"/>
      <c r="J14" s="1467"/>
      <c r="K14" s="1479"/>
      <c r="M14" s="1480"/>
      <c r="N14" s="3075"/>
      <c r="O14" s="3075"/>
      <c r="P14" s="3075"/>
      <c r="Q14" s="3075"/>
      <c r="R14" s="3075"/>
      <c r="S14" s="3075"/>
      <c r="T14" s="3075"/>
      <c r="U14" s="3075"/>
      <c r="V14" s="3075"/>
      <c r="W14" s="3075"/>
      <c r="X14" s="3075"/>
      <c r="Y14" s="3075"/>
      <c r="Z14" s="3075"/>
      <c r="AA14" s="3075"/>
      <c r="AB14" s="3075"/>
      <c r="AC14" s="3075"/>
      <c r="AD14" s="3075"/>
      <c r="AE14" s="3075"/>
      <c r="AF14" s="3075"/>
      <c r="AG14" s="3075"/>
      <c r="AH14" s="3075"/>
      <c r="AI14" s="3075"/>
      <c r="AJ14" s="3075"/>
      <c r="AK14" s="3075"/>
      <c r="AL14" s="3075"/>
      <c r="AM14" s="3075"/>
      <c r="AN14" s="3075"/>
      <c r="AO14" s="3075"/>
      <c r="AP14" s="3075"/>
      <c r="AQ14" s="3075"/>
      <c r="AR14" s="3075"/>
      <c r="AS14" s="3075"/>
      <c r="AT14" s="3075"/>
      <c r="AU14" s="3075"/>
      <c r="AV14" s="3075"/>
      <c r="AW14" s="3075"/>
      <c r="AX14" s="3075"/>
      <c r="AY14" s="3075"/>
      <c r="AZ14" s="1479"/>
    </row>
    <row r="15" spans="1:54" x14ac:dyDescent="0.2">
      <c r="A15" s="1481" t="s">
        <v>61</v>
      </c>
      <c r="B15" s="1461" t="s">
        <v>36</v>
      </c>
      <c r="C15" s="1462">
        <f t="shared" ref="C15:H15" si="3">C4</f>
        <v>46023</v>
      </c>
      <c r="D15" s="1462">
        <f t="shared" si="3"/>
        <v>46054</v>
      </c>
      <c r="E15" s="1462">
        <f t="shared" si="3"/>
        <v>46082</v>
      </c>
      <c r="F15" s="1462">
        <f t="shared" si="3"/>
        <v>46113</v>
      </c>
      <c r="G15" s="1462">
        <f t="shared" si="3"/>
        <v>46143</v>
      </c>
      <c r="H15" s="1462">
        <f t="shared" si="3"/>
        <v>46174</v>
      </c>
      <c r="I15" s="1482"/>
      <c r="J15" s="314"/>
      <c r="K15" s="1482"/>
      <c r="L15" s="1482"/>
      <c r="M15" s="1480"/>
      <c r="N15" s="1482"/>
      <c r="O15" s="1482"/>
      <c r="P15" s="1482"/>
      <c r="Q15" s="1482"/>
      <c r="R15" s="1482"/>
      <c r="S15" s="1482"/>
      <c r="T15" s="1482"/>
      <c r="U15" s="1482"/>
      <c r="V15" s="1482"/>
      <c r="W15" s="1482"/>
      <c r="X15" s="1482"/>
      <c r="Y15" s="1482"/>
      <c r="Z15" s="1482"/>
      <c r="AA15" s="1482"/>
      <c r="AB15" s="1482"/>
      <c r="AC15" s="1482"/>
      <c r="AD15" s="1482"/>
      <c r="AE15" s="1482"/>
      <c r="AF15" s="1482"/>
      <c r="AG15" s="1482"/>
      <c r="AH15" s="1482"/>
      <c r="AI15" s="1482"/>
      <c r="AJ15" s="1482"/>
      <c r="AK15" s="1482"/>
      <c r="AL15" s="1482"/>
      <c r="AM15" s="1482"/>
      <c r="AN15" s="1482"/>
      <c r="AO15" s="1482"/>
      <c r="AP15" s="1482"/>
      <c r="AQ15" s="1482"/>
      <c r="AR15" s="1482"/>
      <c r="AS15" s="1482"/>
      <c r="AT15" s="1482"/>
      <c r="AU15" s="1482"/>
      <c r="AV15" s="1482"/>
      <c r="AW15" s="1482"/>
      <c r="AX15" s="1482"/>
      <c r="AY15" s="1482"/>
      <c r="AZ15" s="1479"/>
      <c r="BA15" s="1483"/>
      <c r="BB15" s="1483"/>
    </row>
    <row r="16" spans="1:54" x14ac:dyDescent="0.2">
      <c r="A16" s="1484" t="s">
        <v>57</v>
      </c>
      <c r="B16" s="1485" t="s">
        <v>60</v>
      </c>
      <c r="C16" s="1486">
        <f>'hydro en &amp; capcost voltage wise'!E42</f>
        <v>7.2838609999999999</v>
      </c>
      <c r="D16" s="1486">
        <f>'hydro en &amp; capcost voltage wise'!F42</f>
        <v>7.5867726100000006</v>
      </c>
      <c r="E16" s="1486">
        <f>'hydro en &amp; capcost voltage wise'!G42</f>
        <v>7.2838609999999999</v>
      </c>
      <c r="F16" s="1486">
        <f>'hydro en &amp; capcost voltage wise'!H42</f>
        <v>9.5653954823147984</v>
      </c>
      <c r="G16" s="1486">
        <f>'hydro en &amp; capcost voltage wise'!I42</f>
        <v>9.5653954823147984</v>
      </c>
      <c r="H16" s="1486">
        <f>'hydro en &amp; capcost voltage wise'!J42</f>
        <v>9.5653954823147984</v>
      </c>
      <c r="I16" s="1487"/>
      <c r="K16" s="1489"/>
      <c r="P16" s="1488"/>
      <c r="Q16" s="1488"/>
      <c r="R16" s="1488"/>
    </row>
    <row r="17" spans="1:18" hidden="1" x14ac:dyDescent="0.2">
      <c r="A17" s="1484" t="s">
        <v>58</v>
      </c>
      <c r="B17" s="1485" t="s">
        <v>60</v>
      </c>
      <c r="C17" s="1486"/>
      <c r="D17" s="1486"/>
      <c r="E17" s="1486"/>
      <c r="F17" s="1486"/>
      <c r="G17" s="1486"/>
      <c r="H17" s="1486"/>
      <c r="I17" s="1487"/>
      <c r="K17" s="1489"/>
      <c r="P17" s="1488"/>
      <c r="Q17" s="1488"/>
      <c r="R17" s="1488"/>
    </row>
    <row r="18" spans="1:18" x14ac:dyDescent="0.2">
      <c r="A18" s="1484" t="s">
        <v>65</v>
      </c>
      <c r="B18" s="1485" t="s">
        <v>60</v>
      </c>
      <c r="C18" s="1486">
        <f>'hydro en &amp; capcost voltage wise'!E64</f>
        <v>37.808098960588232</v>
      </c>
      <c r="D18" s="1486">
        <f>'hydro en &amp; capcost voltage wise'!F64</f>
        <v>37.808098960588232</v>
      </c>
      <c r="E18" s="1486">
        <f>'hydro en &amp; capcost voltage wise'!G64</f>
        <v>37.808098960588232</v>
      </c>
      <c r="F18" s="1486">
        <f>'hydro en &amp; capcost voltage wise'!H64</f>
        <v>40.9877970430882</v>
      </c>
      <c r="G18" s="1486">
        <f>'hydro en &amp; capcost voltage wise'!I64</f>
        <v>40.9877970430882</v>
      </c>
      <c r="H18" s="1486">
        <f>'hydro en &amp; capcost voltage wise'!J64</f>
        <v>40.9877970430882</v>
      </c>
      <c r="I18" s="1487"/>
      <c r="K18" s="1489"/>
      <c r="P18" s="1488"/>
      <c r="Q18" s="1488"/>
      <c r="R18" s="1488"/>
    </row>
    <row r="19" spans="1:18" s="1490" customFormat="1" hidden="1" x14ac:dyDescent="0.2">
      <c r="A19" s="1484" t="s">
        <v>0</v>
      </c>
      <c r="B19" s="1485" t="s">
        <v>60</v>
      </c>
      <c r="C19" s="1486"/>
      <c r="D19" s="1486"/>
      <c r="E19" s="1486"/>
      <c r="F19" s="1486"/>
      <c r="G19" s="1486"/>
      <c r="H19" s="1486"/>
      <c r="I19" s="1487"/>
      <c r="J19" s="1488"/>
      <c r="K19" s="1489"/>
      <c r="P19" s="1488"/>
      <c r="Q19" s="1488"/>
      <c r="R19" s="1488"/>
    </row>
    <row r="20" spans="1:18" s="1490" customFormat="1" hidden="1" x14ac:dyDescent="0.2">
      <c r="A20" s="1484" t="s">
        <v>1</v>
      </c>
      <c r="B20" s="1485" t="s">
        <v>60</v>
      </c>
      <c r="C20" s="1486"/>
      <c r="D20" s="1486"/>
      <c r="E20" s="1486"/>
      <c r="F20" s="1486"/>
      <c r="G20" s="1486"/>
      <c r="H20" s="1486"/>
      <c r="I20" s="1487"/>
      <c r="J20" s="1488"/>
      <c r="K20" s="1489"/>
      <c r="P20" s="1491"/>
      <c r="Q20" s="1491"/>
      <c r="R20" s="1491"/>
    </row>
    <row r="21" spans="1:18" s="1490" customFormat="1" hidden="1" x14ac:dyDescent="0.2">
      <c r="A21" s="1484" t="s">
        <v>2</v>
      </c>
      <c r="B21" s="1485" t="s">
        <v>60</v>
      </c>
      <c r="C21" s="1486"/>
      <c r="D21" s="1486"/>
      <c r="E21" s="1486"/>
      <c r="F21" s="1486"/>
      <c r="G21" s="1486"/>
      <c r="H21" s="1486"/>
      <c r="I21" s="1487"/>
      <c r="J21" s="1488"/>
      <c r="K21" s="1489"/>
      <c r="P21" s="1491"/>
      <c r="Q21" s="1491"/>
      <c r="R21" s="1491"/>
    </row>
    <row r="22" spans="1:18" hidden="1" x14ac:dyDescent="0.2">
      <c r="A22" s="1492" t="s">
        <v>3</v>
      </c>
      <c r="B22" s="1493" t="s">
        <v>60</v>
      </c>
      <c r="C22" s="1494"/>
      <c r="D22" s="1494"/>
      <c r="E22" s="1494"/>
      <c r="F22" s="1494"/>
      <c r="G22" s="1494"/>
      <c r="H22" s="1494"/>
      <c r="I22" s="1487"/>
      <c r="J22" s="1488"/>
      <c r="K22" s="1489"/>
      <c r="P22" s="1488"/>
      <c r="Q22" s="1488"/>
      <c r="R22" s="1488"/>
    </row>
    <row r="23" spans="1:18" s="1490" customFormat="1" hidden="1" x14ac:dyDescent="0.2">
      <c r="A23" s="1492" t="s">
        <v>4</v>
      </c>
      <c r="B23" s="1493" t="s">
        <v>60</v>
      </c>
      <c r="C23" s="1494"/>
      <c r="D23" s="1494"/>
      <c r="E23" s="1494"/>
      <c r="F23" s="1494"/>
      <c r="G23" s="1494"/>
      <c r="H23" s="1494"/>
      <c r="I23" s="1487"/>
      <c r="J23" s="1488"/>
      <c r="K23" s="1489"/>
      <c r="P23" s="1491"/>
      <c r="Q23" s="1491"/>
      <c r="R23" s="1491"/>
    </row>
    <row r="24" spans="1:18" s="1490" customFormat="1" hidden="1" x14ac:dyDescent="0.2">
      <c r="A24" s="1484" t="s">
        <v>5</v>
      </c>
      <c r="B24" s="1485" t="s">
        <v>60</v>
      </c>
      <c r="C24" s="1486"/>
      <c r="D24" s="1486"/>
      <c r="E24" s="1486"/>
      <c r="F24" s="1486"/>
      <c r="G24" s="1486"/>
      <c r="H24" s="1486"/>
      <c r="I24" s="1487"/>
      <c r="J24" s="1488"/>
      <c r="K24" s="1489"/>
      <c r="P24" s="1491"/>
      <c r="Q24" s="1491"/>
      <c r="R24" s="1491"/>
    </row>
    <row r="25" spans="1:18" hidden="1" x14ac:dyDescent="0.2">
      <c r="A25" s="1484" t="s">
        <v>803</v>
      </c>
      <c r="B25" s="1485" t="s">
        <v>60</v>
      </c>
      <c r="C25" s="1486"/>
      <c r="D25" s="1486"/>
      <c r="E25" s="1486"/>
      <c r="F25" s="1486"/>
      <c r="G25" s="1486"/>
      <c r="H25" s="1486"/>
      <c r="I25" s="1487"/>
      <c r="J25" s="1495"/>
      <c r="K25" s="1489"/>
      <c r="P25" s="1473"/>
      <c r="Q25" s="1473"/>
      <c r="R25" s="1473"/>
    </row>
    <row r="26" spans="1:18" hidden="1" x14ac:dyDescent="0.2">
      <c r="A26" s="1492" t="s">
        <v>7</v>
      </c>
      <c r="B26" s="1493" t="s">
        <v>60</v>
      </c>
      <c r="C26" s="1494"/>
      <c r="D26" s="1494"/>
      <c r="E26" s="1494"/>
      <c r="F26" s="1494"/>
      <c r="G26" s="1494"/>
      <c r="H26" s="1494"/>
      <c r="I26" s="1487"/>
      <c r="J26" s="1488"/>
      <c r="K26" s="1489"/>
      <c r="P26" s="1488"/>
      <c r="Q26" s="1488"/>
      <c r="R26" s="1488"/>
    </row>
    <row r="27" spans="1:18" hidden="1" x14ac:dyDescent="0.2">
      <c r="A27" s="1492" t="s">
        <v>8</v>
      </c>
      <c r="B27" s="1493" t="s">
        <v>60</v>
      </c>
      <c r="C27" s="1494"/>
      <c r="D27" s="1494"/>
      <c r="E27" s="1494"/>
      <c r="F27" s="1494"/>
      <c r="G27" s="1494"/>
      <c r="H27" s="1494"/>
      <c r="I27" s="1487"/>
      <c r="J27" s="1488"/>
      <c r="K27" s="1489"/>
      <c r="P27" s="1488"/>
      <c r="Q27" s="1488"/>
      <c r="R27" s="1488"/>
    </row>
    <row r="28" spans="1:18" x14ac:dyDescent="0.2">
      <c r="A28" s="1484" t="s">
        <v>9</v>
      </c>
      <c r="B28" s="1485" t="s">
        <v>60</v>
      </c>
      <c r="C28" s="1486" t="e">
        <f>'Gen. Capacity'!#REF!</f>
        <v>#REF!</v>
      </c>
      <c r="D28" s="1486" t="e">
        <f>'Gen. Capacity'!#REF!</f>
        <v>#REF!</v>
      </c>
      <c r="E28" s="1486" t="e">
        <f>'Gen. Capacity'!#REF!</f>
        <v>#REF!</v>
      </c>
      <c r="F28" s="1486" t="e">
        <f>'Gen. Capacity'!#REF!</f>
        <v>#REF!</v>
      </c>
      <c r="G28" s="1486" t="e">
        <f>'Gen. Capacity'!#REF!</f>
        <v>#REF!</v>
      </c>
      <c r="H28" s="1486" t="e">
        <f>'Gen. Capacity'!#REF!</f>
        <v>#REF!</v>
      </c>
      <c r="I28" s="1487"/>
      <c r="J28" s="1488"/>
      <c r="K28" s="1489"/>
    </row>
    <row r="29" spans="1:18" hidden="1" x14ac:dyDescent="0.2">
      <c r="A29" s="1492" t="s">
        <v>10</v>
      </c>
      <c r="B29" s="1493" t="s">
        <v>60</v>
      </c>
      <c r="C29" s="1494"/>
      <c r="D29" s="1494"/>
      <c r="E29" s="1494"/>
      <c r="F29" s="1494"/>
      <c r="G29" s="1494"/>
      <c r="H29" s="1494"/>
      <c r="I29" s="1487"/>
      <c r="J29" s="1488"/>
      <c r="K29" s="1489"/>
    </row>
    <row r="30" spans="1:18" hidden="1" x14ac:dyDescent="0.2">
      <c r="A30" s="1484" t="s">
        <v>11</v>
      </c>
      <c r="B30" s="1485" t="s">
        <v>60</v>
      </c>
      <c r="C30" s="1486"/>
      <c r="D30" s="1486"/>
      <c r="E30" s="1486"/>
      <c r="F30" s="1486"/>
      <c r="G30" s="1486"/>
      <c r="H30" s="1486"/>
      <c r="I30" s="1487"/>
      <c r="J30" s="1488"/>
      <c r="K30" s="1489"/>
    </row>
    <row r="31" spans="1:18" hidden="1" x14ac:dyDescent="0.2">
      <c r="A31" s="1492" t="s">
        <v>12</v>
      </c>
      <c r="B31" s="1493" t="s">
        <v>60</v>
      </c>
      <c r="C31" s="1494"/>
      <c r="D31" s="1494"/>
      <c r="E31" s="1494"/>
      <c r="F31" s="1494"/>
      <c r="G31" s="1494"/>
      <c r="H31" s="1494"/>
      <c r="I31" s="1487"/>
      <c r="J31" s="1488"/>
      <c r="K31" s="1489"/>
    </row>
    <row r="32" spans="1:18" hidden="1" x14ac:dyDescent="0.2">
      <c r="A32" s="1484" t="s">
        <v>643</v>
      </c>
      <c r="B32" s="1485" t="s">
        <v>60</v>
      </c>
      <c r="C32" s="1486"/>
      <c r="D32" s="1486"/>
      <c r="E32" s="1486"/>
      <c r="F32" s="1486"/>
      <c r="G32" s="1486"/>
      <c r="H32" s="1486"/>
      <c r="I32" s="1487"/>
      <c r="J32" s="1488"/>
      <c r="K32" s="1489"/>
    </row>
    <row r="33" spans="1:11" hidden="1" x14ac:dyDescent="0.2">
      <c r="A33" s="1484" t="s">
        <v>13</v>
      </c>
      <c r="B33" s="1485" t="s">
        <v>60</v>
      </c>
      <c r="C33" s="1486"/>
      <c r="D33" s="1486"/>
      <c r="E33" s="1486"/>
      <c r="F33" s="1486"/>
      <c r="G33" s="1486"/>
      <c r="H33" s="1486"/>
      <c r="I33" s="1487"/>
      <c r="J33" s="1488"/>
      <c r="K33" s="1489"/>
    </row>
    <row r="34" spans="1:11" s="1490" customFormat="1" hidden="1" x14ac:dyDescent="0.2">
      <c r="A34" s="1484" t="s">
        <v>14</v>
      </c>
      <c r="B34" s="1485" t="s">
        <v>60</v>
      </c>
      <c r="C34" s="1486"/>
      <c r="D34" s="1486"/>
      <c r="E34" s="1486"/>
      <c r="F34" s="1486"/>
      <c r="G34" s="1486"/>
      <c r="H34" s="1486"/>
      <c r="I34" s="1487"/>
      <c r="J34" s="1488"/>
      <c r="K34" s="1489"/>
    </row>
    <row r="35" spans="1:11" hidden="1" x14ac:dyDescent="0.2">
      <c r="A35" s="1484" t="s">
        <v>15</v>
      </c>
      <c r="B35" s="1485" t="s">
        <v>60</v>
      </c>
      <c r="C35" s="1486"/>
      <c r="D35" s="1486"/>
      <c r="E35" s="1486"/>
      <c r="F35" s="1486"/>
      <c r="G35" s="1486"/>
      <c r="H35" s="1486"/>
      <c r="I35" s="1487"/>
      <c r="J35" s="1488"/>
      <c r="K35" s="1489"/>
    </row>
    <row r="36" spans="1:11" hidden="1" x14ac:dyDescent="0.2">
      <c r="A36" s="1484" t="s">
        <v>111</v>
      </c>
      <c r="B36" s="1485" t="s">
        <v>60</v>
      </c>
      <c r="C36" s="1486"/>
      <c r="D36" s="1486"/>
      <c r="E36" s="1486"/>
      <c r="F36" s="1486"/>
      <c r="G36" s="1486"/>
      <c r="H36" s="1486"/>
      <c r="I36" s="1487"/>
      <c r="J36" s="1488"/>
      <c r="K36" s="1489"/>
    </row>
    <row r="37" spans="1:11" s="1490" customFormat="1" x14ac:dyDescent="0.2">
      <c r="A37" s="1484" t="s">
        <v>1053</v>
      </c>
      <c r="B37" s="1485" t="s">
        <v>60</v>
      </c>
      <c r="C37" s="1486">
        <f>'Gen. Capacity'!C25</f>
        <v>10.402308679999999</v>
      </c>
      <c r="D37" s="1486">
        <f>'Gen. Capacity'!D25</f>
        <v>10.601094420000001</v>
      </c>
      <c r="E37" s="1486">
        <f>'Gen. Capacity'!E25</f>
        <v>10.402308679999999</v>
      </c>
      <c r="F37" s="1486">
        <f>'Gen. Capacity'!F25</f>
        <v>10.257897026305368</v>
      </c>
      <c r="G37" s="1486">
        <f>'Gen. Capacity'!G25</f>
        <v>10.257897026305368</v>
      </c>
      <c r="H37" s="1486">
        <f>'Gen. Capacity'!H25</f>
        <v>10.257897026305368</v>
      </c>
      <c r="I37" s="1487"/>
      <c r="J37" s="1488"/>
      <c r="K37" s="1489"/>
    </row>
    <row r="38" spans="1:11" hidden="1" x14ac:dyDescent="0.2">
      <c r="A38" s="1492" t="s">
        <v>463</v>
      </c>
      <c r="B38" s="1493" t="s">
        <v>60</v>
      </c>
      <c r="C38" s="1494"/>
      <c r="D38" s="1494"/>
      <c r="E38" s="1494"/>
      <c r="F38" s="1494"/>
      <c r="G38" s="1494"/>
      <c r="H38" s="1494"/>
      <c r="I38" s="1487"/>
      <c r="J38" s="1488"/>
      <c r="K38" s="1489"/>
    </row>
    <row r="39" spans="1:11" x14ac:dyDescent="0.2">
      <c r="A39" s="1496" t="s">
        <v>464</v>
      </c>
      <c r="B39" s="1497" t="s">
        <v>60</v>
      </c>
      <c r="C39" s="1498">
        <f>'Gen. Capacity'!C35</f>
        <v>0</v>
      </c>
      <c r="D39" s="1498">
        <f>'Gen. Capacity'!D35</f>
        <v>0</v>
      </c>
      <c r="E39" s="1498">
        <f>'Gen. Capacity'!E35</f>
        <v>0</v>
      </c>
      <c r="F39" s="1498">
        <f>'Gen. Capacity'!F35</f>
        <v>0</v>
      </c>
      <c r="G39" s="1498">
        <f>'Gen. Capacity'!G35</f>
        <v>0</v>
      </c>
      <c r="H39" s="1498">
        <f>'Gen. Capacity'!H35</f>
        <v>0</v>
      </c>
      <c r="I39" s="1487"/>
      <c r="J39" s="1488"/>
      <c r="K39" s="1489"/>
    </row>
    <row r="40" spans="1:11" s="1490" customFormat="1" x14ac:dyDescent="0.2">
      <c r="A40" s="1484" t="s">
        <v>538</v>
      </c>
      <c r="B40" s="1485" t="s">
        <v>60</v>
      </c>
      <c r="C40" s="1486">
        <f>'Gen. Capacity'!C24</f>
        <v>36.522171260000007</v>
      </c>
      <c r="D40" s="1486">
        <f>'Gen. Capacity'!D24</f>
        <v>38.794008299999994</v>
      </c>
      <c r="E40" s="1486">
        <f>'Gen. Capacity'!E24</f>
        <v>36.522171260000007</v>
      </c>
      <c r="F40" s="1486">
        <f>'Gen. Capacity'!F24</f>
        <v>24.26134715920421</v>
      </c>
      <c r="G40" s="1486">
        <f>'Gen. Capacity'!G24</f>
        <v>24.26134715920421</v>
      </c>
      <c r="H40" s="1486">
        <f>'Gen. Capacity'!H24</f>
        <v>24.26134715920421</v>
      </c>
      <c r="I40" s="1487"/>
      <c r="J40" s="1488"/>
      <c r="K40" s="1489"/>
    </row>
    <row r="41" spans="1:11" hidden="1" x14ac:dyDescent="0.2">
      <c r="A41" s="1492" t="s">
        <v>19</v>
      </c>
      <c r="B41" s="1493" t="s">
        <v>60</v>
      </c>
      <c r="C41" s="1494"/>
      <c r="D41" s="1494"/>
      <c r="E41" s="1494"/>
      <c r="F41" s="1494"/>
      <c r="G41" s="1499"/>
      <c r="H41" s="1494"/>
      <c r="I41" s="1487"/>
      <c r="J41" s="1488"/>
      <c r="K41" s="1489"/>
    </row>
    <row r="42" spans="1:11" hidden="1" x14ac:dyDescent="0.2">
      <c r="A42" s="1492" t="s">
        <v>739</v>
      </c>
      <c r="B42" s="1493" t="s">
        <v>60</v>
      </c>
      <c r="C42" s="1494"/>
      <c r="D42" s="1494"/>
      <c r="E42" s="1494"/>
      <c r="F42" s="1494"/>
      <c r="G42" s="1494"/>
      <c r="H42" s="1494"/>
      <c r="I42" s="1487"/>
      <c r="J42" s="1488"/>
      <c r="K42" s="1489"/>
    </row>
    <row r="43" spans="1:11" x14ac:dyDescent="0.2">
      <c r="A43" s="1484" t="s">
        <v>817</v>
      </c>
      <c r="B43" s="1485" t="s">
        <v>60</v>
      </c>
      <c r="C43" s="1486" t="e">
        <f>'Gen. Capacity'!#REF!</f>
        <v>#REF!</v>
      </c>
      <c r="D43" s="1486" t="e">
        <f>'Gen. Capacity'!#REF!</f>
        <v>#REF!</v>
      </c>
      <c r="E43" s="1486" t="e">
        <f>'Gen. Capacity'!#REF!</f>
        <v>#REF!</v>
      </c>
      <c r="F43" s="1486" t="e">
        <f>'Gen. Capacity'!#REF!</f>
        <v>#REF!</v>
      </c>
      <c r="G43" s="1486" t="e">
        <f>'Gen. Capacity'!#REF!</f>
        <v>#REF!</v>
      </c>
      <c r="H43" s="1486" t="e">
        <f>'Gen. Capacity'!#REF!</f>
        <v>#REF!</v>
      </c>
      <c r="I43" s="1487"/>
      <c r="J43" s="1488"/>
      <c r="K43" s="1489"/>
    </row>
    <row r="44" spans="1:11" x14ac:dyDescent="0.2">
      <c r="A44" s="1484" t="s">
        <v>818</v>
      </c>
      <c r="B44" s="1485" t="s">
        <v>60</v>
      </c>
      <c r="C44" s="1486">
        <f>'Gen. Capacity'!C27</f>
        <v>29.085821758000002</v>
      </c>
      <c r="D44" s="1486">
        <f>'Gen. Capacity'!D27</f>
        <v>31.925617758000001</v>
      </c>
      <c r="E44" s="1486">
        <f>'Gen. Capacity'!E27</f>
        <v>29.085821758000002</v>
      </c>
      <c r="F44" s="1486">
        <f>'Gen. Capacity'!F27</f>
        <v>30.013268008088069</v>
      </c>
      <c r="G44" s="1486">
        <f>'Gen. Capacity'!G27</f>
        <v>30.013268008088069</v>
      </c>
      <c r="H44" s="1486">
        <f>'Gen. Capacity'!H27</f>
        <v>30.013268008088069</v>
      </c>
      <c r="I44" s="1487"/>
      <c r="J44" s="1488"/>
      <c r="K44" s="1489"/>
    </row>
    <row r="45" spans="1:11" x14ac:dyDescent="0.2">
      <c r="A45" s="1484" t="s">
        <v>819</v>
      </c>
      <c r="B45" s="1485" t="s">
        <v>60</v>
      </c>
      <c r="C45" s="1486">
        <f>'Gen. Capacity'!C28</f>
        <v>19.390548164000002</v>
      </c>
      <c r="D45" s="1486">
        <f>'Gen. Capacity'!D28</f>
        <v>21.283746164</v>
      </c>
      <c r="E45" s="1486">
        <f>'Gen. Capacity'!E28</f>
        <v>19.390548164000002</v>
      </c>
      <c r="F45" s="1486">
        <f>'Gen. Capacity'!F28</f>
        <v>20.008845664058708</v>
      </c>
      <c r="G45" s="1486">
        <f>'Gen. Capacity'!G28</f>
        <v>20.008845664058708</v>
      </c>
      <c r="H45" s="1486">
        <f>'Gen. Capacity'!H28</f>
        <v>20.008845664058708</v>
      </c>
      <c r="I45" s="1487"/>
      <c r="J45" s="1488"/>
      <c r="K45" s="1489"/>
    </row>
    <row r="46" spans="1:11" hidden="1" x14ac:dyDescent="0.2">
      <c r="A46" s="1113" t="s">
        <v>865</v>
      </c>
      <c r="B46" s="1485" t="s">
        <v>60</v>
      </c>
      <c r="C46" s="1486">
        <f>'Gen. Capacity'!C44</f>
        <v>0</v>
      </c>
      <c r="D46" s="1486">
        <f>'Gen. Capacity'!D44</f>
        <v>0</v>
      </c>
      <c r="E46" s="1486">
        <f>'Gen. Capacity'!E44</f>
        <v>0</v>
      </c>
      <c r="F46" s="1486">
        <f>'Gen. Capacity'!F44</f>
        <v>0</v>
      </c>
      <c r="G46" s="1486">
        <f>'Gen. Capacity'!G44</f>
        <v>0</v>
      </c>
      <c r="H46" s="1486">
        <f>'Gen. Capacity'!H44</f>
        <v>0</v>
      </c>
      <c r="I46" s="1487"/>
      <c r="J46" s="1488"/>
      <c r="K46" s="1489"/>
    </row>
    <row r="47" spans="1:11" hidden="1" x14ac:dyDescent="0.2">
      <c r="A47" s="1113" t="s">
        <v>864</v>
      </c>
      <c r="B47" s="1485" t="s">
        <v>60</v>
      </c>
      <c r="C47" s="1486">
        <f>'Gen. Capacity'!C45</f>
        <v>0</v>
      </c>
      <c r="D47" s="1486">
        <f>'Gen. Capacity'!D45</f>
        <v>0</v>
      </c>
      <c r="E47" s="1486">
        <f>'Gen. Capacity'!E45</f>
        <v>0</v>
      </c>
      <c r="F47" s="1486">
        <f>'Gen. Capacity'!F45</f>
        <v>0</v>
      </c>
      <c r="G47" s="1486">
        <f>'Gen. Capacity'!G45</f>
        <v>0</v>
      </c>
      <c r="H47" s="1486">
        <f>'Gen. Capacity'!H45</f>
        <v>0</v>
      </c>
      <c r="I47" s="1487"/>
      <c r="J47" s="1488"/>
      <c r="K47" s="1489"/>
    </row>
    <row r="48" spans="1:11" hidden="1" x14ac:dyDescent="0.2">
      <c r="A48" s="1113" t="s">
        <v>829</v>
      </c>
      <c r="B48" s="1485" t="s">
        <v>60</v>
      </c>
      <c r="C48" s="1486">
        <f>'Gen. Capacity'!C46</f>
        <v>0</v>
      </c>
      <c r="D48" s="1486">
        <f>'Gen. Capacity'!D46</f>
        <v>0</v>
      </c>
      <c r="E48" s="1486">
        <f>'Gen. Capacity'!E46</f>
        <v>0</v>
      </c>
      <c r="F48" s="1486">
        <f>'Gen. Capacity'!F46</f>
        <v>0</v>
      </c>
      <c r="G48" s="1486">
        <f>'Gen. Capacity'!G46</f>
        <v>0</v>
      </c>
      <c r="H48" s="1486">
        <f>'Gen. Capacity'!H46</f>
        <v>0</v>
      </c>
      <c r="I48" s="1487"/>
      <c r="J48" s="1488"/>
      <c r="K48" s="1489"/>
    </row>
    <row r="49" spans="1:11" hidden="1" x14ac:dyDescent="0.2">
      <c r="A49" s="1113" t="s">
        <v>831</v>
      </c>
      <c r="B49" s="1485" t="s">
        <v>60</v>
      </c>
      <c r="C49" s="1486">
        <f>'Gen. Capacity'!C47</f>
        <v>0</v>
      </c>
      <c r="D49" s="1486">
        <f>'Gen. Capacity'!D47</f>
        <v>0</v>
      </c>
      <c r="E49" s="1486">
        <f>'Gen. Capacity'!E47</f>
        <v>0</v>
      </c>
      <c r="F49" s="1486">
        <f>'Gen. Capacity'!F47</f>
        <v>0</v>
      </c>
      <c r="G49" s="1486">
        <f>'Gen. Capacity'!G47</f>
        <v>0</v>
      </c>
      <c r="H49" s="1486">
        <f>'Gen. Capacity'!H47</f>
        <v>0</v>
      </c>
      <c r="I49" s="1487"/>
      <c r="J49" s="1488"/>
      <c r="K49" s="1489"/>
    </row>
    <row r="50" spans="1:11" hidden="1" x14ac:dyDescent="0.2">
      <c r="A50" s="1113" t="s">
        <v>826</v>
      </c>
      <c r="B50" s="1485" t="s">
        <v>60</v>
      </c>
      <c r="C50" s="1486">
        <f>'Gen. Capacity'!C48</f>
        <v>0</v>
      </c>
      <c r="D50" s="1486">
        <f>'Gen. Capacity'!D48</f>
        <v>0</v>
      </c>
      <c r="E50" s="1486">
        <f>'Gen. Capacity'!E48</f>
        <v>0</v>
      </c>
      <c r="F50" s="1486">
        <f>'Gen. Capacity'!F48</f>
        <v>0</v>
      </c>
      <c r="G50" s="1486">
        <f>'Gen. Capacity'!G48</f>
        <v>0</v>
      </c>
      <c r="H50" s="1486">
        <f>'Gen. Capacity'!H48</f>
        <v>0</v>
      </c>
      <c r="I50" s="1487"/>
      <c r="J50" s="1488"/>
      <c r="K50" s="1489"/>
    </row>
    <row r="51" spans="1:11" hidden="1" x14ac:dyDescent="0.2">
      <c r="A51" s="1113" t="s">
        <v>827</v>
      </c>
      <c r="B51" s="1485" t="s">
        <v>60</v>
      </c>
      <c r="C51" s="1486">
        <f>'Gen. Capacity'!C49</f>
        <v>0</v>
      </c>
      <c r="D51" s="1486">
        <f>'Gen. Capacity'!D49</f>
        <v>0</v>
      </c>
      <c r="E51" s="1486">
        <f>'Gen. Capacity'!E49</f>
        <v>0</v>
      </c>
      <c r="F51" s="1486">
        <f>'Gen. Capacity'!F49</f>
        <v>0</v>
      </c>
      <c r="G51" s="1486">
        <f>'Gen. Capacity'!G49</f>
        <v>0</v>
      </c>
      <c r="H51" s="1486">
        <f>'Gen. Capacity'!H49</f>
        <v>0</v>
      </c>
      <c r="I51" s="1487"/>
      <c r="J51" s="1488"/>
      <c r="K51" s="1489"/>
    </row>
    <row r="52" spans="1:11" hidden="1" x14ac:dyDescent="0.2">
      <c r="A52" s="1484" t="s">
        <v>1043</v>
      </c>
      <c r="B52" s="1485" t="s">
        <v>60</v>
      </c>
      <c r="C52" s="1486">
        <f>'Gen. Capacity'!C50</f>
        <v>0</v>
      </c>
      <c r="D52" s="1486">
        <f>'Gen. Capacity'!D50</f>
        <v>0</v>
      </c>
      <c r="E52" s="1486">
        <f>'Gen. Capacity'!E50</f>
        <v>0</v>
      </c>
      <c r="F52" s="1486">
        <f>'Gen. Capacity'!F50</f>
        <v>0</v>
      </c>
      <c r="G52" s="1486">
        <f>'Gen. Capacity'!G50</f>
        <v>0</v>
      </c>
      <c r="H52" s="1486">
        <f>'Gen. Capacity'!H50</f>
        <v>0</v>
      </c>
      <c r="I52" s="1487"/>
      <c r="J52" s="1488"/>
      <c r="K52" s="1489"/>
    </row>
    <row r="53" spans="1:11" x14ac:dyDescent="0.2">
      <c r="A53" s="1484" t="s">
        <v>1064</v>
      </c>
      <c r="B53" s="1485" t="s">
        <v>60</v>
      </c>
      <c r="C53" s="1486">
        <f>'Gen. Capacity'!C51</f>
        <v>0</v>
      </c>
      <c r="D53" s="1486">
        <f>'Gen. Capacity'!D51</f>
        <v>0</v>
      </c>
      <c r="E53" s="1486">
        <f>'Gen. Capacity'!E51</f>
        <v>0</v>
      </c>
      <c r="F53" s="1486">
        <f>'Gen. Capacity'!F51</f>
        <v>0</v>
      </c>
      <c r="G53" s="1486">
        <f>'Gen. Capacity'!G51</f>
        <v>0</v>
      </c>
      <c r="H53" s="1486">
        <f>'Gen. Capacity'!H51</f>
        <v>0</v>
      </c>
      <c r="I53" s="1487"/>
      <c r="J53" s="1488"/>
      <c r="K53" s="1489"/>
    </row>
    <row r="54" spans="1:11" x14ac:dyDescent="0.2">
      <c r="A54" s="1484"/>
      <c r="B54" s="1485"/>
      <c r="C54" s="1486"/>
      <c r="D54" s="1486"/>
      <c r="E54" s="1486"/>
      <c r="F54" s="1486"/>
      <c r="G54" s="1486"/>
      <c r="H54" s="1486"/>
      <c r="I54" s="1487"/>
      <c r="J54" s="1488"/>
      <c r="K54" s="1489"/>
    </row>
    <row r="55" spans="1:11" x14ac:dyDescent="0.2">
      <c r="A55" s="1484"/>
      <c r="B55" s="1485"/>
      <c r="C55" s="1486"/>
      <c r="D55" s="1486"/>
      <c r="E55" s="1486"/>
      <c r="F55" s="1486"/>
      <c r="G55" s="1486"/>
      <c r="H55" s="1486"/>
      <c r="I55" s="1487"/>
      <c r="J55" s="1488"/>
      <c r="K55" s="1489"/>
    </row>
    <row r="56" spans="1:11" x14ac:dyDescent="0.2">
      <c r="A56" s="1500" t="s">
        <v>31</v>
      </c>
      <c r="B56" s="1501" t="s">
        <v>60</v>
      </c>
      <c r="C56" s="1502" t="e">
        <f t="shared" ref="C56:H56" si="4">SUM(C16:C55)</f>
        <v>#REF!</v>
      </c>
      <c r="D56" s="1502" t="e">
        <f t="shared" si="4"/>
        <v>#REF!</v>
      </c>
      <c r="E56" s="1502" t="e">
        <f t="shared" si="4"/>
        <v>#REF!</v>
      </c>
      <c r="F56" s="1502" t="e">
        <f t="shared" si="4"/>
        <v>#REF!</v>
      </c>
      <c r="G56" s="1502" t="e">
        <f t="shared" si="4"/>
        <v>#REF!</v>
      </c>
      <c r="H56" s="1502" t="e">
        <f t="shared" si="4"/>
        <v>#REF!</v>
      </c>
      <c r="I56" s="1487"/>
      <c r="J56" s="1488"/>
      <c r="K56" s="1489"/>
    </row>
    <row r="57" spans="1:11" x14ac:dyDescent="0.2">
      <c r="A57" s="1500" t="s">
        <v>883</v>
      </c>
      <c r="B57" s="1501" t="s">
        <v>60</v>
      </c>
      <c r="C57" s="1502" t="e">
        <f>'Gen. Capacity 132'!C49-('Gen. Capacity 132'!C57*'Gen. Capacity 33'!C6/1000000)</f>
        <v>#REF!</v>
      </c>
      <c r="D57" s="1502" t="e">
        <f>'Gen. Capacity 132'!D49-('Gen. Capacity 132'!D57*'Gen. Capacity 33'!D6/1000000)</f>
        <v>#REF!</v>
      </c>
      <c r="E57" s="1502" t="e">
        <f>'Gen. Capacity 132'!E49-('Gen. Capacity 132'!E57*'Gen. Capacity 33'!E6/1000000)</f>
        <v>#REF!</v>
      </c>
      <c r="F57" s="1502" t="e">
        <f>'Gen. Capacity 132'!F49-('Gen. Capacity 132'!F57*'Gen. Capacity 33'!F6/1000000)</f>
        <v>#REF!</v>
      </c>
      <c r="G57" s="1502" t="e">
        <f>'Gen. Capacity 132'!G49-('Gen. Capacity 132'!G57*'Gen. Capacity 33'!G6/1000000)</f>
        <v>#REF!</v>
      </c>
      <c r="H57" s="1502" t="e">
        <f>'Gen. Capacity 132'!H49-('Gen. Capacity 132'!H57*'Gen. Capacity 33'!H6/1000000)</f>
        <v>#REF!</v>
      </c>
      <c r="I57" s="1487"/>
      <c r="J57" s="1488"/>
      <c r="K57" s="1489"/>
    </row>
    <row r="58" spans="1:11" x14ac:dyDescent="0.2">
      <c r="A58" s="1500" t="s">
        <v>884</v>
      </c>
      <c r="B58" s="1501" t="s">
        <v>60</v>
      </c>
      <c r="C58" s="1502" t="e">
        <f t="shared" ref="C58:H58" si="5">C56+C57</f>
        <v>#REF!</v>
      </c>
      <c r="D58" s="1502" t="e">
        <f t="shared" si="5"/>
        <v>#REF!</v>
      </c>
      <c r="E58" s="1502" t="e">
        <f t="shared" si="5"/>
        <v>#REF!</v>
      </c>
      <c r="F58" s="1502" t="e">
        <f t="shared" si="5"/>
        <v>#REF!</v>
      </c>
      <c r="G58" s="1502" t="e">
        <f t="shared" si="5"/>
        <v>#REF!</v>
      </c>
      <c r="H58" s="1502" t="e">
        <f t="shared" si="5"/>
        <v>#REF!</v>
      </c>
      <c r="I58" s="1487"/>
      <c r="J58" s="1487"/>
      <c r="K58" s="1489"/>
    </row>
    <row r="59" spans="1:11" hidden="1" x14ac:dyDescent="0.2">
      <c r="A59" s="1479"/>
      <c r="C59" s="1503"/>
      <c r="D59" s="1503"/>
      <c r="E59" s="1503"/>
      <c r="F59" s="1503"/>
      <c r="G59" s="1503"/>
      <c r="H59" s="1503"/>
      <c r="J59" s="1488"/>
      <c r="K59" s="1489"/>
    </row>
    <row r="60" spans="1:11" hidden="1" x14ac:dyDescent="0.2">
      <c r="A60" s="1479"/>
      <c r="C60" s="1503"/>
      <c r="D60" s="1503"/>
      <c r="E60" s="1503"/>
      <c r="F60" s="1503"/>
      <c r="G60" s="1503"/>
      <c r="H60" s="1503"/>
      <c r="J60" s="1489"/>
      <c r="K60" s="1489"/>
    </row>
    <row r="61" spans="1:11" hidden="1" x14ac:dyDescent="0.2">
      <c r="A61" s="1479"/>
      <c r="C61" s="1473" t="e">
        <f t="shared" ref="C61:H61" si="6">C58-C59+C60</f>
        <v>#REF!</v>
      </c>
      <c r="D61" s="1473" t="e">
        <f t="shared" si="6"/>
        <v>#REF!</v>
      </c>
      <c r="E61" s="1473" t="e">
        <f t="shared" si="6"/>
        <v>#REF!</v>
      </c>
      <c r="F61" s="1473" t="e">
        <f t="shared" si="6"/>
        <v>#REF!</v>
      </c>
      <c r="G61" s="1473" t="e">
        <f t="shared" si="6"/>
        <v>#REF!</v>
      </c>
      <c r="H61" s="1473" t="e">
        <f t="shared" si="6"/>
        <v>#REF!</v>
      </c>
      <c r="I61" s="1473"/>
      <c r="K61" s="1489"/>
    </row>
    <row r="62" spans="1:11" x14ac:dyDescent="0.2">
      <c r="A62" s="1479"/>
      <c r="C62" s="1473"/>
      <c r="D62" s="1473"/>
      <c r="E62" s="1473"/>
      <c r="F62" s="1473"/>
      <c r="G62" s="1473"/>
      <c r="H62" s="1473"/>
      <c r="I62" s="1473"/>
      <c r="K62" s="1489"/>
    </row>
    <row r="63" spans="1:11" ht="13.2" thickBot="1" x14ac:dyDescent="0.25">
      <c r="A63" s="3076" t="s">
        <v>55</v>
      </c>
      <c r="B63" s="3077"/>
      <c r="C63" s="3077"/>
      <c r="D63" s="3077"/>
      <c r="E63" s="3077"/>
      <c r="F63" s="3077"/>
      <c r="G63" s="3077"/>
      <c r="H63" s="3077"/>
      <c r="K63" s="1489"/>
    </row>
    <row r="64" spans="1:11" ht="13.2" thickBot="1" x14ac:dyDescent="0.25">
      <c r="A64" s="1504"/>
      <c r="B64" s="1505"/>
      <c r="C64" s="1505"/>
      <c r="D64" s="1505"/>
      <c r="E64" s="1505"/>
      <c r="F64" s="1505"/>
      <c r="G64" s="1505"/>
      <c r="H64" s="1506"/>
      <c r="K64" s="1489"/>
    </row>
    <row r="65" spans="1:11" ht="13.2" thickBot="1" x14ac:dyDescent="0.25">
      <c r="A65" s="1507"/>
      <c r="B65" s="1508" t="s">
        <v>36</v>
      </c>
      <c r="C65" s="1509">
        <f t="shared" ref="C65:H65" si="7">C4</f>
        <v>46023</v>
      </c>
      <c r="D65" s="1509">
        <f t="shared" si="7"/>
        <v>46054</v>
      </c>
      <c r="E65" s="1509">
        <f t="shared" si="7"/>
        <v>46082</v>
      </c>
      <c r="F65" s="1509">
        <f t="shared" si="7"/>
        <v>46113</v>
      </c>
      <c r="G65" s="1509">
        <f t="shared" si="7"/>
        <v>46143</v>
      </c>
      <c r="H65" s="1509">
        <f t="shared" si="7"/>
        <v>46174</v>
      </c>
    </row>
    <row r="66" spans="1:11" ht="13.2" thickBot="1" x14ac:dyDescent="0.25">
      <c r="A66" s="1510" t="s">
        <v>55</v>
      </c>
      <c r="B66" s="1511" t="s">
        <v>42</v>
      </c>
      <c r="C66" s="1512" t="e">
        <f t="shared" ref="C66:H66" si="8">(C58)*1000000/C11</f>
        <v>#REF!</v>
      </c>
      <c r="D66" s="1512" t="e">
        <f t="shared" si="8"/>
        <v>#REF!</v>
      </c>
      <c r="E66" s="1512" t="e">
        <f t="shared" si="8"/>
        <v>#REF!</v>
      </c>
      <c r="F66" s="1512" t="e">
        <f t="shared" si="8"/>
        <v>#REF!</v>
      </c>
      <c r="G66" s="1512" t="e">
        <f t="shared" si="8"/>
        <v>#REF!</v>
      </c>
      <c r="H66" s="1512" t="e">
        <f t="shared" si="8"/>
        <v>#REF!</v>
      </c>
      <c r="I66" s="1488"/>
    </row>
    <row r="67" spans="1:11" x14ac:dyDescent="0.2">
      <c r="A67" s="1513"/>
      <c r="B67" s="1514"/>
      <c r="C67" s="1515"/>
      <c r="D67" s="1515"/>
      <c r="E67" s="1515"/>
      <c r="F67" s="1515"/>
      <c r="G67" s="1515"/>
      <c r="H67" s="1515"/>
    </row>
    <row r="68" spans="1:11" x14ac:dyDescent="0.2">
      <c r="A68" s="1513"/>
      <c r="B68" s="1514"/>
      <c r="C68" s="1515"/>
      <c r="D68" s="1515"/>
      <c r="E68" s="1515"/>
      <c r="F68" s="1515"/>
      <c r="G68" s="1515"/>
      <c r="H68" s="1515"/>
    </row>
    <row r="69" spans="1:11" x14ac:dyDescent="0.2">
      <c r="A69" s="1513"/>
      <c r="B69" s="1514"/>
      <c r="C69" s="1515"/>
      <c r="D69" s="1515"/>
      <c r="E69" s="1515"/>
      <c r="F69" s="1515"/>
      <c r="G69" s="1515"/>
      <c r="H69" s="1515"/>
    </row>
    <row r="70" spans="1:11" x14ac:dyDescent="0.2">
      <c r="A70" s="1513"/>
      <c r="B70" s="1514"/>
      <c r="C70" s="1515"/>
      <c r="D70" s="1515"/>
      <c r="E70" s="1515"/>
      <c r="F70" s="1515"/>
      <c r="G70" s="1515"/>
      <c r="H70" s="1515"/>
    </row>
    <row r="71" spans="1:11" x14ac:dyDescent="0.2">
      <c r="A71" s="1513"/>
      <c r="B71" s="1514"/>
      <c r="C71" s="1515"/>
      <c r="D71" s="1515"/>
      <c r="E71" s="1515"/>
      <c r="F71" s="1515"/>
      <c r="G71" s="1515"/>
      <c r="H71" s="1515"/>
    </row>
    <row r="72" spans="1:11" x14ac:dyDescent="0.2">
      <c r="C72" s="1488"/>
      <c r="D72" s="1488"/>
      <c r="E72" s="1488"/>
      <c r="F72" s="1488"/>
      <c r="G72" s="1488"/>
      <c r="H72" s="1488"/>
      <c r="I72" s="1488"/>
      <c r="J72" s="1488"/>
      <c r="K72" s="1488"/>
    </row>
    <row r="81" spans="3:9" x14ac:dyDescent="0.2">
      <c r="C81" s="1488"/>
      <c r="D81" s="1488"/>
      <c r="E81" s="1488"/>
      <c r="F81" s="1488"/>
      <c r="G81" s="1488"/>
      <c r="H81" s="1488"/>
      <c r="I81" s="1488"/>
    </row>
    <row r="93" spans="3:9" x14ac:dyDescent="0.2">
      <c r="C93" s="1529"/>
      <c r="D93" s="1529"/>
      <c r="E93" s="1529"/>
      <c r="F93" s="1529"/>
      <c r="G93" s="1529"/>
      <c r="H93" s="1529"/>
    </row>
  </sheetData>
  <mergeCells count="21">
    <mergeCell ref="N14:O14"/>
    <mergeCell ref="P14:Q14"/>
    <mergeCell ref="R14:S14"/>
    <mergeCell ref="T14:U14"/>
    <mergeCell ref="V14:W14"/>
    <mergeCell ref="AV14:AW14"/>
    <mergeCell ref="AX14:AY14"/>
    <mergeCell ref="A63:H63"/>
    <mergeCell ref="AJ14:AK14"/>
    <mergeCell ref="AL14:AM14"/>
    <mergeCell ref="AN14:AO14"/>
    <mergeCell ref="AP14:AQ14"/>
    <mergeCell ref="AR14:AS14"/>
    <mergeCell ref="AT14:AU14"/>
    <mergeCell ref="X14:Y14"/>
    <mergeCell ref="Z14:AA14"/>
    <mergeCell ref="AB14:AC14"/>
    <mergeCell ref="AD14:AE14"/>
    <mergeCell ref="AF14:AG14"/>
    <mergeCell ref="AH14:AI14"/>
    <mergeCell ref="A14:H14"/>
  </mergeCells>
  <pageMargins left="0.75" right="0.37" top="1" bottom="1" header="0" footer="0"/>
  <pageSetup paperSize="9" scale="58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1073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1073" r:id="rId4" name="CommandButton1"/>
      </mc:Fallback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42">
    <tabColor rgb="FF00B050"/>
    <pageSetUpPr fitToPage="1"/>
  </sheetPr>
  <dimension ref="A1:BU117"/>
  <sheetViews>
    <sheetView showGridLines="0" showWhiteSpace="0" workbookViewId="0">
      <selection activeCell="C6" sqref="C6"/>
    </sheetView>
  </sheetViews>
  <sheetFormatPr defaultColWidth="11" defaultRowHeight="12.6" x14ac:dyDescent="0.2"/>
  <cols>
    <col min="1" max="1" width="25.36328125" customWidth="1"/>
    <col min="2" max="2" width="11.6328125" bestFit="1" customWidth="1"/>
    <col min="3" max="8" width="20" bestFit="1" customWidth="1"/>
    <col min="9" max="9" width="12.453125" bestFit="1" customWidth="1"/>
    <col min="12" max="12" width="20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6" max="36" width="19" bestFit="1" customWidth="1"/>
    <col min="37" max="37" width="20" bestFit="1" customWidth="1"/>
    <col min="38" max="39" width="20" customWidth="1"/>
  </cols>
  <sheetData>
    <row r="1" spans="1:39" s="27" customFormat="1" ht="22.2" x14ac:dyDescent="0.35">
      <c r="A1" s="3" t="s">
        <v>174</v>
      </c>
      <c r="F1" s="943"/>
      <c r="G1" s="943"/>
    </row>
    <row r="2" spans="1:39" ht="22.2" x14ac:dyDescent="0.35">
      <c r="F2" s="943"/>
      <c r="G2" s="943"/>
    </row>
    <row r="4" spans="1:39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9" ht="13.2" thickBot="1" x14ac:dyDescent="0.25">
      <c r="A5" s="26"/>
      <c r="B5" s="23" t="s">
        <v>36</v>
      </c>
      <c r="C5" s="425">
        <f>'Gen. Capacity 33'!C4</f>
        <v>46023</v>
      </c>
      <c r="D5" s="425">
        <f>'Gen. Capacity 33'!D4</f>
        <v>46054</v>
      </c>
      <c r="E5" s="425">
        <f>'Gen. Capacity 33'!E4</f>
        <v>46082</v>
      </c>
      <c r="F5" s="425">
        <f>'Gen. Capacity 33'!F4</f>
        <v>46113</v>
      </c>
      <c r="G5" s="425">
        <f>'Gen. Capacity 33'!G4</f>
        <v>46143</v>
      </c>
      <c r="H5" s="425">
        <f>'Gen. Capacity 33'!H4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8" t="e">
        <f t="shared" ref="C6:H6" si="0">C105/C104</f>
        <v>#REF!</v>
      </c>
      <c r="D6" s="388" t="e">
        <f t="shared" si="0"/>
        <v>#REF!</v>
      </c>
      <c r="E6" s="388" t="e">
        <f t="shared" si="0"/>
        <v>#REF!</v>
      </c>
      <c r="F6" s="388" t="e">
        <f t="shared" si="0"/>
        <v>#REF!</v>
      </c>
      <c r="G6" s="388" t="e">
        <f t="shared" si="0"/>
        <v>#REF!</v>
      </c>
      <c r="H6" s="388" t="e">
        <f t="shared" si="0"/>
        <v>#REF!</v>
      </c>
      <c r="I6" s="426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9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2" t="s">
        <v>20</v>
      </c>
      <c r="B10" s="581" t="e">
        <f>$C$101*'tx consumer data'!O78</f>
        <v>#REF!</v>
      </c>
      <c r="C10" s="1357">
        <v>1</v>
      </c>
      <c r="D10" s="1044">
        <f>C10*C17</f>
        <v>1.1423584268442086</v>
      </c>
      <c r="E10" s="1045" t="e">
        <f>$C$6*D10</f>
        <v>#REF!</v>
      </c>
      <c r="F10" s="402"/>
      <c r="G10" s="352" t="s">
        <v>20</v>
      </c>
      <c r="H10" s="581" t="e">
        <f>$D$101*'tx consumer data'!O78</f>
        <v>#REF!</v>
      </c>
      <c r="I10" s="1357">
        <v>1</v>
      </c>
      <c r="J10" s="1044">
        <f>I10*I17</f>
        <v>1.1423584268442086</v>
      </c>
      <c r="K10" s="1045" t="e">
        <f>$D$6*J10</f>
        <v>#REF!</v>
      </c>
      <c r="L10" s="402"/>
      <c r="M10" s="352" t="s">
        <v>20</v>
      </c>
      <c r="N10" s="581" t="e">
        <f>$E$101*'tx consumer data'!O78</f>
        <v>#REF!</v>
      </c>
      <c r="O10" s="1357">
        <v>1</v>
      </c>
      <c r="P10" s="1044">
        <f>O10*O17</f>
        <v>1.1362257614593394</v>
      </c>
      <c r="Q10" s="1045" t="e">
        <f>$E$6*P10</f>
        <v>#REF!</v>
      </c>
      <c r="R10" s="402"/>
      <c r="S10" s="352" t="s">
        <v>20</v>
      </c>
      <c r="T10" s="581" t="e">
        <f>$F$101*'tx consumer data'!O78</f>
        <v>#REF!</v>
      </c>
      <c r="U10" s="1357">
        <v>1</v>
      </c>
      <c r="V10" s="1044">
        <f>U10*U17</f>
        <v>1.1423584268442086</v>
      </c>
      <c r="W10" s="1045" t="e">
        <f>$F$6*V10</f>
        <v>#REF!</v>
      </c>
      <c r="X10" s="402"/>
      <c r="Y10" s="352" t="s">
        <v>20</v>
      </c>
      <c r="Z10" s="581" t="e">
        <f>$G$101*'tx consumer data'!O78</f>
        <v>#REF!</v>
      </c>
      <c r="AA10" s="1357">
        <v>1</v>
      </c>
      <c r="AB10" s="1044">
        <f>AA10*AA17</f>
        <v>1.1423584268442086</v>
      </c>
      <c r="AC10" s="1045" t="e">
        <f>$G$6*AB10</f>
        <v>#REF!</v>
      </c>
      <c r="AD10" s="402"/>
      <c r="AE10" s="352" t="s">
        <v>20</v>
      </c>
      <c r="AF10" s="581" t="e">
        <f>$H$101*'tx consumer data'!O78</f>
        <v>#REF!</v>
      </c>
      <c r="AG10" s="1357">
        <v>1</v>
      </c>
      <c r="AH10" s="1044">
        <f>AG10*AG17</f>
        <v>1.1423584268442086</v>
      </c>
      <c r="AI10" s="1045" t="e">
        <f>$H$6*AH10</f>
        <v>#REF!</v>
      </c>
      <c r="AJ10" s="402"/>
      <c r="AK10" s="402"/>
      <c r="AL10" s="402"/>
      <c r="AM10" s="402"/>
    </row>
    <row r="11" spans="1:39" x14ac:dyDescent="0.2">
      <c r="A11" s="352" t="s">
        <v>21</v>
      </c>
      <c r="B11" s="581" t="e">
        <f>$C$101*'tx consumer data'!O79</f>
        <v>#REF!</v>
      </c>
      <c r="C11" s="1357">
        <v>1.3</v>
      </c>
      <c r="D11" s="1044">
        <f>C11*C17</f>
        <v>1.4850659548974712</v>
      </c>
      <c r="E11" s="1045" t="e">
        <f>$C$6*D11</f>
        <v>#REF!</v>
      </c>
      <c r="F11" s="402"/>
      <c r="G11" s="352" t="s">
        <v>21</v>
      </c>
      <c r="H11" s="581" t="e">
        <f>$D$101*'tx consumer data'!O79</f>
        <v>#REF!</v>
      </c>
      <c r="I11" s="1357">
        <v>1.3</v>
      </c>
      <c r="J11" s="1044">
        <f>I11*I17</f>
        <v>1.4850659548974712</v>
      </c>
      <c r="K11" s="1045" t="e">
        <f>$D$6*J11</f>
        <v>#REF!</v>
      </c>
      <c r="L11" s="402"/>
      <c r="M11" s="352" t="s">
        <v>21</v>
      </c>
      <c r="N11" s="581" t="e">
        <f>$C$101*'tx consumer data'!O79</f>
        <v>#REF!</v>
      </c>
      <c r="O11" s="1357">
        <v>1.3</v>
      </c>
      <c r="P11" s="1044">
        <f>O11*O17</f>
        <v>1.4770934898971413</v>
      </c>
      <c r="Q11" s="1045" t="e">
        <f>$E$6*P11</f>
        <v>#REF!</v>
      </c>
      <c r="R11" s="402"/>
      <c r="S11" s="352" t="s">
        <v>21</v>
      </c>
      <c r="T11" s="581" t="e">
        <f>$F$101*'tx consumer data'!O79</f>
        <v>#REF!</v>
      </c>
      <c r="U11" s="1357">
        <v>1.3</v>
      </c>
      <c r="V11" s="1044">
        <f>U11*U17</f>
        <v>1.4850659548974712</v>
      </c>
      <c r="W11" s="1045" t="e">
        <f>$F$6*V11</f>
        <v>#REF!</v>
      </c>
      <c r="X11" s="402"/>
      <c r="Y11" s="352" t="s">
        <v>21</v>
      </c>
      <c r="Z11" s="581" t="e">
        <f>$G$101*'tx consumer data'!O79</f>
        <v>#REF!</v>
      </c>
      <c r="AA11" s="1357">
        <v>1.3</v>
      </c>
      <c r="AB11" s="1044">
        <f>AA11*AA17</f>
        <v>1.4850659548974712</v>
      </c>
      <c r="AC11" s="1045" t="e">
        <f>$G$6*AB11</f>
        <v>#REF!</v>
      </c>
      <c r="AD11" s="402"/>
      <c r="AE11" s="352" t="s">
        <v>21</v>
      </c>
      <c r="AF11" s="581" t="e">
        <f>$H$101*'tx consumer data'!O79</f>
        <v>#REF!</v>
      </c>
      <c r="AG11" s="1357">
        <v>1.3</v>
      </c>
      <c r="AH11" s="1044">
        <f>AG11*AG17</f>
        <v>1.4850659548974712</v>
      </c>
      <c r="AI11" s="1045" t="e">
        <f>$H$6*AH11</f>
        <v>#REF!</v>
      </c>
      <c r="AJ11" s="402"/>
      <c r="AK11" s="402"/>
      <c r="AL11" s="402"/>
      <c r="AM11" s="402"/>
    </row>
    <row r="12" spans="1:39" ht="13.2" thickBot="1" x14ac:dyDescent="0.25">
      <c r="A12" s="353" t="s">
        <v>22</v>
      </c>
      <c r="B12" s="582" t="e">
        <f>$C$101*'tx consumer data'!O80</f>
        <v>#REF!</v>
      </c>
      <c r="C12" s="1530">
        <v>0.6</v>
      </c>
      <c r="D12" s="1046">
        <f>C12*C17</f>
        <v>0.6854150561065252</v>
      </c>
      <c r="E12" s="1047" t="e">
        <f>$C$6*D12</f>
        <v>#REF!</v>
      </c>
      <c r="F12" s="402"/>
      <c r="G12" s="353" t="s">
        <v>22</v>
      </c>
      <c r="H12" s="582" t="e">
        <f>$D$101*'tx consumer data'!O80</f>
        <v>#REF!</v>
      </c>
      <c r="I12" s="1530">
        <v>0.6</v>
      </c>
      <c r="J12" s="1046">
        <f>I12*I17</f>
        <v>0.6854150561065252</v>
      </c>
      <c r="K12" s="1047" t="e">
        <f>$D$6*J12</f>
        <v>#REF!</v>
      </c>
      <c r="L12" s="402"/>
      <c r="M12" s="353" t="s">
        <v>22</v>
      </c>
      <c r="N12" s="582" t="e">
        <f>$E$101*'tx consumer data'!O80</f>
        <v>#REF!</v>
      </c>
      <c r="O12" s="1530">
        <v>0.6</v>
      </c>
      <c r="P12" s="1046">
        <f>O12*O17</f>
        <v>0.68173545687560366</v>
      </c>
      <c r="Q12" s="1047" t="e">
        <f>$E$6*P12</f>
        <v>#REF!</v>
      </c>
      <c r="R12" s="402"/>
      <c r="S12" s="353" t="s">
        <v>22</v>
      </c>
      <c r="T12" s="582" t="e">
        <f>$F$101*'tx consumer data'!O80</f>
        <v>#REF!</v>
      </c>
      <c r="U12" s="1530">
        <v>0.6</v>
      </c>
      <c r="V12" s="1046">
        <f>U12*U17</f>
        <v>0.6854150561065252</v>
      </c>
      <c r="W12" s="1047" t="e">
        <f>$F$6*V12</f>
        <v>#REF!</v>
      </c>
      <c r="X12" s="402"/>
      <c r="Y12" s="353" t="s">
        <v>22</v>
      </c>
      <c r="Z12" s="582" t="e">
        <f>$G$101*'tx consumer data'!O80</f>
        <v>#REF!</v>
      </c>
      <c r="AA12" s="1530">
        <v>0.6</v>
      </c>
      <c r="AB12" s="1046">
        <f>AA12*AA17</f>
        <v>0.6854150561065252</v>
      </c>
      <c r="AC12" s="1047" t="e">
        <f>$G$6*AB12</f>
        <v>#REF!</v>
      </c>
      <c r="AD12" s="402"/>
      <c r="AE12" s="353" t="s">
        <v>22</v>
      </c>
      <c r="AF12" s="582" t="e">
        <f>$H$101*'tx consumer data'!O80</f>
        <v>#REF!</v>
      </c>
      <c r="AG12" s="1530">
        <v>0.6</v>
      </c>
      <c r="AH12" s="1046">
        <f>AG12*AG17</f>
        <v>0.6854150561065252</v>
      </c>
      <c r="AI12" s="1047" t="e">
        <f>$H$6*AH12</f>
        <v>#REF!</v>
      </c>
      <c r="AJ12" s="402"/>
      <c r="AK12" s="402"/>
      <c r="AL12" s="402"/>
      <c r="AM12" s="402"/>
    </row>
    <row r="13" spans="1:39" ht="13.2" thickBot="1" x14ac:dyDescent="0.25">
      <c r="A13" s="99"/>
      <c r="B13" s="1531" t="e">
        <f>B10+B11+B12</f>
        <v>#REF!</v>
      </c>
      <c r="C13" s="85"/>
      <c r="E13" s="100"/>
      <c r="F13" s="402"/>
      <c r="G13" s="99"/>
      <c r="H13" s="399"/>
      <c r="I13" s="85"/>
      <c r="K13" s="100"/>
      <c r="L13" s="402"/>
      <c r="M13" s="99"/>
      <c r="N13" s="399"/>
      <c r="O13" s="85"/>
      <c r="Q13" s="100"/>
      <c r="R13" s="402"/>
      <c r="S13" s="99"/>
      <c r="T13" s="399"/>
      <c r="U13" s="85"/>
      <c r="W13" s="100"/>
      <c r="X13" s="402"/>
      <c r="Y13" s="99"/>
      <c r="Z13" s="399"/>
      <c r="AA13" s="85"/>
      <c r="AC13" s="100"/>
      <c r="AD13" s="402"/>
      <c r="AE13" s="99"/>
      <c r="AF13" s="399"/>
      <c r="AG13" s="85"/>
      <c r="AI13" s="100"/>
      <c r="AJ13" s="402"/>
      <c r="AK13" s="402"/>
      <c r="AL13" s="402"/>
      <c r="AM13" s="402"/>
    </row>
    <row r="14" spans="1:39" x14ac:dyDescent="0.2">
      <c r="A14" s="531" t="s">
        <v>179</v>
      </c>
      <c r="B14" s="532" t="s">
        <v>60</v>
      </c>
      <c r="C14" s="533" t="e">
        <f>C6*SUM(B10:B12)</f>
        <v>#REF!</v>
      </c>
      <c r="E14" s="100"/>
      <c r="F14" s="402"/>
      <c r="G14" s="531" t="s">
        <v>179</v>
      </c>
      <c r="H14" s="532" t="s">
        <v>60</v>
      </c>
      <c r="I14" s="533" t="e">
        <f>D6*SUM(H10:H12)</f>
        <v>#REF!</v>
      </c>
      <c r="K14" s="100"/>
      <c r="M14" s="531" t="s">
        <v>179</v>
      </c>
      <c r="N14" s="532" t="s">
        <v>60</v>
      </c>
      <c r="O14" s="533" t="e">
        <f>E6*SUM(N10:N12)</f>
        <v>#REF!</v>
      </c>
      <c r="Q14" s="100"/>
      <c r="S14" s="531" t="s">
        <v>179</v>
      </c>
      <c r="T14" s="532" t="s">
        <v>60</v>
      </c>
      <c r="U14" s="533" t="e">
        <f>F6*SUM(T10:T12)</f>
        <v>#REF!</v>
      </c>
      <c r="W14" s="100"/>
      <c r="Y14" s="531" t="s">
        <v>179</v>
      </c>
      <c r="Z14" s="532" t="s">
        <v>60</v>
      </c>
      <c r="AA14" s="533" t="e">
        <f>G6*SUM(Z10:Z12)</f>
        <v>#REF!</v>
      </c>
      <c r="AC14" s="100"/>
      <c r="AE14" s="531" t="s">
        <v>179</v>
      </c>
      <c r="AF14" s="532" t="s">
        <v>60</v>
      </c>
      <c r="AG14" s="533" t="e">
        <f>H6*SUM(AF10:AF12)</f>
        <v>#REF!</v>
      </c>
      <c r="AI14" s="100"/>
    </row>
    <row r="15" spans="1:39" x14ac:dyDescent="0.2">
      <c r="A15" s="534" t="s">
        <v>180</v>
      </c>
      <c r="B15" s="85" t="s">
        <v>60</v>
      </c>
      <c r="C15" s="535" t="e">
        <f>SUMPRODUCT(B10:B12,E10:E12)</f>
        <v>#REF!</v>
      </c>
      <c r="E15" s="100"/>
      <c r="G15" s="534" t="s">
        <v>180</v>
      </c>
      <c r="H15" s="85" t="s">
        <v>60</v>
      </c>
      <c r="I15" s="535" t="e">
        <f>SUMPRODUCT(H10:H12,K10:K12)</f>
        <v>#REF!</v>
      </c>
      <c r="K15" s="100"/>
      <c r="M15" s="534" t="s">
        <v>180</v>
      </c>
      <c r="N15" s="85" t="s">
        <v>60</v>
      </c>
      <c r="O15" s="535" t="e">
        <f>SUMPRODUCT(N10:N12,Q10:Q12)</f>
        <v>#REF!</v>
      </c>
      <c r="Q15" s="100"/>
      <c r="S15" s="534" t="s">
        <v>180</v>
      </c>
      <c r="T15" s="85" t="s">
        <v>60</v>
      </c>
      <c r="U15" s="535" t="e">
        <f>SUMPRODUCT(T10:T12,W10:W12)</f>
        <v>#REF!</v>
      </c>
      <c r="W15" s="100"/>
      <c r="Y15" s="534" t="s">
        <v>180</v>
      </c>
      <c r="Z15" s="85" t="s">
        <v>60</v>
      </c>
      <c r="AA15" s="535" t="e">
        <f>SUMPRODUCT(Z10:Z12,AC10:AC12)</f>
        <v>#REF!</v>
      </c>
      <c r="AC15" s="100"/>
      <c r="AE15" s="534" t="s">
        <v>180</v>
      </c>
      <c r="AF15" s="85" t="s">
        <v>60</v>
      </c>
      <c r="AG15" s="535" t="e">
        <f>SUMPRODUCT(AF10:AF12,AI10:AI12)</f>
        <v>#REF!</v>
      </c>
      <c r="AI15" s="100"/>
    </row>
    <row r="16" spans="1:39" x14ac:dyDescent="0.2">
      <c r="A16" s="534" t="s">
        <v>184</v>
      </c>
      <c r="B16" s="85" t="s">
        <v>60</v>
      </c>
      <c r="C16" s="535" t="e">
        <f>C14-C15</f>
        <v>#REF!</v>
      </c>
      <c r="E16" s="100"/>
      <c r="G16" s="534" t="s">
        <v>184</v>
      </c>
      <c r="H16" s="85" t="s">
        <v>60</v>
      </c>
      <c r="I16" s="535" t="e">
        <f>I14-I15</f>
        <v>#REF!</v>
      </c>
      <c r="K16" s="100"/>
      <c r="M16" s="534" t="s">
        <v>184</v>
      </c>
      <c r="N16" s="85" t="s">
        <v>60</v>
      </c>
      <c r="O16" s="535" t="e">
        <f>O14-O15</f>
        <v>#REF!</v>
      </c>
      <c r="Q16" s="100"/>
      <c r="S16" s="534" t="s">
        <v>184</v>
      </c>
      <c r="T16" s="85" t="s">
        <v>60</v>
      </c>
      <c r="U16" s="535" t="e">
        <f>U14-U15</f>
        <v>#REF!</v>
      </c>
      <c r="W16" s="100"/>
      <c r="Y16" s="534" t="s">
        <v>184</v>
      </c>
      <c r="Z16" s="85" t="s">
        <v>60</v>
      </c>
      <c r="AA16" s="535" t="e">
        <f>AA14-AA15</f>
        <v>#REF!</v>
      </c>
      <c r="AC16" s="100"/>
      <c r="AE16" s="534" t="s">
        <v>184</v>
      </c>
      <c r="AF16" s="85" t="s">
        <v>60</v>
      </c>
      <c r="AG16" s="535" t="e">
        <f>AG14-AG15</f>
        <v>#REF!</v>
      </c>
      <c r="AI16" s="100"/>
    </row>
    <row r="17" spans="1:55" ht="13.2" thickBot="1" x14ac:dyDescent="0.25">
      <c r="A17" s="536" t="s">
        <v>187</v>
      </c>
      <c r="B17" s="537" t="s">
        <v>188</v>
      </c>
      <c r="C17" s="538">
        <v>1.1423584268442086</v>
      </c>
      <c r="D17" s="101"/>
      <c r="E17" s="102"/>
      <c r="G17" s="536" t="s">
        <v>187</v>
      </c>
      <c r="H17" s="537" t="s">
        <v>188</v>
      </c>
      <c r="I17" s="538">
        <v>1.1423584268442086</v>
      </c>
      <c r="J17" s="101"/>
      <c r="K17" s="102"/>
      <c r="M17" s="536" t="s">
        <v>187</v>
      </c>
      <c r="N17" s="537" t="s">
        <v>188</v>
      </c>
      <c r="O17" s="538">
        <v>1.1362257614593394</v>
      </c>
      <c r="P17" s="101"/>
      <c r="Q17" s="102"/>
      <c r="S17" s="536" t="s">
        <v>187</v>
      </c>
      <c r="T17" s="537" t="s">
        <v>188</v>
      </c>
      <c r="U17" s="538">
        <v>1.1423584268442086</v>
      </c>
      <c r="V17" s="101"/>
      <c r="W17" s="102"/>
      <c r="Y17" s="536" t="s">
        <v>187</v>
      </c>
      <c r="Z17" s="537" t="s">
        <v>188</v>
      </c>
      <c r="AA17" s="538">
        <v>1.1423584268442086</v>
      </c>
      <c r="AB17" s="101"/>
      <c r="AC17" s="102"/>
      <c r="AE17" s="536" t="s">
        <v>187</v>
      </c>
      <c r="AF17" s="537" t="s">
        <v>188</v>
      </c>
      <c r="AG17" s="538">
        <v>1.1423584268442086</v>
      </c>
      <c r="AH17" s="101"/>
      <c r="AI17" s="102"/>
    </row>
    <row r="18" spans="1:55" ht="13.2" thickTop="1" x14ac:dyDescent="0.2">
      <c r="A18" s="84"/>
      <c r="B18" s="85"/>
      <c r="C18" s="85"/>
    </row>
    <row r="19" spans="1:55" x14ac:dyDescent="0.2">
      <c r="B19" s="85"/>
      <c r="C19" s="85"/>
    </row>
    <row r="20" spans="1:55" ht="13.2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2931"/>
      <c r="AY20" s="2931"/>
      <c r="AZ20" s="2931"/>
      <c r="BA20" s="4"/>
    </row>
    <row r="21" spans="1:55" ht="13.2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x14ac:dyDescent="0.3">
      <c r="A22" s="2936" t="s">
        <v>962</v>
      </c>
      <c r="B22" s="418" t="s">
        <v>56</v>
      </c>
      <c r="C22" s="1532">
        <f>'hydro en &amp; capcost voltage wise'!E11</f>
        <v>0</v>
      </c>
      <c r="D22" s="1532">
        <f>'hydro en &amp; capcost voltage wise'!F11</f>
        <v>0</v>
      </c>
      <c r="E22" s="1532">
        <f>'hydro en &amp; capcost voltage wise'!G11</f>
        <v>0</v>
      </c>
      <c r="F22" s="1532">
        <f>'hydro en &amp; capcost voltage wise'!H11</f>
        <v>118.04267202251317</v>
      </c>
      <c r="G22" s="1532">
        <f>'hydro en &amp; capcost voltage wise'!I11</f>
        <v>118.143844932752</v>
      </c>
      <c r="H22" s="1532">
        <f>'hydro en &amp; capcost voltage wise'!J11</f>
        <v>150.32677299670164</v>
      </c>
      <c r="I22" s="780" t="s">
        <v>595</v>
      </c>
      <c r="J22" s="615">
        <v>301.23</v>
      </c>
      <c r="K22" s="165"/>
      <c r="L22" s="165"/>
      <c r="M22" s="165"/>
    </row>
    <row r="23" spans="1:55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5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5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5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5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5" hidden="1" x14ac:dyDescent="0.2">
      <c r="A28" s="2936" t="s">
        <v>0</v>
      </c>
      <c r="B28" s="418" t="s">
        <v>56</v>
      </c>
      <c r="C28" s="1040"/>
      <c r="D28" s="1040"/>
      <c r="E28" s="1040"/>
      <c r="F28" s="1040"/>
      <c r="G28" s="1040"/>
      <c r="H28" s="1040"/>
      <c r="I28" s="165"/>
      <c r="J28" s="615"/>
    </row>
    <row r="29" spans="1:55" hidden="1" x14ac:dyDescent="0.2">
      <c r="A29" s="2942"/>
      <c r="B29" s="489" t="s">
        <v>88</v>
      </c>
      <c r="C29" s="658"/>
      <c r="D29" s="658"/>
      <c r="E29" s="658"/>
      <c r="F29" s="658"/>
      <c r="G29" s="658"/>
      <c r="H29" s="658"/>
    </row>
    <row r="30" spans="1:55" hidden="1" x14ac:dyDescent="0.2">
      <c r="A30" s="2936" t="s">
        <v>1</v>
      </c>
      <c r="B30" s="12" t="s">
        <v>56</v>
      </c>
      <c r="C30" s="1036"/>
      <c r="D30" s="1036"/>
      <c r="E30" s="1036"/>
      <c r="F30" s="1036"/>
      <c r="G30" s="1036"/>
      <c r="H30" s="1036"/>
      <c r="I30" s="165"/>
      <c r="J30" s="615"/>
    </row>
    <row r="31" spans="1:55" hidden="1" x14ac:dyDescent="0.2">
      <c r="A31" s="2937"/>
      <c r="B31" s="83" t="s">
        <v>88</v>
      </c>
      <c r="C31" s="311"/>
      <c r="D31" s="311"/>
      <c r="E31" s="311"/>
      <c r="F31" s="311"/>
      <c r="G31" s="311"/>
      <c r="H31" s="311"/>
      <c r="K31" s="184"/>
    </row>
    <row r="32" spans="1:55" hidden="1" x14ac:dyDescent="0.2">
      <c r="A32" s="2936" t="s">
        <v>2</v>
      </c>
      <c r="B32" s="12" t="s">
        <v>56</v>
      </c>
      <c r="C32" s="1037"/>
      <c r="D32" s="1037"/>
      <c r="E32" s="1037"/>
      <c r="F32" s="1037"/>
      <c r="G32" s="1037"/>
      <c r="H32" s="1037"/>
      <c r="I32" s="165"/>
      <c r="J32" s="615"/>
    </row>
    <row r="33" spans="1:11" hidden="1" x14ac:dyDescent="0.2">
      <c r="A33" s="2937"/>
      <c r="B33" s="83" t="s">
        <v>88</v>
      </c>
      <c r="C33" s="311"/>
      <c r="D33" s="311"/>
      <c r="E33" s="311"/>
      <c r="F33" s="311"/>
      <c r="G33" s="311"/>
      <c r="H33" s="311"/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hidden="1" x14ac:dyDescent="0.2">
      <c r="A36" s="3082" t="s">
        <v>4</v>
      </c>
      <c r="B36" s="571" t="s">
        <v>56</v>
      </c>
      <c r="C36" s="1533"/>
      <c r="D36" s="1533"/>
      <c r="E36" s="1533"/>
      <c r="F36" s="1533"/>
      <c r="G36" s="1533"/>
      <c r="H36" s="1533"/>
      <c r="I36" s="165"/>
      <c r="J36" s="615"/>
    </row>
    <row r="37" spans="1:11" hidden="1" x14ac:dyDescent="0.2">
      <c r="A37" s="3087"/>
      <c r="B37" s="575" t="s">
        <v>88</v>
      </c>
      <c r="C37" s="576"/>
      <c r="D37" s="576"/>
      <c r="E37" s="1534"/>
      <c r="F37" s="576"/>
      <c r="G37" s="576"/>
      <c r="H37" s="576"/>
    </row>
    <row r="38" spans="1:11" x14ac:dyDescent="0.2">
      <c r="A38" s="2936" t="s">
        <v>5</v>
      </c>
      <c r="B38" s="12" t="s">
        <v>56</v>
      </c>
      <c r="C38" s="1037">
        <f>'Gen. Energy Cost'!C38</f>
        <v>0</v>
      </c>
      <c r="D38" s="1037">
        <f>'Gen. Energy Cost'!D38</f>
        <v>0</v>
      </c>
      <c r="E38" s="1037">
        <f>'Gen. Energy Cost'!E38</f>
        <v>0</v>
      </c>
      <c r="F38" s="1037">
        <f>'Gen. Energy Cost'!F38</f>
        <v>84.525620000000004</v>
      </c>
      <c r="G38" s="1037">
        <f>'Gen. Energy Cost'!G38</f>
        <v>84.525599999999997</v>
      </c>
      <c r="H38" s="1037">
        <f>'Gen. Energy Cost'!H38</f>
        <v>84.525620000000004</v>
      </c>
      <c r="I38" s="165"/>
      <c r="J38" s="615"/>
      <c r="K38" s="184"/>
    </row>
    <row r="39" spans="1:11" x14ac:dyDescent="0.2">
      <c r="A39" s="2937"/>
      <c r="B39" s="83" t="s">
        <v>88</v>
      </c>
      <c r="C39" s="311">
        <f>'Gen. Energy Cost'!C39</f>
        <v>0</v>
      </c>
      <c r="D39" s="311">
        <f>'Gen. Energy Cost'!D39</f>
        <v>0</v>
      </c>
      <c r="E39" s="311">
        <f>'Gen. Energy Cost'!E39</f>
        <v>0</v>
      </c>
      <c r="F39" s="311">
        <f>'Gen. Energy Cost'!F39</f>
        <v>39.289046578981946</v>
      </c>
      <c r="G39" s="311">
        <f>'Gen. Energy Cost'!G39</f>
        <v>39.227940964165178</v>
      </c>
      <c r="H39" s="311">
        <f>'Gen. Energy Cost'!H39</f>
        <v>39.227940845596024</v>
      </c>
    </row>
    <row r="40" spans="1:11" x14ac:dyDescent="0.2">
      <c r="A40" s="2936" t="s">
        <v>803</v>
      </c>
      <c r="B40" s="12" t="s">
        <v>56</v>
      </c>
      <c r="C40" s="1037" t="e">
        <f>'Gen. Energy Cost'!#REF!</f>
        <v>#REF!</v>
      </c>
      <c r="D40" s="1037" t="e">
        <f>'Gen. Energy Cost'!#REF!</f>
        <v>#REF!</v>
      </c>
      <c r="E40" s="1037" t="e">
        <f>'Gen. Energy Cost'!#REF!</f>
        <v>#REF!</v>
      </c>
      <c r="F40" s="1037" t="e">
        <f>'Gen. Energy Cost'!#REF!</f>
        <v>#REF!</v>
      </c>
      <c r="G40" s="1037" t="e">
        <f>'Gen. Energy Cost'!#REF!</f>
        <v>#REF!</v>
      </c>
      <c r="H40" s="1037" t="e">
        <f>'Gen. Energy Cost'!#REF!</f>
        <v>#REF!</v>
      </c>
      <c r="I40" s="165"/>
      <c r="J40" s="615"/>
      <c r="K40" s="184"/>
    </row>
    <row r="41" spans="1:11" x14ac:dyDescent="0.2">
      <c r="A41" s="2937"/>
      <c r="B41" s="83" t="s">
        <v>88</v>
      </c>
      <c r="C41" s="311" t="e">
        <f>'Gen. Energy Cost'!#REF!</f>
        <v>#REF!</v>
      </c>
      <c r="D41" s="311" t="e">
        <f>'Gen. Energy Cost'!#REF!</f>
        <v>#REF!</v>
      </c>
      <c r="E41" s="311" t="e">
        <f>'Gen. Energy Cost'!#REF!</f>
        <v>#REF!</v>
      </c>
      <c r="F41" s="311" t="e">
        <f>'Gen. Energy Cost'!#REF!</f>
        <v>#REF!</v>
      </c>
      <c r="G41" s="311" t="e">
        <f>'Gen. Energy Cost'!#REF!</f>
        <v>#REF!</v>
      </c>
      <c r="H41" s="311" t="e">
        <f>'Gen. Energy Cost'!#REF!</f>
        <v>#REF!</v>
      </c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hidden="1" x14ac:dyDescent="0.2">
      <c r="A46" s="3082" t="s">
        <v>9</v>
      </c>
      <c r="B46" s="571" t="s">
        <v>56</v>
      </c>
      <c r="C46" s="1533"/>
      <c r="D46" s="1533"/>
      <c r="E46" s="1533"/>
      <c r="F46" s="1533"/>
      <c r="G46" s="1533"/>
      <c r="H46" s="1533"/>
      <c r="I46" s="165"/>
      <c r="J46" s="615"/>
    </row>
    <row r="47" spans="1:11" hidden="1" x14ac:dyDescent="0.2">
      <c r="A47" s="3083"/>
      <c r="B47" s="575" t="s">
        <v>88</v>
      </c>
      <c r="C47" s="576"/>
      <c r="D47" s="576"/>
      <c r="E47" s="576"/>
      <c r="F47" s="576"/>
      <c r="G47" s="576"/>
      <c r="H47" s="576"/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hidden="1" x14ac:dyDescent="0.2">
      <c r="A50" s="3085" t="s">
        <v>11</v>
      </c>
      <c r="B50" s="12" t="s">
        <v>56</v>
      </c>
      <c r="C50" s="1536"/>
      <c r="D50" s="1536"/>
      <c r="E50" s="1536"/>
      <c r="F50" s="1536"/>
      <c r="G50" s="1536"/>
      <c r="H50" s="1536"/>
      <c r="I50" s="165"/>
    </row>
    <row r="51" spans="1:11" hidden="1" x14ac:dyDescent="0.2">
      <c r="A51" s="3086"/>
      <c r="B51" s="83" t="s">
        <v>88</v>
      </c>
      <c r="C51" s="1537"/>
      <c r="D51" s="1537"/>
      <c r="E51" s="1537"/>
      <c r="F51" s="1537"/>
      <c r="G51" s="1537"/>
      <c r="H51" s="1537"/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x14ac:dyDescent="0.2">
      <c r="A54" s="2936" t="s">
        <v>643</v>
      </c>
      <c r="B54" s="12" t="s">
        <v>56</v>
      </c>
      <c r="C54" s="1041">
        <f>'Gen. Energy Cost'!C48</f>
        <v>0</v>
      </c>
      <c r="D54" s="1041">
        <f>'Gen. Energy Cost'!D48</f>
        <v>0</v>
      </c>
      <c r="E54" s="1041">
        <f>'Gen. Energy Cost'!E48</f>
        <v>0</v>
      </c>
      <c r="F54" s="1041">
        <f>'Gen. Energy Cost'!F48</f>
        <v>26.049679999999999</v>
      </c>
      <c r="G54" s="1041">
        <f>'Gen. Energy Cost'!G48</f>
        <v>25.811679999999999</v>
      </c>
      <c r="H54" s="1041">
        <f>'Gen. Energy Cost'!H48</f>
        <v>26.049720000000001</v>
      </c>
      <c r="I54" s="165"/>
      <c r="K54" s="184"/>
    </row>
    <row r="55" spans="1:11" x14ac:dyDescent="0.2">
      <c r="A55" s="2937"/>
      <c r="B55" s="83" t="s">
        <v>88</v>
      </c>
      <c r="C55" s="1206">
        <f>'Gen. Energy Cost'!C49</f>
        <v>0</v>
      </c>
      <c r="D55" s="1206">
        <f>'Gen. Energy Cost'!D49</f>
        <v>0</v>
      </c>
      <c r="E55" s="1206">
        <f>'Gen. Energy Cost'!E49</f>
        <v>0</v>
      </c>
      <c r="F55" s="1206">
        <f>'Gen. Energy Cost'!F49</f>
        <v>40.421014751456447</v>
      </c>
      <c r="G55" s="1206">
        <f>'Gen. Energy Cost'!G49</f>
        <v>40.442195564129108</v>
      </c>
      <c r="H55" s="1206">
        <f>'Gen. Energy Cost'!H49</f>
        <v>40.421011224185143</v>
      </c>
    </row>
    <row r="56" spans="1:11" x14ac:dyDescent="0.2">
      <c r="A56" s="2936" t="s">
        <v>13</v>
      </c>
      <c r="B56" s="12" t="s">
        <v>56</v>
      </c>
      <c r="C56" s="1041">
        <f>'Gen. Energy Cost'!C54</f>
        <v>0</v>
      </c>
      <c r="D56" s="1041">
        <f>'Gen. Energy Cost'!D54</f>
        <v>0</v>
      </c>
      <c r="E56" s="1041">
        <f>'Gen. Energy Cost'!E54</f>
        <v>0</v>
      </c>
      <c r="F56" s="1041">
        <f>'Gen. Energy Cost'!F54</f>
        <v>150.1927</v>
      </c>
      <c r="G56" s="1041">
        <f>'Gen. Energy Cost'!G54</f>
        <v>130.619</v>
      </c>
      <c r="H56" s="1041">
        <f>'Gen. Energy Cost'!H54</f>
        <v>134.74469999999999</v>
      </c>
      <c r="I56" s="165"/>
      <c r="J56" s="615"/>
      <c r="K56" s="184"/>
    </row>
    <row r="57" spans="1:11" x14ac:dyDescent="0.2">
      <c r="A57" s="2937"/>
      <c r="B57" s="83" t="s">
        <v>88</v>
      </c>
      <c r="C57" s="311">
        <f>'Gen. Energy Cost'!C55</f>
        <v>0</v>
      </c>
      <c r="D57" s="311">
        <f>'Gen. Energy Cost'!D55</f>
        <v>0</v>
      </c>
      <c r="E57" s="311">
        <f>'Gen. Energy Cost'!E55</f>
        <v>0</v>
      </c>
      <c r="F57" s="311">
        <f>'Gen. Energy Cost'!F55</f>
        <v>47.688996196781417</v>
      </c>
      <c r="G57" s="311">
        <f>'Gen. Energy Cost'!G55</f>
        <v>48.291132699244585</v>
      </c>
      <c r="H57" s="311">
        <f>'Gen. Energy Cost'!H55</f>
        <v>48.190826549760025</v>
      </c>
    </row>
    <row r="58" spans="1:11" x14ac:dyDescent="0.2">
      <c r="A58" s="2936" t="s">
        <v>14</v>
      </c>
      <c r="B58" s="12" t="s">
        <v>56</v>
      </c>
      <c r="C58" s="1041">
        <f>'Gen. Energy Cost'!C42</f>
        <v>0</v>
      </c>
      <c r="D58" s="1041">
        <f>'Gen. Energy Cost'!D42</f>
        <v>0</v>
      </c>
      <c r="E58" s="1041">
        <f>'Gen. Energy Cost'!E42</f>
        <v>0</v>
      </c>
      <c r="F58" s="1041">
        <f>'Gen. Energy Cost'!F42</f>
        <v>410.24100000000004</v>
      </c>
      <c r="G58" s="1041">
        <f>'Gen. Energy Cost'!G42</f>
        <v>423.89049999999997</v>
      </c>
      <c r="H58" s="1041">
        <f>'Gen. Energy Cost'!H42</f>
        <v>297.45983999999999</v>
      </c>
      <c r="I58" s="165"/>
      <c r="K58" s="184"/>
    </row>
    <row r="59" spans="1:11" x14ac:dyDescent="0.2">
      <c r="A59" s="2937"/>
      <c r="B59" s="83" t="s">
        <v>88</v>
      </c>
      <c r="C59" s="311" t="e">
        <f>'Gen. Energy Cost'!C43</f>
        <v>#DIV/0!</v>
      </c>
      <c r="D59" s="311" t="e">
        <f>'Gen. Energy Cost'!D43</f>
        <v>#DIV/0!</v>
      </c>
      <c r="E59" s="311" t="e">
        <f>'Gen. Energy Cost'!E43</f>
        <v>#DIV/0!</v>
      </c>
      <c r="F59" s="311">
        <f>'Gen. Energy Cost'!F43</f>
        <v>16.360073257141064</v>
      </c>
      <c r="G59" s="311">
        <f>'Gen. Energy Cost'!G43</f>
        <v>16.149669524586059</v>
      </c>
      <c r="H59" s="311">
        <f>'Gen. Energy Cost'!H43</f>
        <v>17.055875654499228</v>
      </c>
    </row>
    <row r="60" spans="1:11" hidden="1" x14ac:dyDescent="0.2">
      <c r="A60" s="2936" t="s">
        <v>15</v>
      </c>
      <c r="B60" s="12" t="s">
        <v>56</v>
      </c>
      <c r="C60" s="1042"/>
      <c r="D60" s="1042"/>
      <c r="E60" s="1042"/>
      <c r="F60" s="1042"/>
      <c r="G60" s="1042"/>
      <c r="H60" s="1042"/>
      <c r="I60" s="165"/>
    </row>
    <row r="61" spans="1:11" hidden="1" x14ac:dyDescent="0.2">
      <c r="A61" s="2937"/>
      <c r="B61" s="83" t="s">
        <v>88</v>
      </c>
      <c r="C61" s="658"/>
      <c r="D61" s="658"/>
      <c r="E61" s="658"/>
      <c r="F61" s="658"/>
      <c r="G61" s="658"/>
      <c r="H61" s="658"/>
    </row>
    <row r="62" spans="1:11" hidden="1" x14ac:dyDescent="0.2">
      <c r="A62" s="2936" t="s">
        <v>111</v>
      </c>
      <c r="B62" s="12" t="s">
        <v>56</v>
      </c>
      <c r="C62" s="1042"/>
      <c r="D62" s="1042"/>
      <c r="E62" s="1042"/>
      <c r="F62" s="1042"/>
      <c r="G62" s="1042"/>
      <c r="H62" s="1042"/>
      <c r="I62" s="165"/>
    </row>
    <row r="63" spans="1:11" hidden="1" x14ac:dyDescent="0.2">
      <c r="A63" s="2937"/>
      <c r="B63" s="83" t="s">
        <v>88</v>
      </c>
      <c r="C63" s="311"/>
      <c r="D63" s="311"/>
      <c r="E63" s="311"/>
      <c r="F63" s="311"/>
      <c r="G63" s="311"/>
      <c r="H63" s="311"/>
    </row>
    <row r="64" spans="1:11" hidden="1" x14ac:dyDescent="0.2">
      <c r="A64" s="2936" t="s">
        <v>422</v>
      </c>
      <c r="B64" s="12" t="s">
        <v>56</v>
      </c>
      <c r="C64" s="1041"/>
      <c r="D64" s="1041"/>
      <c r="E64" s="1041"/>
      <c r="F64" s="1041"/>
      <c r="G64" s="1041"/>
      <c r="H64" s="1041"/>
      <c r="I64" s="165"/>
    </row>
    <row r="65" spans="1:73" hidden="1" x14ac:dyDescent="0.2">
      <c r="A65" s="2937"/>
      <c r="B65" s="83" t="s">
        <v>88</v>
      </c>
      <c r="C65" s="311"/>
      <c r="D65" s="311"/>
      <c r="E65" s="311"/>
      <c r="F65" s="311"/>
      <c r="G65" s="311"/>
      <c r="H65" s="311"/>
    </row>
    <row r="66" spans="1:73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3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3" hidden="1" x14ac:dyDescent="0.2">
      <c r="A68" s="2936" t="s">
        <v>464</v>
      </c>
      <c r="B68" s="12" t="s">
        <v>56</v>
      </c>
      <c r="C68" s="1041"/>
      <c r="D68" s="1041"/>
      <c r="E68" s="1041"/>
      <c r="F68" s="1041"/>
      <c r="G68" s="1041"/>
      <c r="H68" s="1041"/>
      <c r="I68" s="165"/>
    </row>
    <row r="69" spans="1:73" hidden="1" x14ac:dyDescent="0.2">
      <c r="A69" s="2937"/>
      <c r="B69" s="83" t="s">
        <v>88</v>
      </c>
      <c r="C69" s="311"/>
      <c r="D69" s="311"/>
      <c r="E69" s="311"/>
      <c r="F69" s="311"/>
      <c r="G69" s="311"/>
      <c r="H69" s="311"/>
    </row>
    <row r="70" spans="1:73" hidden="1" x14ac:dyDescent="0.2">
      <c r="A70" s="2944" t="s">
        <v>538</v>
      </c>
      <c r="B70" s="12" t="s">
        <v>56</v>
      </c>
      <c r="C70" s="1041"/>
      <c r="D70" s="1042"/>
      <c r="E70" s="1041"/>
      <c r="F70" s="1041"/>
      <c r="G70" s="1041"/>
      <c r="H70" s="1041"/>
      <c r="I70" s="165"/>
    </row>
    <row r="71" spans="1:73" hidden="1" x14ac:dyDescent="0.2">
      <c r="A71" s="2937"/>
      <c r="B71" s="83" t="s">
        <v>88</v>
      </c>
      <c r="C71" s="311"/>
      <c r="D71" s="658"/>
      <c r="E71" s="311"/>
      <c r="F71" s="311"/>
      <c r="G71" s="311"/>
      <c r="H71" s="311"/>
    </row>
    <row r="72" spans="1:73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3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3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3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hidden="1" x14ac:dyDescent="0.2">
      <c r="A76" s="2936" t="s">
        <v>817</v>
      </c>
      <c r="B76" s="197" t="s">
        <v>56</v>
      </c>
      <c r="C76" s="1193"/>
      <c r="D76" s="1193"/>
      <c r="E76" s="1193"/>
      <c r="F76" s="1193"/>
      <c r="G76" s="1193"/>
      <c r="H76" s="1193"/>
      <c r="I76" s="124"/>
    </row>
    <row r="77" spans="1:73" s="372" customFormat="1" hidden="1" x14ac:dyDescent="0.2">
      <c r="A77" s="2939"/>
      <c r="B77" s="83" t="s">
        <v>88</v>
      </c>
      <c r="C77" s="1194"/>
      <c r="D77" s="1194"/>
      <c r="E77" s="1194"/>
      <c r="F77" s="1194"/>
      <c r="G77" s="1194"/>
      <c r="H77" s="1194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hidden="1" x14ac:dyDescent="0.2">
      <c r="A78" s="2936" t="s">
        <v>818</v>
      </c>
      <c r="B78" s="197" t="s">
        <v>56</v>
      </c>
      <c r="C78" s="1193"/>
      <c r="D78" s="1193"/>
      <c r="E78" s="1193"/>
      <c r="F78" s="1193"/>
      <c r="G78" s="1193"/>
      <c r="H78" s="1193"/>
      <c r="I78" s="124"/>
    </row>
    <row r="79" spans="1:73" hidden="1" x14ac:dyDescent="0.2">
      <c r="A79" s="2939"/>
      <c r="B79" s="83" t="s">
        <v>88</v>
      </c>
      <c r="C79" s="1194"/>
      <c r="D79" s="1194"/>
      <c r="E79" s="1194"/>
      <c r="F79" s="1194"/>
      <c r="G79" s="1194"/>
      <c r="H79" s="1194"/>
      <c r="I79" s="124"/>
    </row>
    <row r="80" spans="1:73" hidden="1" x14ac:dyDescent="0.2">
      <c r="A80" s="2936" t="s">
        <v>819</v>
      </c>
      <c r="B80" s="197" t="s">
        <v>56</v>
      </c>
      <c r="C80" s="1193"/>
      <c r="D80" s="1193"/>
      <c r="E80" s="1193"/>
      <c r="F80" s="1193"/>
      <c r="G80" s="1193"/>
      <c r="H80" s="1193"/>
      <c r="I80" s="124"/>
    </row>
    <row r="81" spans="1:12" hidden="1" x14ac:dyDescent="0.2">
      <c r="A81" s="2939"/>
      <c r="B81" s="83" t="s">
        <v>88</v>
      </c>
      <c r="C81" s="1194"/>
      <c r="D81" s="1194"/>
      <c r="E81" s="1194"/>
      <c r="F81" s="1194"/>
      <c r="G81" s="1194"/>
      <c r="H81" s="1194"/>
      <c r="I81" s="1540"/>
    </row>
    <row r="82" spans="1:12" ht="42.75" customHeight="1" x14ac:dyDescent="0.2">
      <c r="A82" s="1085" t="s">
        <v>175</v>
      </c>
      <c r="B82" s="1086" t="s">
        <v>56</v>
      </c>
      <c r="C82" s="1087" t="e">
        <f>C22+C38+C40+C54+C56+C58</f>
        <v>#REF!</v>
      </c>
      <c r="D82" s="1087" t="e">
        <f t="shared" ref="D82:H82" si="2">SUM(D22,D24,D26,D28,D30,D32,D34,D36,D38,D40,D42,D44,D46,D48,D50,D52,D54,D56,D58,D60,D62,D64,D66,D68,D70,D72,D74,D76)</f>
        <v>#REF!</v>
      </c>
      <c r="E82" s="1087" t="e">
        <f t="shared" si="2"/>
        <v>#REF!</v>
      </c>
      <c r="F82" s="1087" t="e">
        <f t="shared" si="2"/>
        <v>#REF!</v>
      </c>
      <c r="G82" s="1087" t="e">
        <f t="shared" si="2"/>
        <v>#REF!</v>
      </c>
      <c r="H82" s="1087" t="e">
        <f t="shared" si="2"/>
        <v>#REF!</v>
      </c>
      <c r="I82" s="1088" t="e">
        <f>C82+D82+E82+F82+G82+H82</f>
        <v>#REF!</v>
      </c>
      <c r="J82" s="317"/>
      <c r="K82" s="1204"/>
      <c r="L82" s="184"/>
    </row>
    <row r="83" spans="1:12" x14ac:dyDescent="0.2">
      <c r="C83">
        <v>865.27784441637903</v>
      </c>
      <c r="D83">
        <v>880.04193526406323</v>
      </c>
      <c r="E83">
        <v>798.88385734856661</v>
      </c>
      <c r="F83">
        <v>836.6344590002102</v>
      </c>
      <c r="G83">
        <v>771.32281599992393</v>
      </c>
      <c r="H83">
        <v>852.98061781108845</v>
      </c>
    </row>
    <row r="84" spans="1:12" hidden="1" x14ac:dyDescent="0.2">
      <c r="A84" s="4"/>
      <c r="C84" s="1541" t="e">
        <f t="shared" ref="C84:H84" si="3">C106/C82</f>
        <v>#REF!</v>
      </c>
      <c r="D84" s="1541" t="e">
        <f t="shared" si="3"/>
        <v>#REF!</v>
      </c>
      <c r="E84" s="1541" t="e">
        <f t="shared" si="3"/>
        <v>#REF!</v>
      </c>
      <c r="F84" s="1541" t="e">
        <f t="shared" si="3"/>
        <v>#REF!</v>
      </c>
      <c r="G84" s="1541" t="e">
        <f t="shared" si="3"/>
        <v>#REF!</v>
      </c>
      <c r="H84" s="1541" t="e">
        <f t="shared" si="3"/>
        <v>#REF!</v>
      </c>
      <c r="L84" s="1205"/>
    </row>
    <row r="85" spans="1:12" hidden="1" x14ac:dyDescent="0.2">
      <c r="A85" s="4"/>
      <c r="C85" s="214" t="e">
        <f t="shared" ref="C85:H85" si="4">C82*C6</f>
        <v>#REF!</v>
      </c>
      <c r="D85" s="214" t="e">
        <f t="shared" si="4"/>
        <v>#REF!</v>
      </c>
      <c r="E85" s="214" t="e">
        <f t="shared" si="4"/>
        <v>#REF!</v>
      </c>
      <c r="F85" s="214" t="e">
        <f t="shared" si="4"/>
        <v>#REF!</v>
      </c>
      <c r="G85" s="214" t="e">
        <f t="shared" si="4"/>
        <v>#REF!</v>
      </c>
      <c r="H85" s="214" t="e">
        <f t="shared" si="4"/>
        <v>#REF!</v>
      </c>
      <c r="L85" s="1205"/>
    </row>
    <row r="86" spans="1:12" hidden="1" x14ac:dyDescent="0.2">
      <c r="A86" s="47" t="s">
        <v>389</v>
      </c>
      <c r="B86" s="47" t="s">
        <v>94</v>
      </c>
      <c r="C86" s="1039" t="e">
        <f t="shared" ref="C86:H86" si="5">C59*C58+C57*C56+C55*C54+C41*C40+C39*C38</f>
        <v>#DIV/0!</v>
      </c>
      <c r="D86" s="1039" t="e">
        <f t="shared" si="5"/>
        <v>#DIV/0!</v>
      </c>
      <c r="E86" s="1039" t="e">
        <f t="shared" si="5"/>
        <v>#DIV/0!</v>
      </c>
      <c r="F86" s="1039" t="e">
        <f t="shared" si="5"/>
        <v>#REF!</v>
      </c>
      <c r="G86" s="1039" t="e">
        <f t="shared" si="5"/>
        <v>#REF!</v>
      </c>
      <c r="H86" s="1039" t="e">
        <f t="shared" si="5"/>
        <v>#REF!</v>
      </c>
      <c r="I86" s="1039">
        <f>(I38*I39)+(I40*I41)+(I54*I55)+(I56*I57)+(I58*I59)</f>
        <v>0</v>
      </c>
      <c r="J86" s="1039">
        <f>(J38*J39)+(J40*J41)+(J54*J55)+(J56*J57)+(J58*J59)</f>
        <v>0</v>
      </c>
    </row>
    <row r="87" spans="1:12" hidden="1" x14ac:dyDescent="0.2"/>
    <row r="88" spans="1:12" hidden="1" x14ac:dyDescent="0.2">
      <c r="A88" s="47" t="s">
        <v>389</v>
      </c>
      <c r="B88" s="484" t="s">
        <v>746</v>
      </c>
      <c r="C88" s="1615" t="e">
        <f t="shared" ref="C88:H88" si="6">C86/1000000</f>
        <v>#DIV/0!</v>
      </c>
      <c r="D88" s="1043" t="e">
        <f t="shared" si="6"/>
        <v>#DIV/0!</v>
      </c>
      <c r="E88" s="1043" t="e">
        <f t="shared" si="6"/>
        <v>#DIV/0!</v>
      </c>
      <c r="F88" s="1043" t="e">
        <f t="shared" si="6"/>
        <v>#REF!</v>
      </c>
      <c r="G88" s="1043" t="e">
        <f t="shared" si="6"/>
        <v>#REF!</v>
      </c>
      <c r="H88" s="1073" t="e">
        <f t="shared" si="6"/>
        <v>#REF!</v>
      </c>
      <c r="I88" s="1088" t="e">
        <f>C88+D88+E88+F88+G88+H88</f>
        <v>#DIV/0!</v>
      </c>
    </row>
    <row r="89" spans="1:12" hidden="1" x14ac:dyDescent="0.2">
      <c r="B89" s="415"/>
      <c r="C89" s="150"/>
      <c r="D89" s="150"/>
      <c r="E89" s="150"/>
      <c r="F89" s="150"/>
      <c r="G89" s="150"/>
      <c r="H89" s="150"/>
    </row>
    <row r="90" spans="1:12" hidden="1" x14ac:dyDescent="0.2">
      <c r="B90" s="415"/>
      <c r="C90" s="150"/>
      <c r="D90" s="150"/>
      <c r="E90" s="150"/>
      <c r="F90" s="150"/>
      <c r="G90" s="150"/>
      <c r="H90" s="150"/>
    </row>
    <row r="91" spans="1:12" ht="36" hidden="1" x14ac:dyDescent="0.2">
      <c r="A91" s="1094" t="s">
        <v>747</v>
      </c>
      <c r="B91" s="1089" t="s">
        <v>748</v>
      </c>
      <c r="C91" s="1090" t="e">
        <f>I88</f>
        <v>#DIV/0!</v>
      </c>
      <c r="D91" s="150"/>
      <c r="E91" s="150"/>
      <c r="F91" s="150"/>
      <c r="G91" s="150"/>
      <c r="H91" s="150"/>
    </row>
    <row r="92" spans="1:12" ht="36" hidden="1" x14ac:dyDescent="0.2">
      <c r="A92" s="1094" t="s">
        <v>749</v>
      </c>
      <c r="B92" s="1089" t="s">
        <v>56</v>
      </c>
      <c r="C92" s="1090" t="e">
        <f>I82</f>
        <v>#REF!</v>
      </c>
      <c r="D92" s="150"/>
      <c r="E92" s="150"/>
      <c r="F92" s="150"/>
      <c r="G92" s="150"/>
      <c r="H92" s="150"/>
    </row>
    <row r="93" spans="1:12" ht="36" hidden="1" x14ac:dyDescent="0.2">
      <c r="A93" s="1094" t="s">
        <v>750</v>
      </c>
      <c r="B93" s="1089" t="s">
        <v>751</v>
      </c>
      <c r="C93" s="1091" t="e">
        <f>C91/C92</f>
        <v>#DIV/0!</v>
      </c>
      <c r="D93" s="150"/>
      <c r="E93" s="150"/>
      <c r="F93" s="150"/>
      <c r="G93" s="150"/>
      <c r="H93" s="150"/>
    </row>
    <row r="94" spans="1:12" ht="28.8" hidden="1" x14ac:dyDescent="0.2">
      <c r="A94" s="1092" t="s">
        <v>790</v>
      </c>
      <c r="B94" s="1093" t="s">
        <v>751</v>
      </c>
      <c r="C94" s="1095" t="e">
        <f>C93/C98*100</f>
        <v>#DIV/0!</v>
      </c>
      <c r="D94">
        <v>13.686699022890487</v>
      </c>
      <c r="E94" s="1117">
        <v>2.0799999999999999E-2</v>
      </c>
      <c r="H94" s="241"/>
    </row>
    <row r="95" spans="1:12" hidden="1" x14ac:dyDescent="0.2">
      <c r="B95" s="415"/>
      <c r="C95" s="150"/>
      <c r="H95" s="241"/>
    </row>
    <row r="96" spans="1:12" hidden="1" x14ac:dyDescent="0.2">
      <c r="B96" s="415"/>
      <c r="C96" s="150"/>
    </row>
    <row r="97" spans="1:12" hidden="1" x14ac:dyDescent="0.2">
      <c r="A97" s="415" t="s">
        <v>789</v>
      </c>
      <c r="B97" s="415"/>
      <c r="C97" s="1096">
        <v>3</v>
      </c>
    </row>
    <row r="98" spans="1:12" hidden="1" x14ac:dyDescent="0.2">
      <c r="C98" s="241">
        <f>100-C97</f>
        <v>97</v>
      </c>
    </row>
    <row r="100" spans="1:12" x14ac:dyDescent="0.2">
      <c r="A100" s="415"/>
      <c r="C100" s="165"/>
      <c r="D100" s="165"/>
      <c r="E100" s="165"/>
      <c r="F100" s="165"/>
      <c r="G100" s="165"/>
      <c r="H100" s="165"/>
    </row>
    <row r="101" spans="1:12" x14ac:dyDescent="0.2">
      <c r="A101" s="1542" t="s">
        <v>885</v>
      </c>
      <c r="B101" s="1542" t="s">
        <v>56</v>
      </c>
      <c r="C101" s="1543" t="e">
        <f t="shared" ref="C101:H101" si="7">C82</f>
        <v>#REF!</v>
      </c>
      <c r="D101" s="1544" t="e">
        <f t="shared" si="7"/>
        <v>#REF!</v>
      </c>
      <c r="E101" s="1544" t="e">
        <f t="shared" si="7"/>
        <v>#REF!</v>
      </c>
      <c r="F101" s="1544" t="e">
        <f t="shared" si="7"/>
        <v>#REF!</v>
      </c>
      <c r="G101" s="1544" t="e">
        <f t="shared" si="7"/>
        <v>#REF!</v>
      </c>
      <c r="H101" s="1544" t="e">
        <f t="shared" si="7"/>
        <v>#REF!</v>
      </c>
      <c r="J101" s="103"/>
      <c r="K101" s="44"/>
      <c r="L101" s="104"/>
    </row>
    <row r="102" spans="1:12" s="185" customFormat="1" hidden="1" x14ac:dyDescent="0.2">
      <c r="A102" s="1545" t="s">
        <v>868</v>
      </c>
      <c r="B102" s="1545" t="s">
        <v>37</v>
      </c>
      <c r="C102" s="1546">
        <v>0</v>
      </c>
      <c r="D102" s="1546">
        <f>$C$102</f>
        <v>0</v>
      </c>
      <c r="E102" s="1546">
        <f>$C$102</f>
        <v>0</v>
      </c>
      <c r="F102" s="1546">
        <f>$C$102</f>
        <v>0</v>
      </c>
      <c r="G102" s="1546">
        <f>$C$102</f>
        <v>0</v>
      </c>
      <c r="H102" s="1546">
        <f>$C$102</f>
        <v>0</v>
      </c>
      <c r="J102" s="1547"/>
      <c r="K102" s="1548"/>
      <c r="L102" s="1549"/>
    </row>
    <row r="103" spans="1:12" hidden="1" x14ac:dyDescent="0.2">
      <c r="A103" s="1542" t="s">
        <v>868</v>
      </c>
      <c r="B103" s="1542" t="s">
        <v>56</v>
      </c>
      <c r="C103" s="1550" t="e">
        <f t="shared" ref="C103:H103" si="8">C101*C102</f>
        <v>#REF!</v>
      </c>
      <c r="D103" s="1550" t="e">
        <f t="shared" si="8"/>
        <v>#REF!</v>
      </c>
      <c r="E103" s="1550" t="e">
        <f t="shared" si="8"/>
        <v>#REF!</v>
      </c>
      <c r="F103" s="1550" t="e">
        <f t="shared" si="8"/>
        <v>#REF!</v>
      </c>
      <c r="G103" s="1550" t="e">
        <f t="shared" si="8"/>
        <v>#REF!</v>
      </c>
      <c r="H103" s="1550" t="e">
        <f t="shared" si="8"/>
        <v>#REF!</v>
      </c>
      <c r="J103" s="103"/>
      <c r="K103" s="44"/>
      <c r="L103" s="104"/>
    </row>
    <row r="104" spans="1:12" s="185" customFormat="1" x14ac:dyDescent="0.2">
      <c r="A104" s="1545" t="s">
        <v>886</v>
      </c>
      <c r="B104" s="1545" t="s">
        <v>56</v>
      </c>
      <c r="C104" s="1551" t="e">
        <f t="shared" ref="C104:H104" si="9">C101-C103</f>
        <v>#REF!</v>
      </c>
      <c r="D104" s="1551" t="e">
        <f t="shared" si="9"/>
        <v>#REF!</v>
      </c>
      <c r="E104" s="1551" t="e">
        <f t="shared" si="9"/>
        <v>#REF!</v>
      </c>
      <c r="F104" s="1551" t="e">
        <f t="shared" si="9"/>
        <v>#REF!</v>
      </c>
      <c r="G104" s="1551" t="e">
        <f t="shared" si="9"/>
        <v>#REF!</v>
      </c>
      <c r="H104" s="1551" t="e">
        <f t="shared" si="9"/>
        <v>#REF!</v>
      </c>
      <c r="J104" s="1547"/>
      <c r="K104" s="1548"/>
      <c r="L104" s="1549"/>
    </row>
    <row r="105" spans="1:12" s="185" customFormat="1" x14ac:dyDescent="0.2">
      <c r="A105" s="1545" t="s">
        <v>887</v>
      </c>
      <c r="B105" s="1545" t="s">
        <v>888</v>
      </c>
      <c r="C105" s="1552" t="e">
        <f t="shared" ref="C105:H105" si="10">C22*C23+C24*C25+C26*C27+C28*C29+C30*C31+C32*C33+C34*C35+C36*C37+C38*C39+C40*C41+C42*C43+C44*C45+C46*C47+C48*C49+C50*C51+C52*C53+C56*C57+C58*C59+C60*C61+C62*C63+C64*C65+C66*C67+C68*C69+C70*C71+C72*C73+C54*C55+C74*C75+C76*C77+C78*C79+C80*C81</f>
        <v>#REF!</v>
      </c>
      <c r="D105" s="1552" t="e">
        <f t="shared" si="10"/>
        <v>#REF!</v>
      </c>
      <c r="E105" s="1552" t="e">
        <f t="shared" si="10"/>
        <v>#REF!</v>
      </c>
      <c r="F105" s="1552" t="e">
        <f t="shared" si="10"/>
        <v>#REF!</v>
      </c>
      <c r="G105" s="1552" t="e">
        <f t="shared" si="10"/>
        <v>#REF!</v>
      </c>
      <c r="H105" s="1552" t="e">
        <f t="shared" si="10"/>
        <v>#REF!</v>
      </c>
      <c r="J105" s="1547"/>
      <c r="K105" s="1548"/>
      <c r="L105" s="1549"/>
    </row>
    <row r="106" spans="1:12" x14ac:dyDescent="0.2">
      <c r="A106" s="1115" t="s">
        <v>889</v>
      </c>
      <c r="B106" s="1115" t="s">
        <v>56</v>
      </c>
      <c r="C106" s="1553">
        <f>'tx consumer data'!B24</f>
        <v>0.53479100000000002</v>
      </c>
      <c r="D106" s="1553">
        <f>'tx consumer data'!C24</f>
        <v>0.30712099999999998</v>
      </c>
      <c r="E106" s="1553">
        <f>'tx consumer data'!D24</f>
        <v>0.642069</v>
      </c>
      <c r="F106" s="1553">
        <f>'tx consumer data'!E24</f>
        <v>1.6733499999999999</v>
      </c>
      <c r="G106" s="1553">
        <f>'tx consumer data'!F24</f>
        <v>1.5084409999999999</v>
      </c>
      <c r="H106" s="1553">
        <f>'tx consumer data'!G24</f>
        <v>0.94209500000000002</v>
      </c>
      <c r="L106" s="1205"/>
    </row>
    <row r="111" spans="1:12" x14ac:dyDescent="0.2">
      <c r="C111" s="1286" t="e">
        <f>C82+'Gen. Energy Cost 132'!C82+'Gen. Energy Cost 33'!C98</f>
        <v>#REF!</v>
      </c>
      <c r="D111" s="1286" t="e">
        <f>D82+'Gen. Energy Cost 132'!D82+'Gen. Energy Cost 33'!D98</f>
        <v>#REF!</v>
      </c>
      <c r="E111" s="1286" t="e">
        <f>E82+'Gen. Energy Cost 132'!E82+'Gen. Energy Cost 33'!E98</f>
        <v>#REF!</v>
      </c>
      <c r="F111" s="1286" t="e">
        <f>F82+'Gen. Energy Cost 132'!F82+'Gen. Energy Cost 33'!F98</f>
        <v>#REF!</v>
      </c>
      <c r="G111" s="1286" t="e">
        <f>G82+'Gen. Energy Cost 132'!G82+'Gen. Energy Cost 33'!G98</f>
        <v>#REF!</v>
      </c>
      <c r="H111" s="1286" t="e">
        <f>H82+'Gen. Energy Cost 132'!H82+'Gen. Energy Cost 33'!H98</f>
        <v>#REF!</v>
      </c>
    </row>
    <row r="112" spans="1:12" x14ac:dyDescent="0.2">
      <c r="C112" s="1286" t="e">
        <f>C111-'Gen. Energy Cost'!C70</f>
        <v>#REF!</v>
      </c>
      <c r="D112" s="1286" t="e">
        <f>D111-'Gen. Energy Cost'!D70</f>
        <v>#REF!</v>
      </c>
      <c r="E112" s="1286" t="e">
        <f>E111-'Gen. Energy Cost'!E70</f>
        <v>#REF!</v>
      </c>
      <c r="F112" s="1286" t="e">
        <f>F111-'Gen. Energy Cost'!F70</f>
        <v>#REF!</v>
      </c>
      <c r="G112" s="1286" t="e">
        <f>G111-'Gen. Energy Cost'!G70</f>
        <v>#REF!</v>
      </c>
      <c r="H112" s="1286" t="e">
        <f>H111-'Gen. Energy Cost'!H70</f>
        <v>#REF!</v>
      </c>
    </row>
    <row r="116" spans="3:8" x14ac:dyDescent="0.2">
      <c r="C116" s="615">
        <f>C22+'Gen. Energy Cost 132'!C22+'Gen. Energy Cost 33'!C22</f>
        <v>0</v>
      </c>
      <c r="D116" s="615">
        <f>D22+'Gen. Energy Cost 132'!D22+'Gen. Energy Cost 33'!D22</f>
        <v>0</v>
      </c>
      <c r="E116" s="615">
        <f>E22+'Gen. Energy Cost 132'!E22+'Gen. Energy Cost 33'!E22</f>
        <v>0</v>
      </c>
      <c r="F116" s="615">
        <f>F22+'Gen. Energy Cost 132'!F22+'Gen. Energy Cost 33'!F22</f>
        <v>287.8</v>
      </c>
      <c r="G116" s="615">
        <f>G22+'Gen. Energy Cost 132'!G22+'Gen. Energy Cost 33'!G22</f>
        <v>332.3</v>
      </c>
      <c r="H116" s="615">
        <f>H22+'Gen. Energy Cost 132'!H22+'Gen. Energy Cost 33'!H22</f>
        <v>348.4</v>
      </c>
    </row>
    <row r="117" spans="3:8" x14ac:dyDescent="0.2">
      <c r="C117" s="165">
        <f>C116-DispatchSchedule!F28</f>
        <v>0</v>
      </c>
      <c r="D117" s="165">
        <f>D116-DispatchSchedule!G28</f>
        <v>0</v>
      </c>
      <c r="E117" s="165">
        <f>E116-DispatchSchedule!H28</f>
        <v>0</v>
      </c>
      <c r="F117" s="165">
        <f>F116-DispatchSchedule!I28</f>
        <v>0</v>
      </c>
      <c r="G117" s="165">
        <f>G116-DispatchSchedule!J28</f>
        <v>0</v>
      </c>
      <c r="H117" s="165">
        <f>H116-DispatchSchedule!K28</f>
        <v>0</v>
      </c>
    </row>
  </sheetData>
  <dataConsolidate/>
  <mergeCells count="59"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  <mergeCell ref="AD20:AE20"/>
    <mergeCell ref="AF20:AG20"/>
    <mergeCell ref="AH20:AI20"/>
    <mergeCell ref="Y8:AC8"/>
    <mergeCell ref="AE8:AI8"/>
    <mergeCell ref="A42:A43"/>
    <mergeCell ref="AY20:AZ20"/>
    <mergeCell ref="A22:A23"/>
    <mergeCell ref="A24:A25"/>
    <mergeCell ref="A26:A27"/>
    <mergeCell ref="A28:A29"/>
    <mergeCell ref="A30:A31"/>
    <mergeCell ref="AJ20:AN20"/>
    <mergeCell ref="AO20:AP20"/>
    <mergeCell ref="AQ20:AR20"/>
    <mergeCell ref="AS20:AT20"/>
    <mergeCell ref="AU20:AV20"/>
    <mergeCell ref="AW20:AX20"/>
    <mergeCell ref="X20:Y20"/>
    <mergeCell ref="Z20:AA20"/>
    <mergeCell ref="AB20:AC20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80:A81"/>
    <mergeCell ref="A68:A69"/>
    <mergeCell ref="A70:A71"/>
    <mergeCell ref="A72:A73"/>
    <mergeCell ref="A74:A75"/>
    <mergeCell ref="A76:A77"/>
    <mergeCell ref="A78:A79"/>
  </mergeCells>
  <pageMargins left="0.75" right="0.26" top="1" bottom="1" header="0" footer="0"/>
  <pageSetup paperSize="9" scale="48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2097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2097" r:id="rId4" name="CommandButton1"/>
      </mc:Fallback>
    </mc:AlternateContent>
    <mc:AlternateContent xmlns:mc="http://schemas.openxmlformats.org/markup-compatibility/2006">
      <mc:Choice Requires="x14">
        <control shapeId="132098" r:id="rId6" name="CommandButton2">
          <controlPr defaultSize="0" autoLine="0" r:id="rId7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132098" r:id="rId6" name="CommandButton2"/>
      </mc:Fallback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43">
    <tabColor rgb="FF00B050"/>
    <pageSetUpPr fitToPage="1"/>
  </sheetPr>
  <dimension ref="A1:BR126"/>
  <sheetViews>
    <sheetView showGridLines="0" topLeftCell="A28" workbookViewId="0">
      <selection activeCell="C6" sqref="C6"/>
    </sheetView>
  </sheetViews>
  <sheetFormatPr defaultColWidth="11" defaultRowHeight="12.6" x14ac:dyDescent="0.2"/>
  <cols>
    <col min="1" max="1" width="32.26953125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3" max="33" width="20.26953125" customWidth="1"/>
  </cols>
  <sheetData>
    <row r="1" spans="1:35" s="27" customFormat="1" ht="22.2" x14ac:dyDescent="0.35">
      <c r="A1" s="3" t="s">
        <v>174</v>
      </c>
      <c r="F1" s="943"/>
      <c r="G1" s="943"/>
    </row>
    <row r="2" spans="1:35" ht="22.2" x14ac:dyDescent="0.35">
      <c r="F2" s="943"/>
      <c r="G2" s="943"/>
    </row>
    <row r="4" spans="1:35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5" ht="13.2" thickBot="1" x14ac:dyDescent="0.25">
      <c r="A5" s="26"/>
      <c r="B5" s="23" t="s">
        <v>36</v>
      </c>
      <c r="C5" s="425">
        <f>'Gen. Capacity 33'!C4</f>
        <v>46023</v>
      </c>
      <c r="D5" s="425">
        <f>'Gen. Capacity 33'!D4</f>
        <v>46054</v>
      </c>
      <c r="E5" s="425">
        <f>'Gen. Capacity 33'!E4</f>
        <v>46082</v>
      </c>
      <c r="F5" s="425">
        <f>'Gen. Capacity 33'!F4</f>
        <v>46113</v>
      </c>
      <c r="G5" s="425">
        <f>'Gen. Capacity 33'!G4</f>
        <v>46143</v>
      </c>
      <c r="H5" s="425">
        <f>'Gen. Capacity 33'!H4</f>
        <v>46174</v>
      </c>
      <c r="J5" s="103"/>
      <c r="K5" s="44"/>
      <c r="L5" s="104"/>
    </row>
    <row r="6" spans="1:35" ht="13.2" thickBot="1" x14ac:dyDescent="0.25">
      <c r="A6" s="88" t="s">
        <v>177</v>
      </c>
      <c r="B6" s="87" t="s">
        <v>88</v>
      </c>
      <c r="C6" s="388" t="e">
        <f t="shared" ref="C6:H6" si="0">C125/C121</f>
        <v>#REF!</v>
      </c>
      <c r="D6" s="388" t="e">
        <f t="shared" si="0"/>
        <v>#REF!</v>
      </c>
      <c r="E6" s="388" t="e">
        <f t="shared" si="0"/>
        <v>#REF!</v>
      </c>
      <c r="F6" s="388" t="e">
        <f t="shared" si="0"/>
        <v>#REF!</v>
      </c>
      <c r="G6" s="388" t="e">
        <f t="shared" si="0"/>
        <v>#REF!</v>
      </c>
      <c r="H6" s="388" t="e">
        <f t="shared" si="0"/>
        <v>#REF!</v>
      </c>
      <c r="I6" s="426"/>
      <c r="J6" s="84"/>
      <c r="K6" s="85"/>
      <c r="L6" s="85"/>
    </row>
    <row r="7" spans="1:35" ht="13.2" thickBot="1" x14ac:dyDescent="0.25"/>
    <row r="8" spans="1:35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5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5" x14ac:dyDescent="0.2">
      <c r="A10" s="352" t="s">
        <v>20</v>
      </c>
      <c r="B10" s="581" t="e">
        <f>$C$121*'tx consumer data'!O73</f>
        <v>#REF!</v>
      </c>
      <c r="C10" s="1357">
        <v>1</v>
      </c>
      <c r="D10" s="1044">
        <f>C10*C17</f>
        <v>1.0316521878126317</v>
      </c>
      <c r="E10" s="1045" t="e">
        <f>$C$6*D10</f>
        <v>#REF!</v>
      </c>
      <c r="F10" s="322"/>
      <c r="G10" s="352" t="s">
        <v>20</v>
      </c>
      <c r="H10" s="581" t="e">
        <f>$D$121*'tx consumer data'!O73</f>
        <v>#REF!</v>
      </c>
      <c r="I10" s="1357">
        <v>1</v>
      </c>
      <c r="J10" s="1044">
        <f>I10*I17</f>
        <v>1.0315148066385273</v>
      </c>
      <c r="K10" s="1045" t="e">
        <f>$D$6*J10</f>
        <v>#REF!</v>
      </c>
      <c r="M10" s="352" t="s">
        <v>20</v>
      </c>
      <c r="N10" s="581" t="e">
        <f>$E$121*'tx consumer data'!O73</f>
        <v>#REF!</v>
      </c>
      <c r="O10" s="1357">
        <v>1</v>
      </c>
      <c r="P10" s="1044">
        <f>O10*O17</f>
        <v>1.0316521878126315</v>
      </c>
      <c r="Q10" s="1045" t="e">
        <f>$E$6*P10</f>
        <v>#REF!</v>
      </c>
      <c r="S10" s="352" t="s">
        <v>20</v>
      </c>
      <c r="T10" s="581" t="e">
        <f>$F$121*'tx consumer data'!O73</f>
        <v>#REF!</v>
      </c>
      <c r="U10" s="1357">
        <v>1</v>
      </c>
      <c r="V10" s="1044">
        <f>U10*U17</f>
        <v>1.0316521878126315</v>
      </c>
      <c r="W10" s="1045" t="e">
        <f>$F$6*V10</f>
        <v>#REF!</v>
      </c>
      <c r="Y10" s="352" t="s">
        <v>20</v>
      </c>
      <c r="Z10" s="581" t="e">
        <f>$G$121*'tx consumer data'!O73</f>
        <v>#REF!</v>
      </c>
      <c r="AA10" s="1357">
        <v>1</v>
      </c>
      <c r="AB10" s="1044">
        <f>AA10*AA17</f>
        <v>1.0316521878126312</v>
      </c>
      <c r="AC10" s="1045" t="e">
        <f>$G$6*AB10</f>
        <v>#REF!</v>
      </c>
      <c r="AE10" s="352" t="s">
        <v>20</v>
      </c>
      <c r="AF10" s="581" t="e">
        <f>$H$121*'tx consumer data'!O73</f>
        <v>#REF!</v>
      </c>
      <c r="AG10" s="1357">
        <v>1</v>
      </c>
      <c r="AH10" s="1044">
        <f>AG10*AG17</f>
        <v>1.031652187812631</v>
      </c>
      <c r="AI10" s="1045" t="e">
        <f>$H$6*AH10</f>
        <v>#REF!</v>
      </c>
    </row>
    <row r="11" spans="1:35" x14ac:dyDescent="0.2">
      <c r="A11" s="352" t="s">
        <v>21</v>
      </c>
      <c r="B11" s="581" t="e">
        <f>$C$121*'tx consumer data'!O74</f>
        <v>#REF!</v>
      </c>
      <c r="C11" s="1357">
        <v>1.3</v>
      </c>
      <c r="D11" s="1044">
        <f>C11*C17</f>
        <v>1.3411478441564213</v>
      </c>
      <c r="E11" s="1045" t="e">
        <f>$C$6*D11</f>
        <v>#REF!</v>
      </c>
      <c r="F11" s="322"/>
      <c r="G11" s="352" t="s">
        <v>21</v>
      </c>
      <c r="H11" s="581" t="e">
        <f>$D$121*'tx consumer data'!O74</f>
        <v>#REF!</v>
      </c>
      <c r="I11" s="1357">
        <v>1.3</v>
      </c>
      <c r="J11" s="1044">
        <f>I11*I17</f>
        <v>1.3409692486300857</v>
      </c>
      <c r="K11" s="1045" t="e">
        <f>$D$6*J11</f>
        <v>#REF!</v>
      </c>
      <c r="M11" s="352" t="s">
        <v>21</v>
      </c>
      <c r="N11" s="581" t="e">
        <f>$E$121*'tx consumer data'!O74</f>
        <v>#REF!</v>
      </c>
      <c r="O11" s="1357">
        <v>1.3</v>
      </c>
      <c r="P11" s="1044">
        <f>O11*O17</f>
        <v>1.3411478441564209</v>
      </c>
      <c r="Q11" s="1045" t="e">
        <f>$E$6*P11</f>
        <v>#REF!</v>
      </c>
      <c r="S11" s="352" t="s">
        <v>21</v>
      </c>
      <c r="T11" s="581" t="e">
        <f>$F$121*'tx consumer data'!O74</f>
        <v>#REF!</v>
      </c>
      <c r="U11" s="1357">
        <v>1.3</v>
      </c>
      <c r="V11" s="1044">
        <f>U11*U17</f>
        <v>1.3411478441564209</v>
      </c>
      <c r="W11" s="1045" t="e">
        <f>$F$6*V11</f>
        <v>#REF!</v>
      </c>
      <c r="Y11" s="352" t="s">
        <v>21</v>
      </c>
      <c r="Z11" s="581" t="e">
        <f>$G$121*'tx consumer data'!O74</f>
        <v>#REF!</v>
      </c>
      <c r="AA11" s="1357">
        <v>1.3</v>
      </c>
      <c r="AB11" s="1044">
        <f>AA11*AA17</f>
        <v>1.3411478441564206</v>
      </c>
      <c r="AC11" s="1045" t="e">
        <f>$G$6*AB11</f>
        <v>#REF!</v>
      </c>
      <c r="AE11" s="352" t="s">
        <v>21</v>
      </c>
      <c r="AF11" s="581" t="e">
        <f>$H$121*'tx consumer data'!O74</f>
        <v>#REF!</v>
      </c>
      <c r="AG11" s="1357">
        <v>1.3</v>
      </c>
      <c r="AH11" s="1044">
        <f>AG11*AG17</f>
        <v>1.3411478441564204</v>
      </c>
      <c r="AI11" s="1045" t="e">
        <f>$H$6*AH11</f>
        <v>#REF!</v>
      </c>
    </row>
    <row r="12" spans="1:35" ht="13.2" thickBot="1" x14ac:dyDescent="0.25">
      <c r="A12" s="353" t="s">
        <v>22</v>
      </c>
      <c r="B12" s="581" t="e">
        <f>$C$121*'tx consumer data'!O75</f>
        <v>#REF!</v>
      </c>
      <c r="C12" s="1530">
        <v>0.6</v>
      </c>
      <c r="D12" s="1046">
        <f>C12*C17</f>
        <v>0.61899131268757901</v>
      </c>
      <c r="E12" s="1047" t="e">
        <f>$C$6*D12</f>
        <v>#REF!</v>
      </c>
      <c r="F12" s="322"/>
      <c r="G12" s="353" t="s">
        <v>22</v>
      </c>
      <c r="H12" s="581" t="e">
        <f>$C$121*'tx consumer data'!O75</f>
        <v>#REF!</v>
      </c>
      <c r="I12" s="1530">
        <v>0.6</v>
      </c>
      <c r="J12" s="1046">
        <f>I12*I17</f>
        <v>0.61890888398311639</v>
      </c>
      <c r="K12" s="1047" t="e">
        <f>$D$6*J12</f>
        <v>#REF!</v>
      </c>
      <c r="M12" s="353" t="s">
        <v>22</v>
      </c>
      <c r="N12" s="581" t="e">
        <f>$E$121*'tx consumer data'!O75</f>
        <v>#REF!</v>
      </c>
      <c r="O12" s="1530">
        <v>0.6</v>
      </c>
      <c r="P12" s="1046">
        <f>O12*O17</f>
        <v>0.6189913126875789</v>
      </c>
      <c r="Q12" s="1047" t="e">
        <f>$E$6*P12</f>
        <v>#REF!</v>
      </c>
      <c r="S12" s="353" t="s">
        <v>22</v>
      </c>
      <c r="T12" s="581" t="e">
        <f>$F$121*'tx consumer data'!O75</f>
        <v>#REF!</v>
      </c>
      <c r="U12" s="1530">
        <v>0.6</v>
      </c>
      <c r="V12" s="1046">
        <f>U12*U17</f>
        <v>0.6189913126875789</v>
      </c>
      <c r="W12" s="1047" t="e">
        <f>$F$6*V12</f>
        <v>#REF!</v>
      </c>
      <c r="Y12" s="353" t="s">
        <v>22</v>
      </c>
      <c r="Z12" s="581" t="e">
        <f>$G$121*'tx consumer data'!O75</f>
        <v>#REF!</v>
      </c>
      <c r="AA12" s="1530">
        <v>0.6</v>
      </c>
      <c r="AB12" s="1046">
        <f>AA12*AA17</f>
        <v>0.61899131268757868</v>
      </c>
      <c r="AC12" s="1047" t="e">
        <f>$G$6*AB12</f>
        <v>#REF!</v>
      </c>
      <c r="AE12" s="353" t="s">
        <v>22</v>
      </c>
      <c r="AF12" s="581" t="e">
        <f>$H$121*'tx consumer data'!O75</f>
        <v>#REF!</v>
      </c>
      <c r="AG12" s="1530">
        <v>0.6</v>
      </c>
      <c r="AH12" s="1046">
        <f>AG12*AG17</f>
        <v>0.61899131268757857</v>
      </c>
      <c r="AI12" s="1047" t="e">
        <f>$H$6*AH12</f>
        <v>#REF!</v>
      </c>
    </row>
    <row r="13" spans="1:35" ht="13.2" thickBot="1" x14ac:dyDescent="0.25">
      <c r="A13" s="99"/>
      <c r="B13" s="399" t="e">
        <f>B10+B11+B12</f>
        <v>#REF!</v>
      </c>
      <c r="C13" s="85"/>
      <c r="E13" s="100"/>
      <c r="F13" s="402"/>
      <c r="G13" s="99"/>
      <c r="H13" s="399"/>
      <c r="I13" s="85"/>
      <c r="K13" s="100"/>
      <c r="M13" s="99"/>
      <c r="N13" s="399"/>
      <c r="O13" s="85"/>
      <c r="Q13" s="100"/>
      <c r="S13" s="99"/>
      <c r="T13" s="399"/>
      <c r="U13" s="85"/>
      <c r="W13" s="100"/>
      <c r="Y13" s="99"/>
      <c r="Z13" s="399"/>
      <c r="AA13" s="85"/>
      <c r="AC13" s="100"/>
      <c r="AE13" s="99"/>
      <c r="AF13" s="399"/>
      <c r="AG13" s="85"/>
      <c r="AI13" s="100"/>
    </row>
    <row r="14" spans="1:35" x14ac:dyDescent="0.2">
      <c r="A14" s="531" t="s">
        <v>179</v>
      </c>
      <c r="B14" s="532" t="s">
        <v>60</v>
      </c>
      <c r="C14" s="533" t="e">
        <f>C6*SUM(B10:B12)</f>
        <v>#REF!</v>
      </c>
      <c r="E14" s="100"/>
      <c r="F14" s="402"/>
      <c r="G14" s="531" t="s">
        <v>179</v>
      </c>
      <c r="H14" s="532" t="s">
        <v>60</v>
      </c>
      <c r="I14" s="533" t="e">
        <f>D6*SUM(H10:H12)</f>
        <v>#REF!</v>
      </c>
      <c r="K14" s="100"/>
      <c r="M14" s="531" t="s">
        <v>179</v>
      </c>
      <c r="N14" s="532" t="s">
        <v>60</v>
      </c>
      <c r="O14" s="533" t="e">
        <f>E6*SUM(N10:N12)</f>
        <v>#REF!</v>
      </c>
      <c r="Q14" s="100"/>
      <c r="S14" s="531" t="s">
        <v>179</v>
      </c>
      <c r="T14" s="532" t="s">
        <v>60</v>
      </c>
      <c r="U14" s="533" t="e">
        <f>F6*SUM(T10:T12)</f>
        <v>#REF!</v>
      </c>
      <c r="W14" s="100"/>
      <c r="Y14" s="531" t="s">
        <v>179</v>
      </c>
      <c r="Z14" s="532" t="s">
        <v>60</v>
      </c>
      <c r="AA14" s="533" t="e">
        <f>G6*SUM(Z10:Z12)</f>
        <v>#REF!</v>
      </c>
      <c r="AC14" s="100"/>
      <c r="AE14" s="531" t="s">
        <v>179</v>
      </c>
      <c r="AF14" s="532" t="s">
        <v>60</v>
      </c>
      <c r="AG14" s="533" t="e">
        <f>H6*SUM(AF10:AF12)</f>
        <v>#REF!</v>
      </c>
      <c r="AI14" s="100"/>
    </row>
    <row r="15" spans="1:35" x14ac:dyDescent="0.2">
      <c r="A15" s="534" t="s">
        <v>180</v>
      </c>
      <c r="B15" s="85" t="s">
        <v>60</v>
      </c>
      <c r="C15" s="535" t="e">
        <f>SUMPRODUCT(B10:B12,E10:E12)</f>
        <v>#REF!</v>
      </c>
      <c r="E15" s="100"/>
      <c r="G15" s="534" t="s">
        <v>180</v>
      </c>
      <c r="H15" s="85" t="s">
        <v>60</v>
      </c>
      <c r="I15" s="535" t="e">
        <f>SUMPRODUCT(H10:H12,K10:K12)</f>
        <v>#REF!</v>
      </c>
      <c r="K15" s="100"/>
      <c r="M15" s="534" t="s">
        <v>180</v>
      </c>
      <c r="N15" s="85" t="s">
        <v>60</v>
      </c>
      <c r="O15" s="535" t="e">
        <f>SUMPRODUCT(N10:N12,Q10:Q12)</f>
        <v>#REF!</v>
      </c>
      <c r="Q15" s="100"/>
      <c r="S15" s="534" t="s">
        <v>180</v>
      </c>
      <c r="T15" s="85" t="s">
        <v>60</v>
      </c>
      <c r="U15" s="535" t="e">
        <f>SUMPRODUCT(T10:T12,W10:W12)</f>
        <v>#REF!</v>
      </c>
      <c r="W15" s="100"/>
      <c r="Y15" s="534" t="s">
        <v>180</v>
      </c>
      <c r="Z15" s="85" t="s">
        <v>60</v>
      </c>
      <c r="AA15" s="535" t="e">
        <f>SUMPRODUCT(Z10:Z12,AC10:AC12)</f>
        <v>#REF!</v>
      </c>
      <c r="AC15" s="100"/>
      <c r="AE15" s="534" t="s">
        <v>180</v>
      </c>
      <c r="AF15" s="85" t="s">
        <v>60</v>
      </c>
      <c r="AG15" s="535" t="e">
        <f>SUMPRODUCT(AF10:AF12,AI10:AI12)</f>
        <v>#REF!</v>
      </c>
      <c r="AI15" s="100"/>
    </row>
    <row r="16" spans="1:35" x14ac:dyDescent="0.2">
      <c r="A16" s="534" t="s">
        <v>184</v>
      </c>
      <c r="B16" s="85" t="s">
        <v>60</v>
      </c>
      <c r="C16" s="535" t="e">
        <f>C14-C15</f>
        <v>#REF!</v>
      </c>
      <c r="E16" s="100"/>
      <c r="G16" s="534" t="s">
        <v>184</v>
      </c>
      <c r="H16" s="85" t="s">
        <v>60</v>
      </c>
      <c r="I16" s="535" t="e">
        <f>I14-I15</f>
        <v>#REF!</v>
      </c>
      <c r="K16" s="100"/>
      <c r="M16" s="534" t="s">
        <v>184</v>
      </c>
      <c r="N16" s="85" t="s">
        <v>60</v>
      </c>
      <c r="O16" s="535" t="e">
        <f>O14-O15</f>
        <v>#REF!</v>
      </c>
      <c r="Q16" s="100"/>
      <c r="S16" s="534" t="s">
        <v>184</v>
      </c>
      <c r="T16" s="85" t="s">
        <v>60</v>
      </c>
      <c r="U16" s="535" t="e">
        <f>U14-U15</f>
        <v>#REF!</v>
      </c>
      <c r="W16" s="100"/>
      <c r="Y16" s="534" t="s">
        <v>184</v>
      </c>
      <c r="Z16" s="85" t="s">
        <v>60</v>
      </c>
      <c r="AA16" s="535" t="e">
        <f>AA14-AA15</f>
        <v>#REF!</v>
      </c>
      <c r="AC16" s="100"/>
      <c r="AE16" s="534" t="s">
        <v>184</v>
      </c>
      <c r="AF16" s="85" t="s">
        <v>60</v>
      </c>
      <c r="AG16" s="535" t="e">
        <f>AG14-AG15</f>
        <v>#REF!</v>
      </c>
      <c r="AI16" s="100"/>
    </row>
    <row r="17" spans="1:52" ht="13.2" thickBot="1" x14ac:dyDescent="0.25">
      <c r="A17" s="536" t="s">
        <v>187</v>
      </c>
      <c r="B17" s="537" t="s">
        <v>188</v>
      </c>
      <c r="C17" s="538">
        <v>1.0316521878126317</v>
      </c>
      <c r="D17" s="101"/>
      <c r="E17" s="102"/>
      <c r="G17" s="536" t="s">
        <v>187</v>
      </c>
      <c r="H17" s="537" t="s">
        <v>188</v>
      </c>
      <c r="I17" s="538">
        <v>1.0315148066385273</v>
      </c>
      <c r="J17" s="101"/>
      <c r="K17" s="102"/>
      <c r="M17" s="536" t="s">
        <v>187</v>
      </c>
      <c r="N17" s="537" t="s">
        <v>188</v>
      </c>
      <c r="O17" s="538">
        <v>1.0316521878126315</v>
      </c>
      <c r="P17" s="101"/>
      <c r="Q17" s="102"/>
      <c r="S17" s="536" t="s">
        <v>187</v>
      </c>
      <c r="T17" s="537" t="s">
        <v>188</v>
      </c>
      <c r="U17" s="538">
        <v>1.0316521878126315</v>
      </c>
      <c r="V17" s="101"/>
      <c r="W17" s="102"/>
      <c r="Y17" s="536" t="s">
        <v>187</v>
      </c>
      <c r="Z17" s="537" t="s">
        <v>188</v>
      </c>
      <c r="AA17" s="538">
        <v>1.0316521878126312</v>
      </c>
      <c r="AB17" s="101"/>
      <c r="AC17" s="102"/>
      <c r="AE17" s="536" t="s">
        <v>187</v>
      </c>
      <c r="AF17" s="537" t="s">
        <v>188</v>
      </c>
      <c r="AG17" s="538">
        <v>1.031652187812631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4"/>
    </row>
    <row r="21" spans="1:52" ht="13.2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x14ac:dyDescent="0.3">
      <c r="A22" s="2936" t="s">
        <v>962</v>
      </c>
      <c r="B22" s="418" t="s">
        <v>56</v>
      </c>
      <c r="C22" s="1532">
        <f>'hydro en &amp; capcost voltage wise'!E12</f>
        <v>0</v>
      </c>
      <c r="D22" s="1532">
        <f>'hydro en &amp; capcost voltage wise'!F12</f>
        <v>0</v>
      </c>
      <c r="E22" s="1532">
        <f>'hydro en &amp; capcost voltage wise'!G12</f>
        <v>0</v>
      </c>
      <c r="F22" s="1532">
        <f>'hydro en &amp; capcost voltage wise'!H12</f>
        <v>168.03381356452911</v>
      </c>
      <c r="G22" s="1532">
        <f>'hydro en &amp; capcost voltage wise'!I12</f>
        <v>211.16728686679787</v>
      </c>
      <c r="H22" s="1532">
        <f>'hydro en &amp; capcost voltage wise'!J12</f>
        <v>194.45000188771851</v>
      </c>
      <c r="I22" s="780" t="s">
        <v>595</v>
      </c>
      <c r="J22" s="615">
        <v>301.23</v>
      </c>
      <c r="K22" s="165"/>
      <c r="L22" s="165"/>
      <c r="M22" s="165"/>
    </row>
    <row r="23" spans="1:52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2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2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2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2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2" x14ac:dyDescent="0.2">
      <c r="A28" s="2936" t="s">
        <v>0</v>
      </c>
      <c r="B28" s="418" t="s">
        <v>56</v>
      </c>
      <c r="C28" s="1040">
        <f>'Gen. Energy Cost'!C34</f>
        <v>0</v>
      </c>
      <c r="D28" s="1040">
        <f>'Gen. Energy Cost'!D34</f>
        <v>0</v>
      </c>
      <c r="E28" s="1040">
        <f>'Gen. Energy Cost'!E34</f>
        <v>0</v>
      </c>
      <c r="F28" s="1040">
        <f>'Gen. Energy Cost'!F34</f>
        <v>0</v>
      </c>
      <c r="G28" s="1040">
        <f>'Gen. Energy Cost'!G34</f>
        <v>0</v>
      </c>
      <c r="H28" s="1040">
        <f>'Gen. Energy Cost'!H34</f>
        <v>0</v>
      </c>
      <c r="I28" s="165"/>
      <c r="J28" s="615"/>
    </row>
    <row r="29" spans="1:52" x14ac:dyDescent="0.2">
      <c r="A29" s="2942"/>
      <c r="B29" s="489" t="s">
        <v>88</v>
      </c>
      <c r="C29" s="658">
        <f>'Gen. Energy Cost'!C35</f>
        <v>0</v>
      </c>
      <c r="D29" s="658">
        <f>'Gen. Energy Cost'!D35</f>
        <v>0</v>
      </c>
      <c r="E29" s="658">
        <f>'Gen. Energy Cost'!E35</f>
        <v>0</v>
      </c>
      <c r="F29" s="658">
        <f>'Gen. Energy Cost'!F35</f>
        <v>0</v>
      </c>
      <c r="G29" s="658">
        <f>'Gen. Energy Cost'!G35</f>
        <v>0</v>
      </c>
      <c r="H29" s="658">
        <f>'Gen. Energy Cost'!H35</f>
        <v>0</v>
      </c>
    </row>
    <row r="30" spans="1:52" x14ac:dyDescent="0.2">
      <c r="A30" s="2936" t="s">
        <v>1</v>
      </c>
      <c r="B30" s="12" t="s">
        <v>56</v>
      </c>
      <c r="C30" s="1036">
        <f>'Gen. Energy Cost'!C30</f>
        <v>0</v>
      </c>
      <c r="D30" s="1036">
        <f>'Gen. Energy Cost'!D30</f>
        <v>0</v>
      </c>
      <c r="E30" s="1036">
        <f>'Gen. Energy Cost'!E30</f>
        <v>0</v>
      </c>
      <c r="F30" s="1036">
        <f>'Gen. Energy Cost'!F30</f>
        <v>28.956569999999999</v>
      </c>
      <c r="G30" s="1036">
        <f>'Gen. Energy Cost'!G30</f>
        <v>28.59515</v>
      </c>
      <c r="H30" s="1036">
        <f>'Gen. Energy Cost'!H30</f>
        <v>29.376000000000001</v>
      </c>
      <c r="I30" s="165"/>
      <c r="J30" s="615"/>
    </row>
    <row r="31" spans="1:52" x14ac:dyDescent="0.2">
      <c r="A31" s="2937"/>
      <c r="B31" s="83" t="s">
        <v>88</v>
      </c>
      <c r="C31" s="311">
        <f>'Gen. Energy Cost'!C31</f>
        <v>0</v>
      </c>
      <c r="D31" s="311">
        <f>'Gen. Energy Cost'!D31</f>
        <v>0</v>
      </c>
      <c r="E31" s="311">
        <f>'Gen. Energy Cost'!E31</f>
        <v>0</v>
      </c>
      <c r="F31" s="311">
        <f>'Gen. Energy Cost'!F31</f>
        <v>42.229763079079881</v>
      </c>
      <c r="G31" s="311">
        <f>'Gen. Energy Cost'!G31</f>
        <v>42.260102956369884</v>
      </c>
      <c r="H31" s="311">
        <f>'Gen. Energy Cost'!H31</f>
        <v>42.195489390339063</v>
      </c>
      <c r="K31" s="184"/>
    </row>
    <row r="32" spans="1:52" x14ac:dyDescent="0.2">
      <c r="A32" s="2936" t="s">
        <v>2</v>
      </c>
      <c r="B32" s="12" t="s">
        <v>56</v>
      </c>
      <c r="C32" s="1037">
        <f>'Gen. Energy Cost'!C32</f>
        <v>0</v>
      </c>
      <c r="D32" s="1037">
        <f>'Gen. Energy Cost'!D32</f>
        <v>0</v>
      </c>
      <c r="E32" s="1037">
        <f>'Gen. Energy Cost'!E32</f>
        <v>0</v>
      </c>
      <c r="F32" s="1037">
        <f>'Gen. Energy Cost'!F32</f>
        <v>36.936</v>
      </c>
      <c r="G32" s="1037">
        <f>'Gen. Energy Cost'!G32</f>
        <v>37.37397</v>
      </c>
      <c r="H32" s="1037">
        <f>'Gen. Energy Cost'!H32</f>
        <v>36.936</v>
      </c>
      <c r="I32" s="165"/>
      <c r="J32" s="615"/>
    </row>
    <row r="33" spans="1:11" x14ac:dyDescent="0.2">
      <c r="A33" s="2937"/>
      <c r="B33" s="83" t="s">
        <v>88</v>
      </c>
      <c r="C33" s="311">
        <f>'Gen. Energy Cost'!C33</f>
        <v>0</v>
      </c>
      <c r="D33" s="311">
        <f>'Gen. Energy Cost'!D33</f>
        <v>0</v>
      </c>
      <c r="E33" s="311">
        <f>'Gen. Energy Cost'!E33</f>
        <v>0</v>
      </c>
      <c r="F33" s="311">
        <f>'Gen. Energy Cost'!F33</f>
        <v>39.827255265756989</v>
      </c>
      <c r="G33" s="311">
        <f>'Gen. Energy Cost'!G33</f>
        <v>39.806455725573706</v>
      </c>
      <c r="H33" s="311">
        <f>'Gen. Energy Cost'!H33</f>
        <v>39.827255265756989</v>
      </c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x14ac:dyDescent="0.2">
      <c r="A36" s="2936" t="s">
        <v>4</v>
      </c>
      <c r="B36" s="12" t="s">
        <v>56</v>
      </c>
      <c r="C36" s="1037" t="e">
        <f>'Gen. Energy Cost'!#REF!</f>
        <v>#REF!</v>
      </c>
      <c r="D36" s="1037" t="e">
        <f>'Gen. Energy Cost'!#REF!</f>
        <v>#REF!</v>
      </c>
      <c r="E36" s="1037" t="e">
        <f>'Gen. Energy Cost'!#REF!</f>
        <v>#REF!</v>
      </c>
      <c r="F36" s="1037" t="e">
        <f>'Gen. Energy Cost'!#REF!</f>
        <v>#REF!</v>
      </c>
      <c r="G36" s="1037" t="e">
        <f>'Gen. Energy Cost'!#REF!</f>
        <v>#REF!</v>
      </c>
      <c r="H36" s="1037" t="e">
        <f>'Gen. Energy Cost'!#REF!</f>
        <v>#REF!</v>
      </c>
      <c r="I36" s="165"/>
      <c r="J36" s="615"/>
    </row>
    <row r="37" spans="1:11" x14ac:dyDescent="0.2">
      <c r="A37" s="2942"/>
      <c r="B37" s="83" t="s">
        <v>88</v>
      </c>
      <c r="C37" s="311" t="e">
        <f>'Gen. Energy Cost'!#REF!</f>
        <v>#REF!</v>
      </c>
      <c r="D37" s="311" t="e">
        <f>'Gen. Energy Cost'!#REF!</f>
        <v>#REF!</v>
      </c>
      <c r="E37" s="311" t="e">
        <f>'Gen. Energy Cost'!#REF!</f>
        <v>#REF!</v>
      </c>
      <c r="F37" s="311" t="e">
        <f>'Gen. Energy Cost'!#REF!</f>
        <v>#REF!</v>
      </c>
      <c r="G37" s="311" t="e">
        <f>'Gen. Energy Cost'!#REF!</f>
        <v>#REF!</v>
      </c>
      <c r="H37" s="311" t="e">
        <f>'Gen. Energy Cost'!#REF!</f>
        <v>#REF!</v>
      </c>
    </row>
    <row r="38" spans="1:11" hidden="1" x14ac:dyDescent="0.2">
      <c r="A38" s="2936" t="s">
        <v>5</v>
      </c>
      <c r="B38" s="12" t="s">
        <v>56</v>
      </c>
      <c r="C38" s="1037"/>
      <c r="D38" s="1037"/>
      <c r="E38" s="1037"/>
      <c r="F38" s="1037"/>
      <c r="G38" s="1037"/>
      <c r="H38" s="1037"/>
      <c r="I38" s="165"/>
      <c r="J38" s="615"/>
      <c r="K38" s="184"/>
    </row>
    <row r="39" spans="1:11" hidden="1" x14ac:dyDescent="0.2">
      <c r="A39" s="2937"/>
      <c r="B39" s="83" t="s">
        <v>88</v>
      </c>
      <c r="C39" s="311"/>
      <c r="D39" s="311"/>
      <c r="E39" s="311"/>
      <c r="F39" s="311"/>
      <c r="G39" s="1325"/>
      <c r="H39" s="1325"/>
    </row>
    <row r="40" spans="1:11" hidden="1" x14ac:dyDescent="0.2">
      <c r="A40" s="2936" t="s">
        <v>803</v>
      </c>
      <c r="B40" s="12" t="s">
        <v>56</v>
      </c>
      <c r="C40" s="1037"/>
      <c r="D40" s="1037"/>
      <c r="E40" s="1037"/>
      <c r="F40" s="1037"/>
      <c r="G40" s="1037"/>
      <c r="H40" s="1037"/>
      <c r="I40" s="165"/>
      <c r="J40" s="615"/>
      <c r="K40" s="184"/>
    </row>
    <row r="41" spans="1:11" hidden="1" x14ac:dyDescent="0.2">
      <c r="A41" s="2937"/>
      <c r="B41" s="83" t="s">
        <v>88</v>
      </c>
      <c r="C41" s="311"/>
      <c r="D41" s="311"/>
      <c r="E41" s="311"/>
      <c r="F41" s="311"/>
      <c r="G41" s="311"/>
      <c r="H41" s="311"/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hidden="1" x14ac:dyDescent="0.2">
      <c r="A46" s="3082" t="s">
        <v>9</v>
      </c>
      <c r="B46" s="571" t="s">
        <v>56</v>
      </c>
      <c r="C46" s="1533"/>
      <c r="D46" s="1533"/>
      <c r="E46" s="1533"/>
      <c r="F46" s="1533"/>
      <c r="G46" s="1533"/>
      <c r="H46" s="1533"/>
      <c r="I46" s="165"/>
      <c r="J46" s="615"/>
    </row>
    <row r="47" spans="1:11" hidden="1" x14ac:dyDescent="0.2">
      <c r="A47" s="3083"/>
      <c r="B47" s="575" t="s">
        <v>88</v>
      </c>
      <c r="C47" s="576"/>
      <c r="D47" s="576"/>
      <c r="E47" s="576"/>
      <c r="F47" s="576"/>
      <c r="G47" s="576"/>
      <c r="H47" s="576"/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x14ac:dyDescent="0.2">
      <c r="A50" s="3085" t="s">
        <v>11</v>
      </c>
      <c r="B50" s="12" t="s">
        <v>56</v>
      </c>
      <c r="C50" s="1536" t="e">
        <f>'Gen. Energy Cost'!#REF!</f>
        <v>#REF!</v>
      </c>
      <c r="D50" s="1536" t="e">
        <f>'Gen. Energy Cost'!#REF!</f>
        <v>#REF!</v>
      </c>
      <c r="E50" s="1536" t="e">
        <f>'Gen. Energy Cost'!#REF!</f>
        <v>#REF!</v>
      </c>
      <c r="F50" s="1536" t="e">
        <f>'Gen. Energy Cost'!#REF!</f>
        <v>#REF!</v>
      </c>
      <c r="G50" s="1536" t="e">
        <f>'Gen. Energy Cost'!#REF!</f>
        <v>#REF!</v>
      </c>
      <c r="H50" s="1536" t="e">
        <f>'Gen. Energy Cost'!#REF!</f>
        <v>#REF!</v>
      </c>
      <c r="I50" s="165"/>
    </row>
    <row r="51" spans="1:11" x14ac:dyDescent="0.2">
      <c r="A51" s="3086"/>
      <c r="B51" s="83" t="s">
        <v>88</v>
      </c>
      <c r="C51" s="1537" t="e">
        <f>'Gen. Energy Cost'!#REF!</f>
        <v>#REF!</v>
      </c>
      <c r="D51" s="1537" t="e">
        <f>'Gen. Energy Cost'!#REF!</f>
        <v>#REF!</v>
      </c>
      <c r="E51" s="1537" t="e">
        <f>'Gen. Energy Cost'!#REF!</f>
        <v>#REF!</v>
      </c>
      <c r="F51" s="1537" t="e">
        <f>'Gen. Energy Cost'!#REF!</f>
        <v>#REF!</v>
      </c>
      <c r="G51" s="1537" t="e">
        <f>'Gen. Energy Cost'!#REF!</f>
        <v>#REF!</v>
      </c>
      <c r="H51" s="1537" t="e">
        <f>'Gen. Energy Cost'!#REF!</f>
        <v>#REF!</v>
      </c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hidden="1" x14ac:dyDescent="0.2">
      <c r="A54" s="2936" t="s">
        <v>643</v>
      </c>
      <c r="B54" s="12" t="s">
        <v>56</v>
      </c>
      <c r="C54" s="1041"/>
      <c r="D54" s="1041"/>
      <c r="E54" s="1041"/>
      <c r="F54" s="1041"/>
      <c r="G54" s="1041"/>
      <c r="H54" s="1041"/>
      <c r="I54" s="165"/>
      <c r="K54" s="184"/>
    </row>
    <row r="55" spans="1:11" hidden="1" x14ac:dyDescent="0.2">
      <c r="A55" s="2937"/>
      <c r="B55" s="83" t="s">
        <v>88</v>
      </c>
      <c r="C55" s="1206"/>
      <c r="D55" s="1206"/>
      <c r="E55" s="1206"/>
      <c r="F55" s="1206"/>
      <c r="G55" s="1206"/>
      <c r="H55" s="1206"/>
    </row>
    <row r="56" spans="1:11" hidden="1" x14ac:dyDescent="0.2">
      <c r="A56" s="2936" t="s">
        <v>13</v>
      </c>
      <c r="B56" s="12" t="s">
        <v>56</v>
      </c>
      <c r="C56" s="1041"/>
      <c r="D56" s="1041"/>
      <c r="E56" s="1041"/>
      <c r="F56" s="1538"/>
      <c r="G56" s="1538"/>
      <c r="H56" s="1042"/>
      <c r="I56" s="165"/>
      <c r="J56" s="615"/>
      <c r="K56" s="184"/>
    </row>
    <row r="57" spans="1:11" hidden="1" x14ac:dyDescent="0.2">
      <c r="A57" s="2937"/>
      <c r="B57" s="83" t="s">
        <v>88</v>
      </c>
      <c r="C57" s="311"/>
      <c r="D57" s="311"/>
      <c r="E57" s="311"/>
      <c r="F57" s="1539"/>
      <c r="G57" s="1539"/>
      <c r="H57" s="658"/>
    </row>
    <row r="58" spans="1:11" hidden="1" x14ac:dyDescent="0.2">
      <c r="A58" s="2936" t="s">
        <v>14</v>
      </c>
      <c r="B58" s="12" t="s">
        <v>56</v>
      </c>
      <c r="C58" s="1041"/>
      <c r="D58" s="1041"/>
      <c r="E58" s="1041"/>
      <c r="F58" s="1041"/>
      <c r="G58" s="1041"/>
      <c r="H58" s="1042"/>
      <c r="I58" s="165"/>
      <c r="K58" s="184"/>
    </row>
    <row r="59" spans="1:11" hidden="1" x14ac:dyDescent="0.2">
      <c r="A59" s="2937"/>
      <c r="B59" s="83" t="s">
        <v>88</v>
      </c>
      <c r="C59" s="311"/>
      <c r="D59" s="311"/>
      <c r="E59" s="311"/>
      <c r="F59" s="311"/>
      <c r="G59" s="311"/>
      <c r="H59" s="311"/>
    </row>
    <row r="60" spans="1:11" hidden="1" x14ac:dyDescent="0.2">
      <c r="A60" s="2936" t="s">
        <v>15</v>
      </c>
      <c r="B60" s="12" t="s">
        <v>56</v>
      </c>
      <c r="C60" s="1042"/>
      <c r="D60" s="1042"/>
      <c r="E60" s="1042"/>
      <c r="F60" s="1042"/>
      <c r="G60" s="1042"/>
      <c r="H60" s="1042"/>
      <c r="I60" s="165"/>
    </row>
    <row r="61" spans="1:11" hidden="1" x14ac:dyDescent="0.2">
      <c r="A61" s="2937"/>
      <c r="B61" s="83" t="s">
        <v>88</v>
      </c>
      <c r="C61" s="658"/>
      <c r="D61" s="658"/>
      <c r="E61" s="658"/>
      <c r="F61" s="658"/>
      <c r="G61" s="658"/>
      <c r="H61" s="658"/>
    </row>
    <row r="62" spans="1:11" x14ac:dyDescent="0.2">
      <c r="A62" s="2936" t="s">
        <v>111</v>
      </c>
      <c r="B62" s="12" t="s">
        <v>56</v>
      </c>
      <c r="C62" s="1042">
        <f>'Gen. Energy Cost'!C36</f>
        <v>0</v>
      </c>
      <c r="D62" s="1042">
        <f>'Gen. Energy Cost'!D36</f>
        <v>0</v>
      </c>
      <c r="E62" s="1042">
        <f>'Gen. Energy Cost'!E36</f>
        <v>0</v>
      </c>
      <c r="F62" s="1042">
        <f>'Gen. Energy Cost'!F36</f>
        <v>0</v>
      </c>
      <c r="G62" s="1042">
        <f>'Gen. Energy Cost'!G36</f>
        <v>0</v>
      </c>
      <c r="H62" s="1042">
        <f>'Gen. Energy Cost'!H36</f>
        <v>0</v>
      </c>
      <c r="I62" s="165"/>
    </row>
    <row r="63" spans="1:11" x14ac:dyDescent="0.2">
      <c r="A63" s="2937"/>
      <c r="B63" s="83" t="s">
        <v>88</v>
      </c>
      <c r="C63" s="311">
        <f>'Gen. Energy Cost'!C37</f>
        <v>0</v>
      </c>
      <c r="D63" s="311">
        <f>'Gen. Energy Cost'!D37</f>
        <v>0</v>
      </c>
      <c r="E63" s="311">
        <f>'Gen. Energy Cost'!E37</f>
        <v>0</v>
      </c>
      <c r="F63" s="311">
        <f>'Gen. Energy Cost'!F37</f>
        <v>0</v>
      </c>
      <c r="G63" s="311">
        <f>'Gen. Energy Cost'!G37</f>
        <v>0</v>
      </c>
      <c r="H63" s="311">
        <f>'Gen. Energy Cost'!H37</f>
        <v>0</v>
      </c>
    </row>
    <row r="64" spans="1:11" hidden="1" x14ac:dyDescent="0.2">
      <c r="A64" s="2936" t="s">
        <v>422</v>
      </c>
      <c r="B64" s="12" t="s">
        <v>56</v>
      </c>
      <c r="C64" s="1041"/>
      <c r="D64" s="1041"/>
      <c r="E64" s="1041"/>
      <c r="F64" s="1041"/>
      <c r="G64" s="1041"/>
      <c r="H64" s="1041"/>
      <c r="I64" s="165"/>
    </row>
    <row r="65" spans="1:70" hidden="1" x14ac:dyDescent="0.2">
      <c r="A65" s="2937"/>
      <c r="B65" s="83" t="s">
        <v>88</v>
      </c>
      <c r="C65" s="311"/>
      <c r="D65" s="311"/>
      <c r="E65" s="311"/>
      <c r="F65" s="311"/>
      <c r="G65" s="311"/>
      <c r="H65" s="311"/>
    </row>
    <row r="66" spans="1:70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0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0" hidden="1" x14ac:dyDescent="0.2">
      <c r="A68" s="2936" t="s">
        <v>464</v>
      </c>
      <c r="B68" s="12" t="s">
        <v>56</v>
      </c>
      <c r="C68" s="1041"/>
      <c r="D68" s="1041"/>
      <c r="E68" s="1041"/>
      <c r="F68" s="1041"/>
      <c r="G68" s="1041"/>
      <c r="H68" s="1041"/>
      <c r="I68" s="165"/>
    </row>
    <row r="69" spans="1:70" hidden="1" x14ac:dyDescent="0.2">
      <c r="A69" s="2937"/>
      <c r="B69" s="83" t="s">
        <v>88</v>
      </c>
      <c r="C69" s="311"/>
      <c r="D69" s="311"/>
      <c r="E69" s="311"/>
      <c r="F69" s="311"/>
      <c r="G69" s="311"/>
      <c r="H69" s="311"/>
    </row>
    <row r="70" spans="1:70" hidden="1" x14ac:dyDescent="0.2">
      <c r="A70" s="2944" t="s">
        <v>538</v>
      </c>
      <c r="B70" s="12" t="s">
        <v>56</v>
      </c>
      <c r="C70" s="1041"/>
      <c r="D70" s="1042"/>
      <c r="E70" s="1041"/>
      <c r="F70" s="1041"/>
      <c r="G70" s="1041"/>
      <c r="H70" s="1041"/>
      <c r="I70" s="165"/>
    </row>
    <row r="71" spans="1:70" hidden="1" x14ac:dyDescent="0.2">
      <c r="A71" s="2937"/>
      <c r="B71" s="83" t="s">
        <v>88</v>
      </c>
      <c r="C71" s="311"/>
      <c r="D71" s="658"/>
      <c r="E71" s="311"/>
      <c r="F71" s="311"/>
      <c r="G71" s="311"/>
      <c r="H71" s="311"/>
    </row>
    <row r="72" spans="1:70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0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0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0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hidden="1" x14ac:dyDescent="0.2">
      <c r="A76" s="2936" t="s">
        <v>817</v>
      </c>
      <c r="B76" s="197" t="s">
        <v>56</v>
      </c>
      <c r="C76" s="1193"/>
      <c r="D76" s="1193"/>
      <c r="E76" s="1193"/>
      <c r="F76" s="1193"/>
      <c r="G76" s="1193"/>
      <c r="H76" s="1193"/>
      <c r="I76" s="124"/>
    </row>
    <row r="77" spans="1:70" s="372" customFormat="1" hidden="1" x14ac:dyDescent="0.2">
      <c r="A77" s="2939"/>
      <c r="B77" s="83" t="s">
        <v>88</v>
      </c>
      <c r="C77" s="1194"/>
      <c r="D77" s="1194"/>
      <c r="E77" s="1194"/>
      <c r="F77" s="1194"/>
      <c r="G77" s="1194"/>
      <c r="H77" s="1194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hidden="1" x14ac:dyDescent="0.2">
      <c r="A78" s="2936" t="s">
        <v>818</v>
      </c>
      <c r="B78" s="197" t="s">
        <v>56</v>
      </c>
      <c r="C78" s="1193"/>
      <c r="D78" s="1193"/>
      <c r="E78" s="1193"/>
      <c r="F78" s="1193"/>
      <c r="G78" s="1193"/>
      <c r="H78" s="1193"/>
      <c r="I78" s="124"/>
    </row>
    <row r="79" spans="1:70" hidden="1" x14ac:dyDescent="0.2">
      <c r="A79" s="2939"/>
      <c r="B79" s="83" t="s">
        <v>88</v>
      </c>
      <c r="C79" s="1194"/>
      <c r="D79" s="1194"/>
      <c r="E79" s="1194"/>
      <c r="F79" s="1194"/>
      <c r="G79" s="1194"/>
      <c r="H79" s="1194"/>
      <c r="I79" s="124"/>
    </row>
    <row r="80" spans="1:70" hidden="1" x14ac:dyDescent="0.2">
      <c r="A80" s="2936" t="s">
        <v>819</v>
      </c>
      <c r="B80" s="197" t="s">
        <v>56</v>
      </c>
      <c r="C80" s="1193"/>
      <c r="D80" s="1193"/>
      <c r="E80" s="1193"/>
      <c r="F80" s="1193"/>
      <c r="G80" s="1193"/>
      <c r="H80" s="1193"/>
      <c r="I80" s="124"/>
    </row>
    <row r="81" spans="1:12" hidden="1" x14ac:dyDescent="0.2">
      <c r="A81" s="2939"/>
      <c r="B81" s="83" t="s">
        <v>88</v>
      </c>
      <c r="C81" s="1194"/>
      <c r="D81" s="1194"/>
      <c r="E81" s="1194"/>
      <c r="F81" s="1194"/>
      <c r="G81" s="1194"/>
      <c r="H81" s="1194"/>
      <c r="I81" s="1540"/>
    </row>
    <row r="82" spans="1:12" ht="42.75" customHeight="1" x14ac:dyDescent="0.2">
      <c r="A82" s="1085" t="s">
        <v>175</v>
      </c>
      <c r="B82" s="1086" t="s">
        <v>56</v>
      </c>
      <c r="C82" s="1087" t="e">
        <f>C22+C28+C30+C32+C36+C50+C62</f>
        <v>#REF!</v>
      </c>
      <c r="D82" s="1087" t="e">
        <f t="shared" ref="D82:H82" si="2">SUM(D22,D24,D26,D28,D30,D32,D34,D36,D38,D40,D42,D44,D46,D48,D50,D52,D54,D56,D58,D60,D62,D64,D66,D68,D70,D72,D74,D76,D78,D80)</f>
        <v>#REF!</v>
      </c>
      <c r="E82" s="1087" t="e">
        <f t="shared" si="2"/>
        <v>#REF!</v>
      </c>
      <c r="F82" s="1087" t="e">
        <f t="shared" si="2"/>
        <v>#REF!</v>
      </c>
      <c r="G82" s="1087" t="e">
        <f t="shared" si="2"/>
        <v>#REF!</v>
      </c>
      <c r="H82" s="1087" t="e">
        <f t="shared" si="2"/>
        <v>#REF!</v>
      </c>
      <c r="I82" s="1088" t="e">
        <f>C82+D82+E82+F82+G82+H82</f>
        <v>#REF!</v>
      </c>
      <c r="J82" s="317"/>
      <c r="K82" s="1204"/>
      <c r="L82" s="184"/>
    </row>
    <row r="83" spans="1:12" x14ac:dyDescent="0.2">
      <c r="C83">
        <v>351.81561957332144</v>
      </c>
      <c r="D83">
        <v>339.74258485193531</v>
      </c>
      <c r="E83">
        <v>375.73867223426879</v>
      </c>
      <c r="F83">
        <v>390.54676496114263</v>
      </c>
      <c r="G83">
        <v>387.9804719302582</v>
      </c>
      <c r="H83">
        <v>342.86923458335281</v>
      </c>
    </row>
    <row r="84" spans="1:12" hidden="1" x14ac:dyDescent="0.2">
      <c r="A84" s="4"/>
      <c r="C84" s="337" t="e">
        <f t="shared" ref="C84:H84" si="3">C126/C82</f>
        <v>#REF!</v>
      </c>
      <c r="D84" s="337" t="e">
        <f t="shared" si="3"/>
        <v>#REF!</v>
      </c>
      <c r="E84" s="337" t="e">
        <f t="shared" si="3"/>
        <v>#REF!</v>
      </c>
      <c r="F84" s="337" t="e">
        <f t="shared" si="3"/>
        <v>#REF!</v>
      </c>
      <c r="G84" s="337" t="e">
        <f t="shared" si="3"/>
        <v>#REF!</v>
      </c>
      <c r="H84" s="337" t="e">
        <f t="shared" si="3"/>
        <v>#REF!</v>
      </c>
      <c r="L84" s="1205"/>
    </row>
    <row r="85" spans="1:12" hidden="1" x14ac:dyDescent="0.2">
      <c r="A85" s="4"/>
      <c r="L85" s="1205"/>
    </row>
    <row r="86" spans="1:12" hidden="1" x14ac:dyDescent="0.2">
      <c r="A86" s="4"/>
      <c r="C86" t="e">
        <f t="shared" ref="C86:H86" si="4">C82*C6</f>
        <v>#REF!</v>
      </c>
      <c r="D86" t="e">
        <f t="shared" si="4"/>
        <v>#REF!</v>
      </c>
      <c r="E86" t="e">
        <f t="shared" si="4"/>
        <v>#REF!</v>
      </c>
      <c r="F86" t="e">
        <f t="shared" si="4"/>
        <v>#REF!</v>
      </c>
      <c r="G86" t="e">
        <f t="shared" si="4"/>
        <v>#REF!</v>
      </c>
      <c r="H86" t="e">
        <f t="shared" si="4"/>
        <v>#REF!</v>
      </c>
      <c r="L86" s="1205"/>
    </row>
    <row r="87" spans="1:12" hidden="1" x14ac:dyDescent="0.2">
      <c r="A87" s="47" t="s">
        <v>389</v>
      </c>
      <c r="B87" s="47" t="s">
        <v>94</v>
      </c>
      <c r="C87" s="1039" t="e">
        <f t="shared" ref="C87:H87" si="5">C28*C29+C30*C31+C32*C33+C50*C51+C62*C63</f>
        <v>#REF!</v>
      </c>
      <c r="D87" s="1039" t="e">
        <f t="shared" si="5"/>
        <v>#REF!</v>
      </c>
      <c r="E87" s="1039" t="e">
        <f t="shared" si="5"/>
        <v>#REF!</v>
      </c>
      <c r="F87" s="1039" t="e">
        <f t="shared" si="5"/>
        <v>#REF!</v>
      </c>
      <c r="G87" s="1039" t="e">
        <f t="shared" si="5"/>
        <v>#REF!</v>
      </c>
      <c r="H87" s="1039" t="e">
        <f t="shared" si="5"/>
        <v>#REF!</v>
      </c>
    </row>
    <row r="88" spans="1:12" hidden="1" x14ac:dyDescent="0.2"/>
    <row r="89" spans="1:12" hidden="1" x14ac:dyDescent="0.2">
      <c r="A89" s="47" t="s">
        <v>389</v>
      </c>
      <c r="B89" s="484" t="s">
        <v>746</v>
      </c>
      <c r="C89" s="1043" t="e">
        <f t="shared" ref="C89:H89" si="6">C87/1000000</f>
        <v>#REF!</v>
      </c>
      <c r="D89" s="1043" t="e">
        <f t="shared" si="6"/>
        <v>#REF!</v>
      </c>
      <c r="E89" s="1043" t="e">
        <f t="shared" si="6"/>
        <v>#REF!</v>
      </c>
      <c r="F89" s="1043" t="e">
        <f t="shared" si="6"/>
        <v>#REF!</v>
      </c>
      <c r="G89" s="1043" t="e">
        <f t="shared" si="6"/>
        <v>#REF!</v>
      </c>
      <c r="H89" s="1073" t="e">
        <f t="shared" si="6"/>
        <v>#REF!</v>
      </c>
      <c r="I89" s="1088" t="e">
        <f>C89+D89+E89+F89+G89+H89</f>
        <v>#REF!</v>
      </c>
    </row>
    <row r="90" spans="1:12" hidden="1" x14ac:dyDescent="0.2">
      <c r="B90" s="415"/>
      <c r="C90" s="150"/>
      <c r="D90" s="150"/>
      <c r="E90" s="150"/>
      <c r="F90" s="150"/>
      <c r="G90" s="150"/>
      <c r="H90" s="150"/>
    </row>
    <row r="91" spans="1:12" hidden="1" x14ac:dyDescent="0.2">
      <c r="B91" s="415"/>
      <c r="C91" s="150"/>
      <c r="D91" s="150"/>
      <c r="E91" s="150"/>
      <c r="F91" s="150"/>
      <c r="G91" s="150"/>
      <c r="H91" s="150"/>
    </row>
    <row r="92" spans="1:12" ht="18" hidden="1" x14ac:dyDescent="0.2">
      <c r="A92" s="1094" t="s">
        <v>747</v>
      </c>
      <c r="B92" s="1089" t="s">
        <v>748</v>
      </c>
      <c r="C92" s="1090" t="e">
        <f>I89</f>
        <v>#REF!</v>
      </c>
      <c r="D92" s="150"/>
      <c r="E92" s="150"/>
      <c r="F92" s="150"/>
      <c r="G92" s="150"/>
      <c r="H92" s="150"/>
    </row>
    <row r="93" spans="1:12" ht="18" hidden="1" x14ac:dyDescent="0.2">
      <c r="A93" s="1094" t="s">
        <v>749</v>
      </c>
      <c r="B93" s="1089" t="s">
        <v>56</v>
      </c>
      <c r="C93" s="1090" t="e">
        <f>I82</f>
        <v>#REF!</v>
      </c>
      <c r="D93" s="150"/>
      <c r="E93" s="150"/>
      <c r="F93" s="150"/>
      <c r="G93" s="150"/>
      <c r="H93" s="150"/>
    </row>
    <row r="94" spans="1:12" ht="18" hidden="1" x14ac:dyDescent="0.2">
      <c r="A94" s="1094" t="s">
        <v>750</v>
      </c>
      <c r="B94" s="1089" t="s">
        <v>751</v>
      </c>
      <c r="C94" s="1091" t="e">
        <f>C92/C93</f>
        <v>#REF!</v>
      </c>
      <c r="D94" s="150"/>
      <c r="E94" s="150"/>
      <c r="F94" s="150"/>
      <c r="G94" s="150"/>
      <c r="H94" s="150"/>
    </row>
    <row r="95" spans="1:12" ht="14.4" hidden="1" x14ac:dyDescent="0.2">
      <c r="A95" s="1092" t="s">
        <v>790</v>
      </c>
      <c r="B95" s="1093" t="s">
        <v>751</v>
      </c>
      <c r="C95" s="1095" t="e">
        <f>C94/C99*100</f>
        <v>#REF!</v>
      </c>
      <c r="D95">
        <v>13.686699022890487</v>
      </c>
      <c r="E95" s="1117">
        <v>2.0799999999999999E-2</v>
      </c>
      <c r="H95" s="241"/>
    </row>
    <row r="96" spans="1:12" hidden="1" x14ac:dyDescent="0.2">
      <c r="B96" s="415"/>
      <c r="C96" s="150"/>
      <c r="H96" s="241"/>
    </row>
    <row r="97" spans="1:9" hidden="1" x14ac:dyDescent="0.2">
      <c r="B97" s="415"/>
      <c r="C97" s="150"/>
    </row>
    <row r="98" spans="1:9" hidden="1" x14ac:dyDescent="0.2">
      <c r="A98" s="415" t="s">
        <v>789</v>
      </c>
      <c r="B98" s="415"/>
      <c r="C98" s="1096">
        <v>3</v>
      </c>
    </row>
    <row r="99" spans="1:9" hidden="1" x14ac:dyDescent="0.2">
      <c r="C99" s="241">
        <f>100-C98</f>
        <v>97</v>
      </c>
    </row>
    <row r="100" spans="1:9" hidden="1" x14ac:dyDescent="0.2"/>
    <row r="101" spans="1:9" hidden="1" x14ac:dyDescent="0.2">
      <c r="A101" s="415"/>
      <c r="C101" s="165"/>
      <c r="D101" s="165"/>
      <c r="E101" s="165"/>
      <c r="F101" s="165"/>
      <c r="G101" s="165"/>
      <c r="H101" s="165"/>
    </row>
    <row r="102" spans="1:9" hidden="1" x14ac:dyDescent="0.2">
      <c r="A102" s="415"/>
      <c r="C102" s="165"/>
      <c r="D102" s="165"/>
      <c r="E102" s="165"/>
      <c r="F102" s="165"/>
      <c r="G102" s="165"/>
      <c r="H102" s="165"/>
      <c r="I102" s="1074"/>
    </row>
    <row r="103" spans="1:9" hidden="1" x14ac:dyDescent="0.2">
      <c r="A103" s="415"/>
    </row>
    <row r="104" spans="1:9" hidden="1" x14ac:dyDescent="0.2">
      <c r="A104" s="689">
        <v>132</v>
      </c>
      <c r="C104" s="1554">
        <v>43101</v>
      </c>
      <c r="D104" s="1554">
        <v>43133</v>
      </c>
      <c r="E104" s="1554">
        <v>43162</v>
      </c>
      <c r="F104" s="1554">
        <v>43194</v>
      </c>
      <c r="G104" s="1554">
        <v>43225</v>
      </c>
      <c r="H104" s="1554">
        <v>43257</v>
      </c>
    </row>
    <row r="105" spans="1:9" hidden="1" x14ac:dyDescent="0.2">
      <c r="A105" s="415" t="s">
        <v>890</v>
      </c>
      <c r="C105" s="402">
        <v>8314136</v>
      </c>
      <c r="D105" s="402">
        <v>13281694</v>
      </c>
      <c r="E105" s="402">
        <v>6858499</v>
      </c>
      <c r="F105" s="402">
        <v>2887751</v>
      </c>
      <c r="G105" s="402">
        <v>16453997</v>
      </c>
      <c r="H105" s="402">
        <v>44821489</v>
      </c>
    </row>
    <row r="106" spans="1:9" hidden="1" x14ac:dyDescent="0.2">
      <c r="A106" s="415" t="s">
        <v>891</v>
      </c>
      <c r="C106" s="402">
        <v>195439277.91999999</v>
      </c>
      <c r="D106" s="402">
        <v>303756615.23000002</v>
      </c>
      <c r="E106" s="402">
        <v>159535295.47</v>
      </c>
      <c r="F106" s="402">
        <v>67725318.300000012</v>
      </c>
      <c r="G106" s="402">
        <v>355252394.55000001</v>
      </c>
      <c r="H106" s="402">
        <v>959085823.71000004</v>
      </c>
    </row>
    <row r="107" spans="1:9" hidden="1" x14ac:dyDescent="0.2"/>
    <row r="108" spans="1:9" hidden="1" x14ac:dyDescent="0.2"/>
    <row r="109" spans="1:9" hidden="1" x14ac:dyDescent="0.2">
      <c r="C109" s="615"/>
      <c r="D109" s="615"/>
      <c r="E109" s="615"/>
      <c r="F109" s="615"/>
      <c r="G109" s="615"/>
      <c r="H109" s="1075"/>
    </row>
    <row r="110" spans="1:9" hidden="1" x14ac:dyDescent="0.2"/>
    <row r="113" spans="1:12" x14ac:dyDescent="0.2">
      <c r="C113" s="690"/>
      <c r="D113" s="690"/>
      <c r="E113" s="690"/>
      <c r="F113" s="690"/>
      <c r="G113" s="690"/>
      <c r="H113" s="690"/>
    </row>
    <row r="114" spans="1:12" s="1556" customFormat="1" x14ac:dyDescent="0.2">
      <c r="A114" s="1542" t="s">
        <v>885</v>
      </c>
      <c r="B114" s="1555" t="s">
        <v>56</v>
      </c>
      <c r="C114" s="1616" t="e">
        <f>'Gen. Energy Cost 220'!C104</f>
        <v>#REF!</v>
      </c>
      <c r="D114" s="1616" t="e">
        <f>'Gen. Energy Cost 220'!D104</f>
        <v>#REF!</v>
      </c>
      <c r="E114" s="1616" t="e">
        <f>'Gen. Energy Cost 220'!E104</f>
        <v>#REF!</v>
      </c>
      <c r="F114" s="1616" t="e">
        <f>'Gen. Energy Cost 220'!F104</f>
        <v>#REF!</v>
      </c>
      <c r="G114" s="1616" t="e">
        <f>'Gen. Energy Cost 220'!G104</f>
        <v>#REF!</v>
      </c>
      <c r="H114" s="1616" t="e">
        <f>'Gen. Energy Cost 220'!H104</f>
        <v>#REF!</v>
      </c>
      <c r="J114" s="1557"/>
      <c r="K114" s="1558"/>
      <c r="L114" s="1559"/>
    </row>
    <row r="115" spans="1:12" s="1556" customFormat="1" x14ac:dyDescent="0.2">
      <c r="A115" s="1542" t="s">
        <v>892</v>
      </c>
      <c r="B115" s="1555" t="s">
        <v>56</v>
      </c>
      <c r="C115" s="1617" t="e">
        <f>C114*'Loss %'!$C$8/100</f>
        <v>#REF!</v>
      </c>
      <c r="D115" s="1617" t="e">
        <f>D114*'Loss %'!$C$8/100</f>
        <v>#REF!</v>
      </c>
      <c r="E115" s="1617" t="e">
        <f>E114*'Loss %'!$C$8/100</f>
        <v>#REF!</v>
      </c>
      <c r="F115" s="1617" t="e">
        <f>F114*'Loss %'!$C$8/100</f>
        <v>#REF!</v>
      </c>
      <c r="G115" s="1617" t="e">
        <f>G114*'Loss %'!$C$8/100</f>
        <v>#REF!</v>
      </c>
      <c r="H115" s="1617" t="e">
        <f>H114*'Loss %'!$C$8/100</f>
        <v>#REF!</v>
      </c>
      <c r="J115" s="1557"/>
      <c r="K115" s="1558"/>
      <c r="L115" s="1559"/>
    </row>
    <row r="116" spans="1:12" s="1556" customFormat="1" x14ac:dyDescent="0.2">
      <c r="A116" s="1542" t="s">
        <v>893</v>
      </c>
      <c r="B116" s="1555" t="s">
        <v>56</v>
      </c>
      <c r="C116" s="1618">
        <f>'Gen. Energy Cost 220'!C106</f>
        <v>0.53479100000000002</v>
      </c>
      <c r="D116" s="1618">
        <f>'Gen. Energy Cost 220'!D106</f>
        <v>0.30712099999999998</v>
      </c>
      <c r="E116" s="1618">
        <f>'Gen. Energy Cost 220'!E106</f>
        <v>0.642069</v>
      </c>
      <c r="F116" s="1618">
        <f>'Gen. Energy Cost 220'!F106</f>
        <v>1.6733499999999999</v>
      </c>
      <c r="G116" s="1618">
        <f>'Gen. Energy Cost 220'!G106</f>
        <v>1.5084409999999999</v>
      </c>
      <c r="H116" s="1618">
        <f>'Gen. Energy Cost 220'!H106</f>
        <v>0.94209500000000002</v>
      </c>
      <c r="J116" s="1557"/>
      <c r="K116" s="1558"/>
      <c r="L116" s="1559"/>
    </row>
    <row r="117" spans="1:12" s="1556" customFormat="1" x14ac:dyDescent="0.2">
      <c r="A117" s="1542" t="s">
        <v>894</v>
      </c>
      <c r="B117" s="1555" t="s">
        <v>56</v>
      </c>
      <c r="C117" s="1619" t="e">
        <f t="shared" ref="C117:H117" si="7">C114-C116-C115</f>
        <v>#REF!</v>
      </c>
      <c r="D117" s="1620" t="e">
        <f t="shared" si="7"/>
        <v>#REF!</v>
      </c>
      <c r="E117" s="1620" t="e">
        <f t="shared" si="7"/>
        <v>#REF!</v>
      </c>
      <c r="F117" s="1620" t="e">
        <f t="shared" si="7"/>
        <v>#REF!</v>
      </c>
      <c r="G117" s="1620" t="e">
        <f t="shared" si="7"/>
        <v>#REF!</v>
      </c>
      <c r="H117" s="1620" t="e">
        <f t="shared" si="7"/>
        <v>#REF!</v>
      </c>
      <c r="J117" s="1557"/>
      <c r="K117" s="1558"/>
      <c r="L117" s="1559"/>
    </row>
    <row r="118" spans="1:12" s="1556" customFormat="1" x14ac:dyDescent="0.2">
      <c r="A118" s="1542" t="s">
        <v>895</v>
      </c>
      <c r="B118" s="1555" t="s">
        <v>56</v>
      </c>
      <c r="C118" s="1616" t="e">
        <f t="shared" ref="C118:H118" si="8">C82</f>
        <v>#REF!</v>
      </c>
      <c r="D118" s="1616" t="e">
        <f t="shared" si="8"/>
        <v>#REF!</v>
      </c>
      <c r="E118" s="1616" t="e">
        <f t="shared" si="8"/>
        <v>#REF!</v>
      </c>
      <c r="F118" s="1616" t="e">
        <f t="shared" si="8"/>
        <v>#REF!</v>
      </c>
      <c r="G118" s="1616" t="e">
        <f t="shared" si="8"/>
        <v>#REF!</v>
      </c>
      <c r="H118" s="1616" t="e">
        <f t="shared" si="8"/>
        <v>#REF!</v>
      </c>
      <c r="J118" s="1557"/>
      <c r="K118" s="1558"/>
      <c r="L118" s="1559"/>
    </row>
    <row r="119" spans="1:12" s="1561" customFormat="1" hidden="1" x14ac:dyDescent="0.2">
      <c r="A119" s="1545" t="s">
        <v>873</v>
      </c>
      <c r="B119" s="1560" t="s">
        <v>37</v>
      </c>
      <c r="C119" s="1621">
        <v>0</v>
      </c>
      <c r="D119" s="1621">
        <f>$C$119</f>
        <v>0</v>
      </c>
      <c r="E119" s="1621">
        <f>$C$119</f>
        <v>0</v>
      </c>
      <c r="F119" s="1621">
        <f>$C$119</f>
        <v>0</v>
      </c>
      <c r="G119" s="1621">
        <f>$C$119</f>
        <v>0</v>
      </c>
      <c r="H119" s="1621">
        <f>$C$119</f>
        <v>0</v>
      </c>
      <c r="J119" s="1562"/>
      <c r="K119" s="1563"/>
      <c r="L119" s="1564"/>
    </row>
    <row r="120" spans="1:12" s="1556" customFormat="1" hidden="1" x14ac:dyDescent="0.2">
      <c r="A120" s="1542" t="s">
        <v>873</v>
      </c>
      <c r="B120" s="1555" t="s">
        <v>56</v>
      </c>
      <c r="C120" s="1622" t="e">
        <f t="shared" ref="C120:H120" si="9">C118*C119</f>
        <v>#REF!</v>
      </c>
      <c r="D120" s="1622" t="e">
        <f t="shared" si="9"/>
        <v>#REF!</v>
      </c>
      <c r="E120" s="1622" t="e">
        <f t="shared" si="9"/>
        <v>#REF!</v>
      </c>
      <c r="F120" s="1622" t="e">
        <f t="shared" si="9"/>
        <v>#REF!</v>
      </c>
      <c r="G120" s="1622" t="e">
        <f t="shared" si="9"/>
        <v>#REF!</v>
      </c>
      <c r="H120" s="1622" t="e">
        <f t="shared" si="9"/>
        <v>#REF!</v>
      </c>
      <c r="J120" s="1557"/>
      <c r="K120" s="1558"/>
      <c r="L120" s="1559"/>
    </row>
    <row r="121" spans="1:12" s="1561" customFormat="1" x14ac:dyDescent="0.2">
      <c r="A121" s="1545" t="s">
        <v>896</v>
      </c>
      <c r="B121" s="1560" t="s">
        <v>56</v>
      </c>
      <c r="C121" s="1623" t="e">
        <f t="shared" ref="C121:H121" si="10">C117+C118-C120</f>
        <v>#REF!</v>
      </c>
      <c r="D121" s="1623" t="e">
        <f t="shared" si="10"/>
        <v>#REF!</v>
      </c>
      <c r="E121" s="1623" t="e">
        <f t="shared" si="10"/>
        <v>#REF!</v>
      </c>
      <c r="F121" s="1623" t="e">
        <f t="shared" si="10"/>
        <v>#REF!</v>
      </c>
      <c r="G121" s="1623" t="e">
        <f t="shared" si="10"/>
        <v>#REF!</v>
      </c>
      <c r="H121" s="1623" t="e">
        <f t="shared" si="10"/>
        <v>#REF!</v>
      </c>
      <c r="I121" s="1565"/>
      <c r="J121" s="1562"/>
      <c r="K121" s="1563"/>
      <c r="L121" s="1564"/>
    </row>
    <row r="122" spans="1:12" s="1556" customFormat="1" x14ac:dyDescent="0.2">
      <c r="A122" s="1542" t="s">
        <v>887</v>
      </c>
      <c r="B122" s="1555" t="s">
        <v>888</v>
      </c>
      <c r="C122" s="1616" t="e">
        <f>'Gen. Energy Cost 220'!C105</f>
        <v>#REF!</v>
      </c>
      <c r="D122" s="1616" t="e">
        <f>'Gen. Energy Cost 220'!D105</f>
        <v>#REF!</v>
      </c>
      <c r="E122" s="1616" t="e">
        <f>'Gen. Energy Cost 220'!E105</f>
        <v>#REF!</v>
      </c>
      <c r="F122" s="1616" t="e">
        <f>'Gen. Energy Cost 220'!F105</f>
        <v>#REF!</v>
      </c>
      <c r="G122" s="1616" t="e">
        <f>'Gen. Energy Cost 220'!G105</f>
        <v>#REF!</v>
      </c>
      <c r="H122" s="1616" t="e">
        <f>'Gen. Energy Cost 220'!H105</f>
        <v>#REF!</v>
      </c>
      <c r="J122" s="1557"/>
      <c r="K122" s="1558"/>
      <c r="L122" s="1559"/>
    </row>
    <row r="123" spans="1:12" s="1556" customFormat="1" x14ac:dyDescent="0.2">
      <c r="A123" s="1542" t="s">
        <v>897</v>
      </c>
      <c r="B123" s="1555" t="s">
        <v>888</v>
      </c>
      <c r="C123" s="1616" t="e">
        <f>'tx consumer data'!B100/1000000</f>
        <v>#REF!</v>
      </c>
      <c r="D123" s="1616" t="e">
        <f>'tx consumer data'!C100/1000000</f>
        <v>#REF!</v>
      </c>
      <c r="E123" s="1616" t="e">
        <f>'tx consumer data'!D100/1000000</f>
        <v>#REF!</v>
      </c>
      <c r="F123" s="1616" t="e">
        <f>'tx consumer data'!E100/1000000</f>
        <v>#REF!</v>
      </c>
      <c r="G123" s="1616" t="e">
        <f>'tx consumer data'!F100/1000000</f>
        <v>#REF!</v>
      </c>
      <c r="H123" s="1616" t="e">
        <f>'tx consumer data'!G100/1000000</f>
        <v>#REF!</v>
      </c>
      <c r="J123" s="1557"/>
      <c r="K123" s="1558"/>
      <c r="L123" s="1559"/>
    </row>
    <row r="124" spans="1:12" s="1556" customFormat="1" x14ac:dyDescent="0.2">
      <c r="A124" s="1542" t="s">
        <v>898</v>
      </c>
      <c r="B124" s="1555" t="s">
        <v>888</v>
      </c>
      <c r="C124" s="1616" t="e">
        <f t="shared" ref="C124:H124" si="11">C22*C23+C24*C25+C26*C27+C28*C29+C30*C31+C32*C33+C34*C35+C36*C37+C38*C39+C40*C41+C42*C43+C44*C45+C46*C47+C48*C49+C50*C51+C52*C53+C56*C57+C58*C59+C60*C61+C62*C63+C64*C65+C66*C67+C68*C69+C70*C71+C72*C73+C54*C55+C74*C75+C76*C77+C78*C79+C80*C81</f>
        <v>#REF!</v>
      </c>
      <c r="D124" s="1616" t="e">
        <f t="shared" si="11"/>
        <v>#REF!</v>
      </c>
      <c r="E124" s="1616" t="e">
        <f t="shared" si="11"/>
        <v>#REF!</v>
      </c>
      <c r="F124" s="1616" t="e">
        <f t="shared" si="11"/>
        <v>#REF!</v>
      </c>
      <c r="G124" s="1616" t="e">
        <f t="shared" si="11"/>
        <v>#REF!</v>
      </c>
      <c r="H124" s="1616" t="e">
        <f t="shared" si="11"/>
        <v>#REF!</v>
      </c>
      <c r="J124" s="1557"/>
      <c r="K124" s="1558"/>
      <c r="L124" s="1559"/>
    </row>
    <row r="125" spans="1:12" s="1561" customFormat="1" x14ac:dyDescent="0.2">
      <c r="A125" s="1545" t="s">
        <v>899</v>
      </c>
      <c r="B125" s="1560" t="s">
        <v>888</v>
      </c>
      <c r="C125" s="1624" t="e">
        <f t="shared" ref="C125:H125" si="12">C122-C123+C124</f>
        <v>#REF!</v>
      </c>
      <c r="D125" s="1624" t="e">
        <f t="shared" si="12"/>
        <v>#REF!</v>
      </c>
      <c r="E125" s="1624" t="e">
        <f t="shared" si="12"/>
        <v>#REF!</v>
      </c>
      <c r="F125" s="1624" t="e">
        <f t="shared" si="12"/>
        <v>#REF!</v>
      </c>
      <c r="G125" s="1624" t="e">
        <f t="shared" si="12"/>
        <v>#REF!</v>
      </c>
      <c r="H125" s="1624" t="e">
        <f t="shared" si="12"/>
        <v>#REF!</v>
      </c>
      <c r="J125" s="1562"/>
      <c r="K125" s="1563"/>
      <c r="L125" s="1564"/>
    </row>
    <row r="126" spans="1:12" s="1" customFormat="1" x14ac:dyDescent="0.2">
      <c r="A126" s="1115" t="s">
        <v>889</v>
      </c>
      <c r="B126" s="518" t="s">
        <v>56</v>
      </c>
      <c r="C126" s="1625">
        <f>'tx consumer data'!B25</f>
        <v>2.2031360000000002</v>
      </c>
      <c r="D126" s="1625">
        <f>'tx consumer data'!C25</f>
        <v>2.152107</v>
      </c>
      <c r="E126" s="1625">
        <f>'tx consumer data'!D25</f>
        <v>1.589378</v>
      </c>
      <c r="F126" s="1625">
        <f>'tx consumer data'!E25</f>
        <v>0.22325800000000001</v>
      </c>
      <c r="G126" s="1625">
        <f>'tx consumer data'!F25</f>
        <v>0.45465800000000001</v>
      </c>
      <c r="H126" s="1625">
        <f>'tx consumer data'!G25</f>
        <v>1.918987</v>
      </c>
      <c r="L126" s="1566"/>
    </row>
  </sheetData>
  <dataConsolidate/>
  <mergeCells count="59"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  <mergeCell ref="AD20:AE20"/>
    <mergeCell ref="AF20:AG20"/>
    <mergeCell ref="AH20:AI20"/>
    <mergeCell ref="Y8:AC8"/>
    <mergeCell ref="AE8:AI8"/>
    <mergeCell ref="A42:A43"/>
    <mergeCell ref="AV20:AW20"/>
    <mergeCell ref="A22:A23"/>
    <mergeCell ref="A24:A25"/>
    <mergeCell ref="A26:A27"/>
    <mergeCell ref="A28:A29"/>
    <mergeCell ref="A30:A31"/>
    <mergeCell ref="AJ20:AK20"/>
    <mergeCell ref="AL20:AM20"/>
    <mergeCell ref="AN20:AO20"/>
    <mergeCell ref="AP20:AQ20"/>
    <mergeCell ref="AR20:AS20"/>
    <mergeCell ref="AT20:AU20"/>
    <mergeCell ref="X20:Y20"/>
    <mergeCell ref="Z20:AA20"/>
    <mergeCell ref="AB20:AC20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80:A81"/>
    <mergeCell ref="A68:A69"/>
    <mergeCell ref="A70:A71"/>
    <mergeCell ref="A72:A73"/>
    <mergeCell ref="A74:A75"/>
    <mergeCell ref="A76:A77"/>
    <mergeCell ref="A78:A79"/>
  </mergeCells>
  <pageMargins left="0.75" right="0.26" top="1" bottom="1" header="0" footer="0"/>
  <pageSetup paperSize="9" scale="46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3121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3121" r:id="rId4" name="CommandButton1"/>
      </mc:Fallback>
    </mc:AlternateContent>
    <mc:AlternateContent xmlns:mc="http://schemas.openxmlformats.org/markup-compatibility/2006">
      <mc:Choice Requires="x14">
        <control shapeId="133122" r:id="rId6" name="CommandButton2">
          <controlPr defaultSize="0" autoLine="0" r:id="rId7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133122" r:id="rId6" name="CommandButton2"/>
      </mc:Fallback>
    </mc:AlternateContent>
  </control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44">
    <tabColor rgb="FF00B050"/>
    <pageSetUpPr fitToPage="1"/>
  </sheetPr>
  <dimension ref="A1:BR133"/>
  <sheetViews>
    <sheetView showGridLines="0" topLeftCell="B91" workbookViewId="0">
      <selection activeCell="C6" sqref="C6"/>
    </sheetView>
  </sheetViews>
  <sheetFormatPr defaultColWidth="11" defaultRowHeight="12.6" x14ac:dyDescent="0.2"/>
  <cols>
    <col min="1" max="1" width="39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</cols>
  <sheetData>
    <row r="1" spans="1:39" s="27" customFormat="1" ht="22.2" x14ac:dyDescent="0.35">
      <c r="A1" s="3" t="s">
        <v>174</v>
      </c>
      <c r="F1" s="943"/>
      <c r="G1" s="943"/>
    </row>
    <row r="2" spans="1:39" ht="22.2" x14ac:dyDescent="0.35">
      <c r="F2" s="943"/>
      <c r="G2" s="943"/>
    </row>
    <row r="4" spans="1:39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9" ht="13.2" thickBot="1" x14ac:dyDescent="0.25">
      <c r="A5" s="26"/>
      <c r="B5" s="23" t="s">
        <v>36</v>
      </c>
      <c r="C5" s="425">
        <f>'Gen. Energy Cost 132'!C5</f>
        <v>46023</v>
      </c>
      <c r="D5" s="425">
        <f>'Gen. Energy Cost 132'!D5</f>
        <v>46054</v>
      </c>
      <c r="E5" s="425">
        <f>'Gen. Energy Cost 132'!E5</f>
        <v>46082</v>
      </c>
      <c r="F5" s="425">
        <f>'Gen. Energy Cost 132'!F5</f>
        <v>46113</v>
      </c>
      <c r="G5" s="425">
        <f>'Gen. Energy Cost 132'!G5</f>
        <v>46143</v>
      </c>
      <c r="H5" s="425">
        <f>'Gen. Energy Cost 132'!H5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8" t="e">
        <f t="shared" ref="C6:H6" si="0">C130/C126</f>
        <v>#REF!</v>
      </c>
      <c r="D6" s="388" t="e">
        <f t="shared" si="0"/>
        <v>#REF!</v>
      </c>
      <c r="E6" s="388" t="e">
        <f t="shared" si="0"/>
        <v>#REF!</v>
      </c>
      <c r="F6" s="388" t="e">
        <f t="shared" si="0"/>
        <v>#REF!</v>
      </c>
      <c r="G6" s="388" t="e">
        <f t="shared" si="0"/>
        <v>#REF!</v>
      </c>
      <c r="H6" s="388" t="e">
        <f t="shared" si="0"/>
        <v>#REF!</v>
      </c>
      <c r="I6" s="426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9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2" t="s">
        <v>20</v>
      </c>
      <c r="B10" s="581" t="e">
        <f>C126*0.568</f>
        <v>#REF!</v>
      </c>
      <c r="C10" s="1357">
        <v>1</v>
      </c>
      <c r="D10" s="1044">
        <f>C10*C17</f>
        <v>1.0140959334753066</v>
      </c>
      <c r="E10" s="1045" t="e">
        <f>$C$6*D10</f>
        <v>#REF!</v>
      </c>
      <c r="F10" s="322"/>
      <c r="G10" s="352" t="s">
        <v>20</v>
      </c>
      <c r="H10" s="581" t="e">
        <f>+D126*0.568</f>
        <v>#REF!</v>
      </c>
      <c r="I10" s="1357">
        <v>1</v>
      </c>
      <c r="J10" s="1044">
        <f>I10*I17</f>
        <v>1.0140959334753066</v>
      </c>
      <c r="K10" s="1045" t="e">
        <f>$D$6*J10</f>
        <v>#REF!</v>
      </c>
      <c r="M10" s="352" t="s">
        <v>20</v>
      </c>
      <c r="N10" s="581" t="e">
        <f>+E126*0.568</f>
        <v>#REF!</v>
      </c>
      <c r="O10" s="1357">
        <v>1</v>
      </c>
      <c r="P10" s="1044">
        <f>O10*O17</f>
        <v>1.0140959334753066</v>
      </c>
      <c r="Q10" s="1045" t="e">
        <f>$E$6*P10</f>
        <v>#REF!</v>
      </c>
      <c r="S10" s="352" t="s">
        <v>20</v>
      </c>
      <c r="T10" s="581" t="e">
        <f>+F126*0.568</f>
        <v>#REF!</v>
      </c>
      <c r="U10" s="1357">
        <v>1</v>
      </c>
      <c r="V10" s="1044">
        <f>U10*U17</f>
        <v>1.0140959334753066</v>
      </c>
      <c r="W10" s="1045" t="e">
        <f>$F$6*V10</f>
        <v>#REF!</v>
      </c>
      <c r="Y10" s="352" t="s">
        <v>20</v>
      </c>
      <c r="Z10" s="581" t="e">
        <f>+G126*0.568</f>
        <v>#REF!</v>
      </c>
      <c r="AA10" s="1357">
        <v>1</v>
      </c>
      <c r="AB10" s="1044">
        <f>AA10*AA17</f>
        <v>1.0140959334753068</v>
      </c>
      <c r="AC10" s="1045" t="e">
        <f>$G$6*AB10</f>
        <v>#REF!</v>
      </c>
      <c r="AE10" s="352" t="s">
        <v>20</v>
      </c>
      <c r="AF10" s="581" t="e">
        <f>+H126*0.568</f>
        <v>#REF!</v>
      </c>
      <c r="AG10" s="1357">
        <v>1</v>
      </c>
      <c r="AH10" s="1044">
        <f>AG10*AG17</f>
        <v>1.0140959334753066</v>
      </c>
      <c r="AI10" s="1045" t="e">
        <f>$H$6*AH10</f>
        <v>#REF!</v>
      </c>
      <c r="AK10" t="e">
        <f>AI10+AC10+W10+Q10+K10+E10</f>
        <v>#REF!</v>
      </c>
      <c r="AL10">
        <v>60.280410679013087</v>
      </c>
      <c r="AM10" t="e">
        <f>AL10-AK10</f>
        <v>#REF!</v>
      </c>
    </row>
    <row r="11" spans="1:39" x14ac:dyDescent="0.2">
      <c r="A11" s="352" t="s">
        <v>21</v>
      </c>
      <c r="B11" s="581" t="e">
        <f>+C126*0.227</f>
        <v>#REF!</v>
      </c>
      <c r="C11" s="1357">
        <v>1.3</v>
      </c>
      <c r="D11" s="1044">
        <f>C11*C17</f>
        <v>1.3183247135178986</v>
      </c>
      <c r="E11" s="1045" t="e">
        <f>$C$6*D11</f>
        <v>#REF!</v>
      </c>
      <c r="F11" s="322"/>
      <c r="G11" s="352" t="s">
        <v>21</v>
      </c>
      <c r="H11" s="581" t="e">
        <f>+D126*0.227</f>
        <v>#REF!</v>
      </c>
      <c r="I11" s="1357">
        <v>1.3</v>
      </c>
      <c r="J11" s="1044">
        <f>I11*I17</f>
        <v>1.3183247135178986</v>
      </c>
      <c r="K11" s="1045" t="e">
        <f>$D$6*J11</f>
        <v>#REF!</v>
      </c>
      <c r="M11" s="352" t="s">
        <v>21</v>
      </c>
      <c r="N11" s="581" t="e">
        <f>+E126*0.227</f>
        <v>#REF!</v>
      </c>
      <c r="O11" s="1357">
        <v>1.3</v>
      </c>
      <c r="P11" s="1044">
        <f>O11*O17</f>
        <v>1.3183247135178986</v>
      </c>
      <c r="Q11" s="1045" t="e">
        <f>$E$6*P11</f>
        <v>#REF!</v>
      </c>
      <c r="S11" s="352" t="s">
        <v>21</v>
      </c>
      <c r="T11" s="581" t="e">
        <f>+F126*0.227</f>
        <v>#REF!</v>
      </c>
      <c r="U11" s="1357">
        <v>1.3</v>
      </c>
      <c r="V11" s="1044">
        <f>U11*U17</f>
        <v>1.3183247135178986</v>
      </c>
      <c r="W11" s="1045" t="e">
        <f>$F$6*V11</f>
        <v>#REF!</v>
      </c>
      <c r="Y11" s="352" t="s">
        <v>21</v>
      </c>
      <c r="Z11" s="581" t="e">
        <f>+G126*0.227</f>
        <v>#REF!</v>
      </c>
      <c r="AA11" s="1357">
        <v>1.3</v>
      </c>
      <c r="AB11" s="1044">
        <f>AA11*AA17</f>
        <v>1.3183247135178988</v>
      </c>
      <c r="AC11" s="1045" t="e">
        <f>$G$6*AB11</f>
        <v>#REF!</v>
      </c>
      <c r="AE11" s="352" t="s">
        <v>21</v>
      </c>
      <c r="AF11" s="581" t="e">
        <f>+H126*0.227</f>
        <v>#REF!</v>
      </c>
      <c r="AG11" s="1357">
        <v>1.3</v>
      </c>
      <c r="AH11" s="1044">
        <f>AG11*AG17</f>
        <v>1.3183247135178986</v>
      </c>
      <c r="AI11" s="1045" t="e">
        <f>$H$6*AH11</f>
        <v>#REF!</v>
      </c>
      <c r="AK11" t="e">
        <f>AI11+AC11+W11+Q11+K11+E11</f>
        <v>#REF!</v>
      </c>
      <c r="AL11">
        <v>78.364533882717012</v>
      </c>
      <c r="AM11" t="e">
        <f>AL11-AK11</f>
        <v>#REF!</v>
      </c>
    </row>
    <row r="12" spans="1:39" ht="13.2" thickBot="1" x14ac:dyDescent="0.25">
      <c r="A12" s="353" t="s">
        <v>22</v>
      </c>
      <c r="B12" s="582" t="e">
        <f>+C126*0.205</f>
        <v>#REF!</v>
      </c>
      <c r="C12" s="1530">
        <v>0.6</v>
      </c>
      <c r="D12" s="1046">
        <f>C12*C17</f>
        <v>0.60845756008518392</v>
      </c>
      <c r="E12" s="1047" t="e">
        <f>$C$6*D12</f>
        <v>#REF!</v>
      </c>
      <c r="F12" s="322"/>
      <c r="G12" s="353" t="s">
        <v>22</v>
      </c>
      <c r="H12" s="582" t="e">
        <f>+D126*0.205</f>
        <v>#REF!</v>
      </c>
      <c r="I12" s="1530">
        <v>0.6</v>
      </c>
      <c r="J12" s="1046">
        <f>I12*I17</f>
        <v>0.60845756008518392</v>
      </c>
      <c r="K12" s="1047" t="e">
        <f>$D$6*J12</f>
        <v>#REF!</v>
      </c>
      <c r="M12" s="353" t="s">
        <v>22</v>
      </c>
      <c r="N12" s="582" t="e">
        <f>+E126*0.205</f>
        <v>#REF!</v>
      </c>
      <c r="O12" s="1530">
        <v>0.6</v>
      </c>
      <c r="P12" s="1046">
        <f>O12*O17</f>
        <v>0.60845756008518392</v>
      </c>
      <c r="Q12" s="1047" t="e">
        <f>$E$6*P12</f>
        <v>#REF!</v>
      </c>
      <c r="S12" s="353" t="s">
        <v>22</v>
      </c>
      <c r="T12" s="582" t="e">
        <f>+F126*0.205</f>
        <v>#REF!</v>
      </c>
      <c r="U12" s="1530">
        <v>0.6</v>
      </c>
      <c r="V12" s="1046">
        <f>U12*U17</f>
        <v>0.60845756008518392</v>
      </c>
      <c r="W12" s="1047" t="e">
        <f>$F$6*V12</f>
        <v>#REF!</v>
      </c>
      <c r="Y12" s="353" t="s">
        <v>22</v>
      </c>
      <c r="Z12" s="582" t="e">
        <f>+G126*0.205</f>
        <v>#REF!</v>
      </c>
      <c r="AA12" s="1530">
        <v>0.6</v>
      </c>
      <c r="AB12" s="1046">
        <f>AA12*AA17</f>
        <v>0.60845756008518403</v>
      </c>
      <c r="AC12" s="1047" t="e">
        <f>$G$6*AB12</f>
        <v>#REF!</v>
      </c>
      <c r="AE12" s="353" t="s">
        <v>22</v>
      </c>
      <c r="AF12" s="582" t="e">
        <f>+H126*0.205</f>
        <v>#REF!</v>
      </c>
      <c r="AG12" s="1530">
        <v>0.6</v>
      </c>
      <c r="AH12" s="1046">
        <f>AG12*AG17</f>
        <v>0.60845756008518392</v>
      </c>
      <c r="AI12" s="1047" t="e">
        <f>$H$6*AH12</f>
        <v>#REF!</v>
      </c>
      <c r="AK12" t="e">
        <f>AI12+AC12+W12+Q12+K12+E12</f>
        <v>#REF!</v>
      </c>
      <c r="AL12">
        <v>36.16824640740785</v>
      </c>
      <c r="AM12" t="e">
        <f>AL12-AK12</f>
        <v>#REF!</v>
      </c>
    </row>
    <row r="13" spans="1:39" ht="13.2" thickBot="1" x14ac:dyDescent="0.25">
      <c r="A13" s="99"/>
      <c r="B13" s="399"/>
      <c r="C13" s="85"/>
      <c r="E13" s="100"/>
      <c r="F13" s="402"/>
      <c r="G13" s="99"/>
      <c r="H13" s="399"/>
      <c r="I13" s="85"/>
      <c r="K13" s="100"/>
      <c r="M13" s="99"/>
      <c r="N13" s="399"/>
      <c r="O13" s="85"/>
      <c r="Q13" s="100"/>
      <c r="S13" s="99"/>
      <c r="T13" s="399"/>
      <c r="U13" s="85"/>
      <c r="W13" s="100"/>
      <c r="Y13" s="99"/>
      <c r="Z13" s="399"/>
      <c r="AA13" s="85"/>
      <c r="AC13" s="100"/>
      <c r="AE13" s="99"/>
      <c r="AF13" s="399"/>
      <c r="AG13" s="85"/>
      <c r="AI13" s="100"/>
    </row>
    <row r="14" spans="1:39" x14ac:dyDescent="0.2">
      <c r="A14" s="531" t="s">
        <v>179</v>
      </c>
      <c r="B14" s="532" t="s">
        <v>60</v>
      </c>
      <c r="C14" s="533" t="e">
        <f>C6*SUM(B10:B12)</f>
        <v>#REF!</v>
      </c>
      <c r="E14" s="100"/>
      <c r="F14" s="402"/>
      <c r="G14" s="531" t="s">
        <v>179</v>
      </c>
      <c r="H14" s="532" t="s">
        <v>60</v>
      </c>
      <c r="I14" s="533" t="e">
        <f>D6*SUM(H10:H12)</f>
        <v>#REF!</v>
      </c>
      <c r="K14" s="100"/>
      <c r="M14" s="531" t="s">
        <v>179</v>
      </c>
      <c r="N14" s="532" t="s">
        <v>60</v>
      </c>
      <c r="O14" s="533" t="e">
        <f>E6*SUM(N10:N12)</f>
        <v>#REF!</v>
      </c>
      <c r="Q14" s="100"/>
      <c r="S14" s="531" t="s">
        <v>179</v>
      </c>
      <c r="T14" s="532" t="s">
        <v>60</v>
      </c>
      <c r="U14" s="533" t="e">
        <f>F6*SUM(T10:T12)</f>
        <v>#REF!</v>
      </c>
      <c r="W14" s="100"/>
      <c r="Y14" s="531" t="s">
        <v>179</v>
      </c>
      <c r="Z14" s="532" t="s">
        <v>60</v>
      </c>
      <c r="AA14" s="533" t="e">
        <f>G6*SUM(Z10:Z12)</f>
        <v>#REF!</v>
      </c>
      <c r="AC14" s="100"/>
      <c r="AE14" s="531" t="s">
        <v>179</v>
      </c>
      <c r="AF14" s="532" t="s">
        <v>60</v>
      </c>
      <c r="AG14" s="533" t="e">
        <f>H6*SUM(AF10:AF12)</f>
        <v>#REF!</v>
      </c>
      <c r="AI14" s="100"/>
    </row>
    <row r="15" spans="1:39" x14ac:dyDescent="0.2">
      <c r="A15" s="534" t="s">
        <v>180</v>
      </c>
      <c r="B15" s="85" t="s">
        <v>60</v>
      </c>
      <c r="C15" s="535" t="e">
        <f>SUMPRODUCT(B10:B12,E10:E12)</f>
        <v>#REF!</v>
      </c>
      <c r="E15" s="100"/>
      <c r="G15" s="534" t="s">
        <v>180</v>
      </c>
      <c r="H15" s="85" t="s">
        <v>60</v>
      </c>
      <c r="I15" s="535" t="e">
        <f>SUMPRODUCT(H10:H12,K10:K12)</f>
        <v>#REF!</v>
      </c>
      <c r="K15" s="100"/>
      <c r="M15" s="534" t="s">
        <v>180</v>
      </c>
      <c r="N15" s="85" t="s">
        <v>60</v>
      </c>
      <c r="O15" s="535" t="e">
        <f>SUMPRODUCT(N10:N12,Q10:Q12)</f>
        <v>#REF!</v>
      </c>
      <c r="Q15" s="100"/>
      <c r="S15" s="534" t="s">
        <v>180</v>
      </c>
      <c r="T15" s="85" t="s">
        <v>60</v>
      </c>
      <c r="U15" s="535" t="e">
        <f>SUMPRODUCT(T10:T12,W10:W12)</f>
        <v>#REF!</v>
      </c>
      <c r="W15" s="100"/>
      <c r="Y15" s="534" t="s">
        <v>180</v>
      </c>
      <c r="Z15" s="85" t="s">
        <v>60</v>
      </c>
      <c r="AA15" s="535" t="e">
        <f>SUMPRODUCT(Z10:Z12,AC10:AC12)</f>
        <v>#REF!</v>
      </c>
      <c r="AC15" s="100"/>
      <c r="AE15" s="534" t="s">
        <v>180</v>
      </c>
      <c r="AF15" s="85" t="s">
        <v>60</v>
      </c>
      <c r="AG15" s="535" t="e">
        <f>SUMPRODUCT(AF10:AF12,AI10:AI12)</f>
        <v>#REF!</v>
      </c>
      <c r="AI15" s="100"/>
    </row>
    <row r="16" spans="1:39" x14ac:dyDescent="0.2">
      <c r="A16" s="534" t="s">
        <v>184</v>
      </c>
      <c r="B16" s="85" t="s">
        <v>60</v>
      </c>
      <c r="C16" s="535" t="e">
        <f>C14-C15</f>
        <v>#REF!</v>
      </c>
      <c r="E16" s="100"/>
      <c r="G16" s="534" t="s">
        <v>184</v>
      </c>
      <c r="H16" s="85" t="s">
        <v>60</v>
      </c>
      <c r="I16" s="535" t="e">
        <f>I14-I15</f>
        <v>#REF!</v>
      </c>
      <c r="K16" s="100"/>
      <c r="M16" s="534" t="s">
        <v>184</v>
      </c>
      <c r="N16" s="85" t="s">
        <v>60</v>
      </c>
      <c r="O16" s="535" t="e">
        <f>O14-O15</f>
        <v>#REF!</v>
      </c>
      <c r="Q16" s="100"/>
      <c r="S16" s="534" t="s">
        <v>184</v>
      </c>
      <c r="T16" s="85" t="s">
        <v>60</v>
      </c>
      <c r="U16" s="535" t="e">
        <f>U14-U15</f>
        <v>#REF!</v>
      </c>
      <c r="W16" s="100"/>
      <c r="Y16" s="534" t="s">
        <v>184</v>
      </c>
      <c r="Z16" s="85" t="s">
        <v>60</v>
      </c>
      <c r="AA16" s="535" t="e">
        <f>AA14-AA15</f>
        <v>#REF!</v>
      </c>
      <c r="AC16" s="100"/>
      <c r="AE16" s="534" t="s">
        <v>184</v>
      </c>
      <c r="AF16" s="85" t="s">
        <v>60</v>
      </c>
      <c r="AG16" s="535" t="e">
        <f>AG14-AG15</f>
        <v>#REF!</v>
      </c>
      <c r="AI16" s="100"/>
    </row>
    <row r="17" spans="1:52" ht="13.2" thickBot="1" x14ac:dyDescent="0.25">
      <c r="A17" s="536" t="s">
        <v>187</v>
      </c>
      <c r="B17" s="537" t="s">
        <v>188</v>
      </c>
      <c r="C17" s="538">
        <v>1.0140959334753066</v>
      </c>
      <c r="D17" s="101"/>
      <c r="E17" s="102"/>
      <c r="G17" s="536" t="s">
        <v>187</v>
      </c>
      <c r="H17" s="537" t="s">
        <v>188</v>
      </c>
      <c r="I17" s="538">
        <v>1.0140959334753066</v>
      </c>
      <c r="J17" s="101"/>
      <c r="K17" s="102"/>
      <c r="M17" s="536" t="s">
        <v>187</v>
      </c>
      <c r="N17" s="537" t="s">
        <v>188</v>
      </c>
      <c r="O17" s="538">
        <v>1.0140959334753066</v>
      </c>
      <c r="P17" s="101"/>
      <c r="Q17" s="102"/>
      <c r="S17" s="536" t="s">
        <v>187</v>
      </c>
      <c r="T17" s="537" t="s">
        <v>188</v>
      </c>
      <c r="U17" s="538">
        <v>1.0140959334753066</v>
      </c>
      <c r="V17" s="101"/>
      <c r="W17" s="102"/>
      <c r="Y17" s="536" t="s">
        <v>187</v>
      </c>
      <c r="Z17" s="537" t="s">
        <v>188</v>
      </c>
      <c r="AA17" s="538">
        <v>1.0140959334753068</v>
      </c>
      <c r="AB17" s="101"/>
      <c r="AC17" s="102"/>
      <c r="AE17" s="536" t="s">
        <v>187</v>
      </c>
      <c r="AF17" s="537" t="s">
        <v>188</v>
      </c>
      <c r="AG17" s="538">
        <v>1.0140959334753066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4"/>
    </row>
    <row r="21" spans="1:52" ht="13.2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x14ac:dyDescent="0.3">
      <c r="A22" s="2936" t="s">
        <v>962</v>
      </c>
      <c r="B22" s="418" t="s">
        <v>56</v>
      </c>
      <c r="C22" s="1532">
        <f>'hydro en &amp; capcost voltage wise'!E13</f>
        <v>0</v>
      </c>
      <c r="D22" s="1532">
        <f>'hydro en &amp; capcost voltage wise'!F13</f>
        <v>0</v>
      </c>
      <c r="E22" s="1532">
        <f>'hydro en &amp; capcost voltage wise'!G13</f>
        <v>0</v>
      </c>
      <c r="F22" s="1532">
        <f>'hydro en &amp; capcost voltage wise'!H13</f>
        <v>1.7235144129577298</v>
      </c>
      <c r="G22" s="1532">
        <f>'hydro en &amp; capcost voltage wise'!I13</f>
        <v>2.9888682004501321</v>
      </c>
      <c r="H22" s="1532">
        <f>'hydro en &amp; capcost voltage wise'!J13</f>
        <v>3.6232251155798552</v>
      </c>
      <c r="I22" s="780" t="s">
        <v>595</v>
      </c>
      <c r="J22" s="615">
        <v>301.23</v>
      </c>
      <c r="K22" s="165"/>
      <c r="L22" s="165"/>
      <c r="M22" s="165"/>
    </row>
    <row r="23" spans="1:52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2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2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2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2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2" hidden="1" x14ac:dyDescent="0.2">
      <c r="A28" s="2936" t="s">
        <v>0</v>
      </c>
      <c r="B28" s="418" t="s">
        <v>56</v>
      </c>
      <c r="C28" s="1040"/>
      <c r="D28" s="1040"/>
      <c r="E28" s="1040"/>
      <c r="F28" s="1040"/>
      <c r="G28" s="1040"/>
      <c r="H28" s="1040"/>
      <c r="I28" s="165"/>
      <c r="J28" s="615"/>
    </row>
    <row r="29" spans="1:52" hidden="1" x14ac:dyDescent="0.2">
      <c r="A29" s="2942"/>
      <c r="B29" s="489" t="s">
        <v>88</v>
      </c>
      <c r="C29" s="658"/>
      <c r="D29" s="658"/>
      <c r="E29" s="658"/>
      <c r="F29" s="658"/>
      <c r="G29" s="658"/>
      <c r="H29" s="658"/>
    </row>
    <row r="30" spans="1:52" hidden="1" x14ac:dyDescent="0.2">
      <c r="A30" s="2936" t="s">
        <v>1</v>
      </c>
      <c r="B30" s="12" t="s">
        <v>56</v>
      </c>
      <c r="C30" s="1036"/>
      <c r="D30" s="1036"/>
      <c r="E30" s="1036"/>
      <c r="F30" s="1036"/>
      <c r="G30" s="1036"/>
      <c r="H30" s="1036"/>
      <c r="I30" s="165"/>
      <c r="J30" s="615"/>
    </row>
    <row r="31" spans="1:52" hidden="1" x14ac:dyDescent="0.2">
      <c r="A31" s="2937"/>
      <c r="B31" s="83" t="s">
        <v>88</v>
      </c>
      <c r="C31" s="311"/>
      <c r="D31" s="311"/>
      <c r="E31" s="311"/>
      <c r="F31" s="311"/>
      <c r="G31" s="311"/>
      <c r="H31" s="311"/>
      <c r="K31" s="184"/>
    </row>
    <row r="32" spans="1:52" hidden="1" x14ac:dyDescent="0.2">
      <c r="A32" s="2936" t="s">
        <v>2</v>
      </c>
      <c r="B32" s="12" t="s">
        <v>56</v>
      </c>
      <c r="C32" s="1037"/>
      <c r="D32" s="1037"/>
      <c r="E32" s="1037"/>
      <c r="F32" s="1037"/>
      <c r="G32" s="1037"/>
      <c r="H32" s="1037"/>
      <c r="I32" s="165"/>
      <c r="J32" s="615"/>
    </row>
    <row r="33" spans="1:11" hidden="1" x14ac:dyDescent="0.2">
      <c r="A33" s="2937"/>
      <c r="B33" s="83" t="s">
        <v>88</v>
      </c>
      <c r="C33" s="311"/>
      <c r="D33" s="311"/>
      <c r="E33" s="311"/>
      <c r="F33" s="311"/>
      <c r="G33" s="311"/>
      <c r="H33" s="311"/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hidden="1" x14ac:dyDescent="0.2">
      <c r="A36" s="3082" t="s">
        <v>4</v>
      </c>
      <c r="B36" s="571" t="s">
        <v>56</v>
      </c>
      <c r="C36" s="1533"/>
      <c r="D36" s="1533"/>
      <c r="E36" s="1533"/>
      <c r="F36" s="1533"/>
      <c r="G36" s="1533"/>
      <c r="H36" s="1533"/>
      <c r="I36" s="165"/>
      <c r="J36" s="615"/>
    </row>
    <row r="37" spans="1:11" hidden="1" x14ac:dyDescent="0.2">
      <c r="A37" s="3087"/>
      <c r="B37" s="575" t="s">
        <v>88</v>
      </c>
      <c r="C37" s="576"/>
      <c r="D37" s="576"/>
      <c r="E37" s="1534"/>
      <c r="F37" s="576"/>
      <c r="G37" s="576"/>
      <c r="H37" s="576"/>
    </row>
    <row r="38" spans="1:11" hidden="1" x14ac:dyDescent="0.2">
      <c r="A38" s="2936" t="s">
        <v>5</v>
      </c>
      <c r="B38" s="12" t="s">
        <v>56</v>
      </c>
      <c r="C38" s="1037"/>
      <c r="D38" s="1037"/>
      <c r="E38" s="1037"/>
      <c r="F38" s="1037"/>
      <c r="G38" s="1037"/>
      <c r="H38" s="1037"/>
      <c r="I38" s="165"/>
      <c r="J38" s="615"/>
      <c r="K38" s="184"/>
    </row>
    <row r="39" spans="1:11" hidden="1" x14ac:dyDescent="0.2">
      <c r="A39" s="2937"/>
      <c r="B39" s="83" t="s">
        <v>88</v>
      </c>
      <c r="C39" s="311"/>
      <c r="D39" s="311"/>
      <c r="E39" s="311"/>
      <c r="F39" s="311"/>
      <c r="G39" s="1325"/>
      <c r="H39" s="1325"/>
    </row>
    <row r="40" spans="1:11" hidden="1" x14ac:dyDescent="0.2">
      <c r="A40" s="2936" t="s">
        <v>803</v>
      </c>
      <c r="B40" s="12" t="s">
        <v>56</v>
      </c>
      <c r="C40" s="1037"/>
      <c r="D40" s="1037"/>
      <c r="E40" s="1037"/>
      <c r="F40" s="1037"/>
      <c r="G40" s="1037"/>
      <c r="H40" s="1037"/>
      <c r="I40" s="165"/>
      <c r="J40" s="615"/>
      <c r="K40" s="184"/>
    </row>
    <row r="41" spans="1:11" hidden="1" x14ac:dyDescent="0.2">
      <c r="A41" s="2937"/>
      <c r="B41" s="83" t="s">
        <v>88</v>
      </c>
      <c r="C41" s="311"/>
      <c r="D41" s="311"/>
      <c r="E41" s="311"/>
      <c r="F41" s="311"/>
      <c r="G41" s="311"/>
      <c r="H41" s="311"/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x14ac:dyDescent="0.2">
      <c r="A46" s="2936" t="s">
        <v>9</v>
      </c>
      <c r="B46" s="12" t="s">
        <v>56</v>
      </c>
      <c r="C46" s="1037" t="e">
        <f>'Gen. Energy Cost'!#REF!</f>
        <v>#REF!</v>
      </c>
      <c r="D46" s="1037" t="e">
        <f>'Gen. Energy Cost'!#REF!</f>
        <v>#REF!</v>
      </c>
      <c r="E46" s="1037" t="e">
        <f>'Gen. Energy Cost'!#REF!</f>
        <v>#REF!</v>
      </c>
      <c r="F46" s="1037" t="e">
        <f>'Gen. Energy Cost'!#REF!</f>
        <v>#REF!</v>
      </c>
      <c r="G46" s="1037" t="e">
        <f>'Gen. Energy Cost'!#REF!</f>
        <v>#REF!</v>
      </c>
      <c r="H46" s="1037" t="e">
        <f>'Gen. Energy Cost'!#REF!</f>
        <v>#REF!</v>
      </c>
      <c r="I46" s="165"/>
      <c r="J46" s="615"/>
    </row>
    <row r="47" spans="1:11" x14ac:dyDescent="0.2">
      <c r="A47" s="2937"/>
      <c r="B47" s="83" t="s">
        <v>88</v>
      </c>
      <c r="C47" s="311" t="e">
        <f>'Gen. Energy Cost'!#REF!</f>
        <v>#REF!</v>
      </c>
      <c r="D47" s="311" t="e">
        <f>'Gen. Energy Cost'!#REF!</f>
        <v>#REF!</v>
      </c>
      <c r="E47" s="311" t="e">
        <f>'Gen. Energy Cost'!#REF!</f>
        <v>#REF!</v>
      </c>
      <c r="F47" s="311" t="e">
        <f>'Gen. Energy Cost'!#REF!</f>
        <v>#REF!</v>
      </c>
      <c r="G47" s="311" t="e">
        <f>'Gen. Energy Cost'!#REF!</f>
        <v>#REF!</v>
      </c>
      <c r="H47" s="311" t="e">
        <f>'Gen. Energy Cost'!#REF!</f>
        <v>#REF!</v>
      </c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hidden="1" x14ac:dyDescent="0.2">
      <c r="A50" s="3085" t="s">
        <v>11</v>
      </c>
      <c r="B50" s="12" t="s">
        <v>56</v>
      </c>
      <c r="C50" s="1536"/>
      <c r="D50" s="1536"/>
      <c r="E50" s="1536"/>
      <c r="F50" s="1536"/>
      <c r="G50" s="1536"/>
      <c r="H50" s="1536"/>
      <c r="I50" s="165"/>
    </row>
    <row r="51" spans="1:11" hidden="1" x14ac:dyDescent="0.2">
      <c r="A51" s="3086"/>
      <c r="B51" s="83" t="s">
        <v>88</v>
      </c>
      <c r="C51" s="1537"/>
      <c r="D51" s="1537"/>
      <c r="E51" s="1537"/>
      <c r="F51" s="1537"/>
      <c r="G51" s="1537"/>
      <c r="H51" s="1537"/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hidden="1" x14ac:dyDescent="0.2">
      <c r="A54" s="2936" t="s">
        <v>643</v>
      </c>
      <c r="B54" s="12" t="s">
        <v>56</v>
      </c>
      <c r="C54" s="1041"/>
      <c r="D54" s="1041"/>
      <c r="E54" s="1041"/>
      <c r="F54" s="1041"/>
      <c r="G54" s="1041"/>
      <c r="H54" s="1041"/>
      <c r="I54" s="165"/>
      <c r="K54" s="184"/>
    </row>
    <row r="55" spans="1:11" hidden="1" x14ac:dyDescent="0.2">
      <c r="A55" s="2937"/>
      <c r="B55" s="83" t="s">
        <v>88</v>
      </c>
      <c r="C55" s="1206"/>
      <c r="D55" s="1206"/>
      <c r="E55" s="1206"/>
      <c r="F55" s="1206"/>
      <c r="G55" s="1206"/>
      <c r="H55" s="1206"/>
    </row>
    <row r="56" spans="1:11" hidden="1" x14ac:dyDescent="0.2">
      <c r="A56" s="2936" t="s">
        <v>13</v>
      </c>
      <c r="B56" s="12" t="s">
        <v>56</v>
      </c>
      <c r="C56" s="1041"/>
      <c r="D56" s="1041"/>
      <c r="E56" s="1041"/>
      <c r="F56" s="1538"/>
      <c r="G56" s="1538"/>
      <c r="H56" s="1042"/>
      <c r="I56" s="165"/>
      <c r="J56" s="615"/>
      <c r="K56" s="184"/>
    </row>
    <row r="57" spans="1:11" hidden="1" x14ac:dyDescent="0.2">
      <c r="A57" s="2937"/>
      <c r="B57" s="83" t="s">
        <v>88</v>
      </c>
      <c r="C57" s="311"/>
      <c r="D57" s="311"/>
      <c r="E57" s="311"/>
      <c r="F57" s="1539"/>
      <c r="G57" s="1539"/>
      <c r="H57" s="658"/>
    </row>
    <row r="58" spans="1:11" hidden="1" x14ac:dyDescent="0.2">
      <c r="A58" s="2936" t="s">
        <v>14</v>
      </c>
      <c r="B58" s="12" t="s">
        <v>56</v>
      </c>
      <c r="C58" s="1041"/>
      <c r="D58" s="1041"/>
      <c r="E58" s="1041"/>
      <c r="F58" s="1041"/>
      <c r="G58" s="1041"/>
      <c r="H58" s="1042"/>
      <c r="I58" s="165"/>
      <c r="K58" s="184"/>
    </row>
    <row r="59" spans="1:11" hidden="1" x14ac:dyDescent="0.2">
      <c r="A59" s="2937"/>
      <c r="B59" s="83" t="s">
        <v>88</v>
      </c>
      <c r="C59" s="311"/>
      <c r="D59" s="311"/>
      <c r="E59" s="311"/>
      <c r="F59" s="311"/>
      <c r="G59" s="311"/>
      <c r="H59" s="311"/>
    </row>
    <row r="60" spans="1:11" x14ac:dyDescent="0.2">
      <c r="A60" s="2936" t="s">
        <v>15</v>
      </c>
      <c r="B60" s="12" t="s">
        <v>56</v>
      </c>
      <c r="C60" s="1042">
        <f>'Gen. Energy Cost'!C64</f>
        <v>0</v>
      </c>
      <c r="D60" s="1042">
        <f>'Gen. Energy Cost'!D64</f>
        <v>0</v>
      </c>
      <c r="E60" s="1042">
        <f>'Gen. Energy Cost'!E64</f>
        <v>0</v>
      </c>
      <c r="F60" s="1042">
        <f>'Gen. Energy Cost'!F64</f>
        <v>143.06011241000007</v>
      </c>
      <c r="G60" s="1042">
        <f>'Gen. Energy Cost'!G64</f>
        <v>257.57091379999997</v>
      </c>
      <c r="H60" s="1042">
        <f>'Gen. Energy Cost'!H64</f>
        <v>302.69125099999997</v>
      </c>
      <c r="I60" s="165" t="s">
        <v>900</v>
      </c>
    </row>
    <row r="61" spans="1:11" x14ac:dyDescent="0.2">
      <c r="A61" s="2937"/>
      <c r="B61" s="83" t="s">
        <v>88</v>
      </c>
      <c r="C61" s="658" t="e">
        <f>'Gen. Energy Cost'!C65</f>
        <v>#DIV/0!</v>
      </c>
      <c r="D61" s="658" t="e">
        <f>'Gen. Energy Cost'!D65</f>
        <v>#DIV/0!</v>
      </c>
      <c r="E61" s="658" t="e">
        <f>'Gen. Energy Cost'!E65</f>
        <v>#DIV/0!</v>
      </c>
      <c r="F61" s="658">
        <f>'Gen. Energy Cost'!F65</f>
        <v>20.444059710181854</v>
      </c>
      <c r="G61" s="658">
        <f>'Gen. Energy Cost'!G65</f>
        <v>18.643701665030271</v>
      </c>
      <c r="H61" s="658">
        <f>'Gen. Energy Cost'!H65</f>
        <v>18.372310176046295</v>
      </c>
    </row>
    <row r="62" spans="1:11" hidden="1" x14ac:dyDescent="0.2">
      <c r="A62" s="2936" t="s">
        <v>111</v>
      </c>
      <c r="B62" s="12" t="s">
        <v>56</v>
      </c>
      <c r="C62" s="1042"/>
      <c r="D62" s="1042"/>
      <c r="E62" s="1042"/>
      <c r="F62" s="1042"/>
      <c r="G62" s="1042"/>
      <c r="H62" s="1042"/>
      <c r="I62" s="165"/>
    </row>
    <row r="63" spans="1:11" hidden="1" x14ac:dyDescent="0.2">
      <c r="A63" s="2937"/>
      <c r="B63" s="83" t="s">
        <v>88</v>
      </c>
      <c r="C63" s="311"/>
      <c r="D63" s="311"/>
      <c r="E63" s="311"/>
      <c r="F63" s="311"/>
      <c r="G63" s="311"/>
      <c r="H63" s="311"/>
    </row>
    <row r="64" spans="1:11" x14ac:dyDescent="0.2">
      <c r="A64" s="2936" t="s">
        <v>422</v>
      </c>
      <c r="B64" s="12" t="s">
        <v>56</v>
      </c>
      <c r="C64" s="1041">
        <f>'Gen. Energy Cost'!C46</f>
        <v>0</v>
      </c>
      <c r="D64" s="1041">
        <f>'Gen. Energy Cost'!D46</f>
        <v>0</v>
      </c>
      <c r="E64" s="1041">
        <f>'Gen. Energy Cost'!E46</f>
        <v>0</v>
      </c>
      <c r="F64" s="1041">
        <f>'Gen. Energy Cost'!F46</f>
        <v>0.2</v>
      </c>
      <c r="G64" s="1041">
        <f>'Gen. Energy Cost'!G46</f>
        <v>0.2</v>
      </c>
      <c r="H64" s="1041">
        <f>'Gen. Energy Cost'!H46</f>
        <v>0.2</v>
      </c>
      <c r="I64" s="165"/>
    </row>
    <row r="65" spans="1:70" x14ac:dyDescent="0.2">
      <c r="A65" s="2937"/>
      <c r="B65" s="83" t="s">
        <v>88</v>
      </c>
      <c r="C65" s="311">
        <f>'Gen. Energy Cost'!C47</f>
        <v>0</v>
      </c>
      <c r="D65" s="311">
        <f>'Gen. Energy Cost'!D47</f>
        <v>0</v>
      </c>
      <c r="E65" s="311">
        <f>'Gen. Energy Cost'!E47</f>
        <v>0</v>
      </c>
      <c r="F65" s="311">
        <f>'Gen. Energy Cost'!F47</f>
        <v>127.45046499999999</v>
      </c>
      <c r="G65" s="311">
        <f>'Gen. Energy Cost'!G47</f>
        <v>127.45046499999999</v>
      </c>
      <c r="H65" s="311">
        <f>'Gen. Energy Cost'!H47</f>
        <v>127.45046499999999</v>
      </c>
    </row>
    <row r="66" spans="1:70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0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0" x14ac:dyDescent="0.2">
      <c r="A68" s="2936" t="s">
        <v>464</v>
      </c>
      <c r="B68" s="12" t="s">
        <v>56</v>
      </c>
      <c r="C68" s="1041" t="e">
        <f>'Gen. Energy Cost'!#REF!</f>
        <v>#REF!</v>
      </c>
      <c r="D68" s="1041" t="e">
        <f>'Gen. Energy Cost'!#REF!</f>
        <v>#REF!</v>
      </c>
      <c r="E68" s="1041" t="e">
        <f>'Gen. Energy Cost'!#REF!</f>
        <v>#REF!</v>
      </c>
      <c r="F68" s="1041" t="e">
        <f>'Gen. Energy Cost'!#REF!</f>
        <v>#REF!</v>
      </c>
      <c r="G68" s="1041" t="e">
        <f>'Gen. Energy Cost'!#REF!</f>
        <v>#REF!</v>
      </c>
      <c r="H68" s="1041" t="e">
        <f>'Gen. Energy Cost'!#REF!</f>
        <v>#REF!</v>
      </c>
      <c r="I68" s="165"/>
    </row>
    <row r="69" spans="1:70" x14ac:dyDescent="0.2">
      <c r="A69" s="2937"/>
      <c r="B69" s="83" t="s">
        <v>88</v>
      </c>
      <c r="C69" s="311" t="e">
        <f>'Gen. Energy Cost'!#REF!</f>
        <v>#REF!</v>
      </c>
      <c r="D69" s="311" t="e">
        <f>'Gen. Energy Cost'!#REF!</f>
        <v>#REF!</v>
      </c>
      <c r="E69" s="311" t="e">
        <f>'Gen. Energy Cost'!#REF!</f>
        <v>#REF!</v>
      </c>
      <c r="F69" s="311" t="e">
        <f>'Gen. Energy Cost'!#REF!</f>
        <v>#REF!</v>
      </c>
      <c r="G69" s="311" t="e">
        <f>'Gen. Energy Cost'!#REF!</f>
        <v>#REF!</v>
      </c>
      <c r="H69" s="311" t="e">
        <f>'Gen. Energy Cost'!#REF!</f>
        <v>#REF!</v>
      </c>
    </row>
    <row r="70" spans="1:70" x14ac:dyDescent="0.2">
      <c r="A70" s="2944" t="s">
        <v>538</v>
      </c>
      <c r="B70" s="12" t="s">
        <v>56</v>
      </c>
      <c r="C70" s="1041">
        <f>'Gen. Energy Cost'!C44</f>
        <v>0</v>
      </c>
      <c r="D70" s="1041">
        <f>'Gen. Energy Cost'!D44</f>
        <v>0</v>
      </c>
      <c r="E70" s="1041">
        <f>'Gen. Energy Cost'!E44</f>
        <v>0</v>
      </c>
      <c r="F70" s="1041">
        <f>'Gen. Energy Cost'!F44</f>
        <v>11.456619999999999</v>
      </c>
      <c r="G70" s="1041">
        <f>'Gen. Energy Cost'!G44</f>
        <v>11.56061</v>
      </c>
      <c r="H70" s="1041">
        <f>'Gen. Energy Cost'!H44</f>
        <v>11.456630000000001</v>
      </c>
      <c r="I70" s="165"/>
    </row>
    <row r="71" spans="1:70" x14ac:dyDescent="0.2">
      <c r="A71" s="2937"/>
      <c r="B71" s="83" t="s">
        <v>88</v>
      </c>
      <c r="C71" s="311">
        <f>'Gen. Energy Cost'!C45</f>
        <v>0</v>
      </c>
      <c r="D71" s="311">
        <f>'Gen. Energy Cost'!D45</f>
        <v>0</v>
      </c>
      <c r="E71" s="311">
        <f>'Gen. Energy Cost'!E45</f>
        <v>0</v>
      </c>
      <c r="F71" s="311">
        <f>'Gen. Energy Cost'!F45</f>
        <v>40.367711230488567</v>
      </c>
      <c r="G71" s="311">
        <f>'Gen. Energy Cost'!G45</f>
        <v>40.352448181914276</v>
      </c>
      <c r="H71" s="311">
        <f>'Gen. Energy Cost'!H45</f>
        <v>40.367709749425444</v>
      </c>
    </row>
    <row r="72" spans="1:70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0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0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0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x14ac:dyDescent="0.2">
      <c r="A76" s="2936" t="s">
        <v>817</v>
      </c>
      <c r="B76" s="197" t="s">
        <v>56</v>
      </c>
      <c r="C76" s="1193" t="e">
        <f>'Gen. Energy Cost'!#REF!</f>
        <v>#REF!</v>
      </c>
      <c r="D76" s="1193" t="e">
        <f>'Gen. Energy Cost'!#REF!</f>
        <v>#REF!</v>
      </c>
      <c r="E76" s="1193" t="e">
        <f>'Gen. Energy Cost'!#REF!</f>
        <v>#REF!</v>
      </c>
      <c r="F76" s="1193" t="e">
        <f>'Gen. Energy Cost'!#REF!</f>
        <v>#REF!</v>
      </c>
      <c r="G76" s="1193" t="e">
        <f>'Gen. Energy Cost'!#REF!</f>
        <v>#REF!</v>
      </c>
      <c r="H76" s="1193" t="e">
        <f>'Gen. Energy Cost'!#REF!</f>
        <v>#REF!</v>
      </c>
      <c r="I76" s="124"/>
    </row>
    <row r="77" spans="1:70" s="372" customFormat="1" x14ac:dyDescent="0.2">
      <c r="A77" s="2939"/>
      <c r="B77" s="83" t="s">
        <v>88</v>
      </c>
      <c r="C77" s="1194" t="e">
        <f>'Gen. Energy Cost'!#REF!</f>
        <v>#REF!</v>
      </c>
      <c r="D77" s="1194" t="e">
        <f>'Gen. Energy Cost'!#REF!</f>
        <v>#REF!</v>
      </c>
      <c r="E77" s="1194" t="e">
        <f>'Gen. Energy Cost'!#REF!</f>
        <v>#REF!</v>
      </c>
      <c r="F77" s="1194" t="e">
        <f>'Gen. Energy Cost'!#REF!</f>
        <v>#REF!</v>
      </c>
      <c r="G77" s="1194" t="e">
        <f>'Gen. Energy Cost'!#REF!</f>
        <v>#REF!</v>
      </c>
      <c r="H77" s="1194" t="e">
        <f>'Gen. Energy Cost'!#REF!</f>
        <v>#REF!</v>
      </c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x14ac:dyDescent="0.2">
      <c r="A78" s="2936" t="s">
        <v>818</v>
      </c>
      <c r="B78" s="197" t="s">
        <v>56</v>
      </c>
      <c r="C78" s="1193">
        <f>'Gen. Energy Cost'!C50</f>
        <v>0</v>
      </c>
      <c r="D78" s="1193">
        <f>'Gen. Energy Cost'!D50</f>
        <v>0</v>
      </c>
      <c r="E78" s="1193">
        <f>'Gen. Energy Cost'!E50</f>
        <v>0</v>
      </c>
      <c r="F78" s="1193">
        <f>'Gen. Energy Cost'!F50</f>
        <v>0</v>
      </c>
      <c r="G78" s="1193">
        <f>'Gen. Energy Cost'!G50</f>
        <v>0</v>
      </c>
      <c r="H78" s="1193">
        <f>'Gen. Energy Cost'!H50</f>
        <v>0</v>
      </c>
      <c r="I78" s="124"/>
    </row>
    <row r="79" spans="1:70" x14ac:dyDescent="0.2">
      <c r="A79" s="2939"/>
      <c r="B79" s="83" t="s">
        <v>88</v>
      </c>
      <c r="C79" s="1194">
        <f>'Gen. Energy Cost'!C51</f>
        <v>0</v>
      </c>
      <c r="D79" s="1194">
        <f>'Gen. Energy Cost'!D51</f>
        <v>0</v>
      </c>
      <c r="E79" s="1194">
        <f>'Gen. Energy Cost'!E51</f>
        <v>0</v>
      </c>
      <c r="F79" s="1194">
        <f>'Gen. Energy Cost'!F51</f>
        <v>0</v>
      </c>
      <c r="G79" s="1194">
        <f>'Gen. Energy Cost'!G51</f>
        <v>0</v>
      </c>
      <c r="H79" s="1194">
        <f>'Gen. Energy Cost'!H51</f>
        <v>0</v>
      </c>
      <c r="I79" s="124"/>
    </row>
    <row r="80" spans="1:70" x14ac:dyDescent="0.2">
      <c r="A80" s="2936" t="s">
        <v>819</v>
      </c>
      <c r="B80" s="197" t="s">
        <v>56</v>
      </c>
      <c r="C80" s="1193">
        <f>'Gen. Energy Cost'!C52</f>
        <v>0</v>
      </c>
      <c r="D80" s="1193">
        <f>'Gen. Energy Cost'!D52</f>
        <v>0</v>
      </c>
      <c r="E80" s="1193">
        <f>'Gen. Energy Cost'!E52</f>
        <v>0</v>
      </c>
      <c r="F80" s="1193">
        <f>'Gen. Energy Cost'!F52</f>
        <v>0</v>
      </c>
      <c r="G80" s="1193">
        <f>'Gen. Energy Cost'!G52</f>
        <v>0</v>
      </c>
      <c r="H80" s="1193">
        <f>'Gen. Energy Cost'!H52</f>
        <v>0</v>
      </c>
      <c r="I80" s="124"/>
    </row>
    <row r="81" spans="1:9" x14ac:dyDescent="0.2">
      <c r="A81" s="2939"/>
      <c r="B81" s="83" t="s">
        <v>88</v>
      </c>
      <c r="C81" s="1194">
        <f>'Gen. Energy Cost'!C53</f>
        <v>0</v>
      </c>
      <c r="D81" s="1194">
        <f>'Gen. Energy Cost'!D53</f>
        <v>0</v>
      </c>
      <c r="E81" s="1194">
        <f>'Gen. Energy Cost'!E53</f>
        <v>0</v>
      </c>
      <c r="F81" s="1194">
        <f>'Gen. Energy Cost'!F53</f>
        <v>0</v>
      </c>
      <c r="G81" s="1194">
        <f>'Gen. Energy Cost'!G53</f>
        <v>0</v>
      </c>
      <c r="H81" s="1194">
        <f>'Gen. Energy Cost'!H53</f>
        <v>0</v>
      </c>
      <c r="I81" s="1540"/>
    </row>
    <row r="82" spans="1:9" x14ac:dyDescent="0.2">
      <c r="A82" s="2936" t="s">
        <v>865</v>
      </c>
      <c r="B82" s="197" t="s">
        <v>56</v>
      </c>
      <c r="C82" s="1193" t="e">
        <f>'Gen. Energy Cost'!#REF!</f>
        <v>#REF!</v>
      </c>
      <c r="D82" s="1193" t="e">
        <f>'Gen. Energy Cost'!#REF!</f>
        <v>#REF!</v>
      </c>
      <c r="E82" s="1193" t="e">
        <f>'Gen. Energy Cost'!#REF!</f>
        <v>#REF!</v>
      </c>
      <c r="F82" s="1193" t="e">
        <f>'Gen. Energy Cost'!#REF!</f>
        <v>#REF!</v>
      </c>
      <c r="G82" s="1193" t="e">
        <f>'Gen. Energy Cost'!#REF!</f>
        <v>#REF!</v>
      </c>
      <c r="H82" s="1193" t="e">
        <f>'Gen. Energy Cost'!#REF!</f>
        <v>#REF!</v>
      </c>
      <c r="I82" s="1540"/>
    </row>
    <row r="83" spans="1:9" x14ac:dyDescent="0.2">
      <c r="A83" s="2939"/>
      <c r="B83" s="83" t="s">
        <v>88</v>
      </c>
      <c r="C83" s="1194" t="e">
        <f>'Gen. Energy Cost'!#REF!</f>
        <v>#REF!</v>
      </c>
      <c r="D83" s="1194" t="e">
        <f>'Gen. Energy Cost'!#REF!</f>
        <v>#REF!</v>
      </c>
      <c r="E83" s="1194" t="e">
        <f>'Gen. Energy Cost'!#REF!</f>
        <v>#REF!</v>
      </c>
      <c r="F83" s="1194" t="e">
        <f>'Gen. Energy Cost'!#REF!</f>
        <v>#REF!</v>
      </c>
      <c r="G83" s="1194" t="e">
        <f>'Gen. Energy Cost'!#REF!</f>
        <v>#REF!</v>
      </c>
      <c r="H83" s="1194" t="e">
        <f>'Gen. Energy Cost'!#REF!</f>
        <v>#REF!</v>
      </c>
      <c r="I83" s="1540"/>
    </row>
    <row r="84" spans="1:9" x14ac:dyDescent="0.2">
      <c r="A84" s="2936" t="s">
        <v>864</v>
      </c>
      <c r="B84" s="197" t="s">
        <v>56</v>
      </c>
      <c r="C84" s="1193" t="e">
        <f>'Gen. Energy Cost'!#REF!</f>
        <v>#REF!</v>
      </c>
      <c r="D84" s="1193" t="e">
        <f>'Gen. Energy Cost'!#REF!</f>
        <v>#REF!</v>
      </c>
      <c r="E84" s="1193" t="e">
        <f>'Gen. Energy Cost'!#REF!</f>
        <v>#REF!</v>
      </c>
      <c r="F84" s="1193" t="e">
        <f>'Gen. Energy Cost'!#REF!</f>
        <v>#REF!</v>
      </c>
      <c r="G84" s="1193" t="e">
        <f>'Gen. Energy Cost'!#REF!</f>
        <v>#REF!</v>
      </c>
      <c r="H84" s="1193" t="e">
        <f>'Gen. Energy Cost'!#REF!</f>
        <v>#REF!</v>
      </c>
      <c r="I84" s="1540"/>
    </row>
    <row r="85" spans="1:9" x14ac:dyDescent="0.2">
      <c r="A85" s="2939"/>
      <c r="B85" s="83" t="s">
        <v>88</v>
      </c>
      <c r="C85" s="1194" t="e">
        <f>'Gen. Energy Cost'!#REF!</f>
        <v>#REF!</v>
      </c>
      <c r="D85" s="1194" t="e">
        <f>'Gen. Energy Cost'!#REF!</f>
        <v>#REF!</v>
      </c>
      <c r="E85" s="1194" t="e">
        <f>'Gen. Energy Cost'!#REF!</f>
        <v>#REF!</v>
      </c>
      <c r="F85" s="1194" t="e">
        <f>'Gen. Energy Cost'!#REF!</f>
        <v>#REF!</v>
      </c>
      <c r="G85" s="1194" t="e">
        <f>'Gen. Energy Cost'!#REF!</f>
        <v>#REF!</v>
      </c>
      <c r="H85" s="1194" t="e">
        <f>'Gen. Energy Cost'!#REF!</f>
        <v>#REF!</v>
      </c>
      <c r="I85" s="1540"/>
    </row>
    <row r="86" spans="1:9" x14ac:dyDescent="0.2">
      <c r="A86" s="2936" t="s">
        <v>829</v>
      </c>
      <c r="B86" s="197" t="s">
        <v>56</v>
      </c>
      <c r="C86" s="1193" t="e">
        <f>'Gen. Energy Cost'!#REF!</f>
        <v>#REF!</v>
      </c>
      <c r="D86" s="1193" t="e">
        <f>'Gen. Energy Cost'!#REF!</f>
        <v>#REF!</v>
      </c>
      <c r="E86" s="1193" t="e">
        <f>'Gen. Energy Cost'!#REF!</f>
        <v>#REF!</v>
      </c>
      <c r="F86" s="1193" t="e">
        <f>'Gen. Energy Cost'!#REF!</f>
        <v>#REF!</v>
      </c>
      <c r="G86" s="1193" t="e">
        <f>'Gen. Energy Cost'!#REF!</f>
        <v>#REF!</v>
      </c>
      <c r="H86" s="1193" t="e">
        <f>'Gen. Energy Cost'!#REF!</f>
        <v>#REF!</v>
      </c>
      <c r="I86" s="1540"/>
    </row>
    <row r="87" spans="1:9" x14ac:dyDescent="0.2">
      <c r="A87" s="2939"/>
      <c r="B87" s="83" t="s">
        <v>88</v>
      </c>
      <c r="C87" s="1194" t="e">
        <f>'Gen. Energy Cost'!#REF!</f>
        <v>#REF!</v>
      </c>
      <c r="D87" s="1194" t="e">
        <f>'Gen. Energy Cost'!#REF!</f>
        <v>#REF!</v>
      </c>
      <c r="E87" s="1194" t="e">
        <f>'Gen. Energy Cost'!#REF!</f>
        <v>#REF!</v>
      </c>
      <c r="F87" s="1194" t="e">
        <f>'Gen. Energy Cost'!#REF!</f>
        <v>#REF!</v>
      </c>
      <c r="G87" s="1194" t="e">
        <f>'Gen. Energy Cost'!#REF!</f>
        <v>#REF!</v>
      </c>
      <c r="H87" s="1194" t="e">
        <f>'Gen. Energy Cost'!#REF!</f>
        <v>#REF!</v>
      </c>
      <c r="I87" s="1540"/>
    </row>
    <row r="88" spans="1:9" x14ac:dyDescent="0.2">
      <c r="A88" s="2936" t="s">
        <v>831</v>
      </c>
      <c r="B88" s="197" t="s">
        <v>56</v>
      </c>
      <c r="C88" s="1193" t="e">
        <f>'Gen. Energy Cost'!#REF!</f>
        <v>#REF!</v>
      </c>
      <c r="D88" s="1193" t="e">
        <f>'Gen. Energy Cost'!#REF!</f>
        <v>#REF!</v>
      </c>
      <c r="E88" s="1193" t="e">
        <f>'Gen. Energy Cost'!#REF!</f>
        <v>#REF!</v>
      </c>
      <c r="F88" s="1193" t="e">
        <f>'Gen. Energy Cost'!#REF!</f>
        <v>#REF!</v>
      </c>
      <c r="G88" s="1193" t="e">
        <f>'Gen. Energy Cost'!#REF!</f>
        <v>#REF!</v>
      </c>
      <c r="H88" s="1193" t="e">
        <f>'Gen. Energy Cost'!#REF!</f>
        <v>#REF!</v>
      </c>
      <c r="I88" s="1540"/>
    </row>
    <row r="89" spans="1:9" x14ac:dyDescent="0.2">
      <c r="A89" s="2939"/>
      <c r="B89" s="83" t="s">
        <v>88</v>
      </c>
      <c r="C89" s="1194" t="e">
        <f>'Gen. Energy Cost'!#REF!</f>
        <v>#REF!</v>
      </c>
      <c r="D89" s="1194" t="e">
        <f>'Gen. Energy Cost'!#REF!</f>
        <v>#REF!</v>
      </c>
      <c r="E89" s="1194" t="e">
        <f>'Gen. Energy Cost'!#REF!</f>
        <v>#REF!</v>
      </c>
      <c r="F89" s="1194" t="e">
        <f>'Gen. Energy Cost'!#REF!</f>
        <v>#REF!</v>
      </c>
      <c r="G89" s="1194" t="e">
        <f>'Gen. Energy Cost'!#REF!</f>
        <v>#REF!</v>
      </c>
      <c r="H89" s="1194" t="e">
        <f>'Gen. Energy Cost'!#REF!</f>
        <v>#REF!</v>
      </c>
      <c r="I89" s="1540"/>
    </row>
    <row r="90" spans="1:9" x14ac:dyDescent="0.2">
      <c r="A90" s="2936" t="s">
        <v>826</v>
      </c>
      <c r="B90" s="197" t="s">
        <v>56</v>
      </c>
      <c r="C90" s="1193" t="e">
        <f>'Gen. Energy Cost'!#REF!</f>
        <v>#REF!</v>
      </c>
      <c r="D90" s="1193" t="e">
        <f>'Gen. Energy Cost'!#REF!</f>
        <v>#REF!</v>
      </c>
      <c r="E90" s="1193" t="e">
        <f>'Gen. Energy Cost'!#REF!</f>
        <v>#REF!</v>
      </c>
      <c r="F90" s="1193" t="e">
        <f>'Gen. Energy Cost'!#REF!</f>
        <v>#REF!</v>
      </c>
      <c r="G90" s="1193" t="e">
        <f>'Gen. Energy Cost'!#REF!</f>
        <v>#REF!</v>
      </c>
      <c r="H90" s="1193" t="e">
        <f>'Gen. Energy Cost'!#REF!</f>
        <v>#REF!</v>
      </c>
      <c r="I90" s="1540"/>
    </row>
    <row r="91" spans="1:9" x14ac:dyDescent="0.2">
      <c r="A91" s="2939"/>
      <c r="B91" s="83" t="s">
        <v>88</v>
      </c>
      <c r="C91" s="1194" t="e">
        <f>'Gen. Energy Cost'!#REF!</f>
        <v>#REF!</v>
      </c>
      <c r="D91" s="1194" t="e">
        <f>'Gen. Energy Cost'!#REF!</f>
        <v>#REF!</v>
      </c>
      <c r="E91" s="1194" t="e">
        <f>'Gen. Energy Cost'!#REF!</f>
        <v>#REF!</v>
      </c>
      <c r="F91" s="1194" t="e">
        <f>'Gen. Energy Cost'!#REF!</f>
        <v>#REF!</v>
      </c>
      <c r="G91" s="1194" t="e">
        <f>'Gen. Energy Cost'!#REF!</f>
        <v>#REF!</v>
      </c>
      <c r="H91" s="1194" t="e">
        <f>'Gen. Energy Cost'!#REF!</f>
        <v>#REF!</v>
      </c>
      <c r="I91" s="1540"/>
    </row>
    <row r="92" spans="1:9" x14ac:dyDescent="0.2">
      <c r="A92" s="2936" t="s">
        <v>827</v>
      </c>
      <c r="B92" s="197" t="s">
        <v>56</v>
      </c>
      <c r="C92" s="1193" t="e">
        <f>'Gen. Energy Cost'!#REF!</f>
        <v>#REF!</v>
      </c>
      <c r="D92" s="1193" t="e">
        <f>'Gen. Energy Cost'!#REF!</f>
        <v>#REF!</v>
      </c>
      <c r="E92" s="1193" t="e">
        <f>'Gen. Energy Cost'!#REF!</f>
        <v>#REF!</v>
      </c>
      <c r="F92" s="1193" t="e">
        <f>'Gen. Energy Cost'!#REF!</f>
        <v>#REF!</v>
      </c>
      <c r="G92" s="1193" t="e">
        <f>'Gen. Energy Cost'!#REF!</f>
        <v>#REF!</v>
      </c>
      <c r="H92" s="1193" t="e">
        <f>'Gen. Energy Cost'!#REF!</f>
        <v>#REF!</v>
      </c>
      <c r="I92" s="1540"/>
    </row>
    <row r="93" spans="1:9" x14ac:dyDescent="0.2">
      <c r="A93" s="2939"/>
      <c r="B93" s="83" t="s">
        <v>88</v>
      </c>
      <c r="C93" s="1194" t="e">
        <f>'Gen. Energy Cost'!#REF!</f>
        <v>#REF!</v>
      </c>
      <c r="D93" s="1194" t="e">
        <f>'Gen. Energy Cost'!#REF!</f>
        <v>#REF!</v>
      </c>
      <c r="E93" s="1194" t="e">
        <f>'Gen. Energy Cost'!#REF!</f>
        <v>#REF!</v>
      </c>
      <c r="F93" s="1194" t="e">
        <f>'Gen. Energy Cost'!#REF!</f>
        <v>#REF!</v>
      </c>
      <c r="G93" s="1194" t="e">
        <f>'Gen. Energy Cost'!#REF!</f>
        <v>#REF!</v>
      </c>
      <c r="H93" s="1194" t="e">
        <f>'Gen. Energy Cost'!#REF!</f>
        <v>#REF!</v>
      </c>
      <c r="I93" s="1540"/>
    </row>
    <row r="94" spans="1:9" x14ac:dyDescent="0.2">
      <c r="A94" s="2936" t="s">
        <v>840</v>
      </c>
      <c r="B94" s="197" t="s">
        <v>56</v>
      </c>
      <c r="C94" s="1193">
        <f>'Gen. Energy Cost'!C66</f>
        <v>0</v>
      </c>
      <c r="D94" s="1193">
        <f>'Gen. Energy Cost'!D66</f>
        <v>0</v>
      </c>
      <c r="E94" s="1193">
        <f>'Gen. Energy Cost'!E66</f>
        <v>0</v>
      </c>
      <c r="F94" s="1193">
        <f>'Gen. Energy Cost'!F66</f>
        <v>204.4</v>
      </c>
      <c r="G94" s="1193">
        <f>'Gen. Energy Cost'!G66</f>
        <v>199.79999999999998</v>
      </c>
      <c r="H94" s="1193">
        <f>'Gen. Energy Cost'!H66</f>
        <v>189.3</v>
      </c>
      <c r="I94" s="1540"/>
    </row>
    <row r="95" spans="1:9" x14ac:dyDescent="0.2">
      <c r="A95" s="2944"/>
      <c r="B95" s="83" t="s">
        <v>88</v>
      </c>
      <c r="C95" s="1194" t="e">
        <f>'Gen. Energy Cost'!C67</f>
        <v>#DIV/0!</v>
      </c>
      <c r="D95" s="1194" t="e">
        <f>'Gen. Energy Cost'!D67</f>
        <v>#DIV/0!</v>
      </c>
      <c r="E95" s="1194" t="e">
        <f>'Gen. Energy Cost'!E67</f>
        <v>#DIV/0!</v>
      </c>
      <c r="F95" s="1194">
        <f>'Gen. Energy Cost'!F67</f>
        <v>28.695327886357227</v>
      </c>
      <c r="G95" s="1194">
        <f>'Gen. Energy Cost'!G67</f>
        <v>28.69532788635723</v>
      </c>
      <c r="H95" s="1194">
        <f>'Gen. Energy Cost'!H67</f>
        <v>28.69532788635723</v>
      </c>
      <c r="I95" s="1540"/>
    </row>
    <row r="96" spans="1:9" x14ac:dyDescent="0.2">
      <c r="A96" s="2936" t="s">
        <v>794</v>
      </c>
      <c r="B96" s="197" t="s">
        <v>56</v>
      </c>
      <c r="C96" s="1193">
        <f>'Gen. Energy Cost'!C68</f>
        <v>0</v>
      </c>
      <c r="D96" s="1193">
        <f>'Gen. Energy Cost'!D68</f>
        <v>0</v>
      </c>
      <c r="E96" s="1193">
        <f>'Gen. Energy Cost'!E68</f>
        <v>0</v>
      </c>
      <c r="F96" s="1193">
        <f>'Gen. Energy Cost'!F68</f>
        <v>0</v>
      </c>
      <c r="G96" s="1193">
        <f>'Gen. Energy Cost'!G68</f>
        <v>0</v>
      </c>
      <c r="H96" s="1193">
        <f>'Gen. Energy Cost'!H68</f>
        <v>0</v>
      </c>
      <c r="I96" s="1540"/>
    </row>
    <row r="97" spans="1:12" x14ac:dyDescent="0.2">
      <c r="A97" s="2939"/>
      <c r="B97" s="83" t="s">
        <v>88</v>
      </c>
      <c r="C97" s="1194">
        <f>'Gen. Energy Cost'!C69</f>
        <v>0</v>
      </c>
      <c r="D97" s="1194">
        <f>'Gen. Energy Cost'!D69</f>
        <v>0</v>
      </c>
      <c r="E97" s="1194">
        <f>'Gen. Energy Cost'!E69</f>
        <v>0</v>
      </c>
      <c r="F97" s="1194">
        <f>'Gen. Energy Cost'!F69</f>
        <v>0</v>
      </c>
      <c r="G97" s="1194">
        <f>'Gen. Energy Cost'!G69</f>
        <v>0</v>
      </c>
      <c r="H97" s="1194">
        <f>'Gen. Energy Cost'!H69</f>
        <v>0</v>
      </c>
      <c r="I97" s="1540"/>
    </row>
    <row r="98" spans="1:12" ht="42.75" customHeight="1" x14ac:dyDescent="0.2">
      <c r="A98" s="1085" t="s">
        <v>175</v>
      </c>
      <c r="B98" s="1086" t="s">
        <v>56</v>
      </c>
      <c r="C98" s="1087" t="e">
        <f>C22+C46+C60+C64+C68+C70+C76+C78+C80+C82+C84+C86+C88+C90+C92+C94+C96</f>
        <v>#REF!</v>
      </c>
      <c r="D98" s="1087" t="e">
        <f t="shared" ref="D98:H98" si="2">D22+D46+D60+D64+D68+D70+D76+D78+D80+D82+D84+D86+D88+D90+D92+D94+D96</f>
        <v>#REF!</v>
      </c>
      <c r="E98" s="1087" t="e">
        <f t="shared" si="2"/>
        <v>#REF!</v>
      </c>
      <c r="F98" s="1087" t="e">
        <f t="shared" si="2"/>
        <v>#REF!</v>
      </c>
      <c r="G98" s="1087" t="e">
        <f t="shared" si="2"/>
        <v>#REF!</v>
      </c>
      <c r="H98" s="1087" t="e">
        <f t="shared" si="2"/>
        <v>#REF!</v>
      </c>
      <c r="I98" s="1088" t="e">
        <f>C98+D98+E98+F98+G98+H98</f>
        <v>#REF!</v>
      </c>
      <c r="J98" s="317"/>
      <c r="K98" s="1204"/>
      <c r="L98" s="184"/>
    </row>
    <row r="99" spans="1:12" ht="42.75" hidden="1" customHeight="1" x14ac:dyDescent="0.2">
      <c r="A99" s="84"/>
      <c r="B99" s="85"/>
      <c r="C99" s="1567" t="e">
        <f>C60*C61+C64*C65+C68*C69+C70*C71+C76*C77+C78*C79+C80*C81</f>
        <v>#DIV/0!</v>
      </c>
      <c r="D99" s="1567"/>
      <c r="E99" s="1567"/>
      <c r="F99" s="1567"/>
      <c r="G99" s="1567"/>
      <c r="H99" s="1567"/>
      <c r="I99" s="317"/>
      <c r="J99" s="317"/>
      <c r="K99" s="1204"/>
      <c r="L99" s="184"/>
    </row>
    <row r="100" spans="1:12" ht="42.75" hidden="1" customHeight="1" x14ac:dyDescent="0.2">
      <c r="A100" s="84"/>
      <c r="B100" s="85"/>
      <c r="C100" s="1567"/>
      <c r="D100" s="1567"/>
      <c r="E100" s="1567"/>
      <c r="F100" s="1567"/>
      <c r="G100" s="1567"/>
      <c r="H100" s="1567"/>
      <c r="I100" s="317"/>
      <c r="J100" s="317"/>
      <c r="K100" s="1204"/>
      <c r="L100" s="184"/>
    </row>
    <row r="101" spans="1:12" ht="42.75" hidden="1" customHeight="1" x14ac:dyDescent="0.2">
      <c r="A101" s="84"/>
      <c r="B101" s="85"/>
      <c r="C101" s="1567"/>
      <c r="D101" s="1567"/>
      <c r="E101" s="1567"/>
      <c r="F101" s="1567"/>
      <c r="G101" s="1567"/>
      <c r="H101" s="1567"/>
      <c r="I101" s="317"/>
      <c r="J101" s="317"/>
      <c r="K101" s="1204"/>
      <c r="L101" s="184"/>
    </row>
    <row r="102" spans="1:12" hidden="1" x14ac:dyDescent="0.2">
      <c r="A102" s="4"/>
      <c r="C102" t="e">
        <f t="shared" ref="C102:H102" si="3">C98*C6</f>
        <v>#REF!</v>
      </c>
      <c r="D102" t="e">
        <f t="shared" si="3"/>
        <v>#REF!</v>
      </c>
      <c r="E102" t="e">
        <f t="shared" si="3"/>
        <v>#REF!</v>
      </c>
      <c r="F102" t="e">
        <f t="shared" si="3"/>
        <v>#REF!</v>
      </c>
      <c r="G102" t="e">
        <f t="shared" si="3"/>
        <v>#REF!</v>
      </c>
      <c r="H102" t="e">
        <f t="shared" si="3"/>
        <v>#REF!</v>
      </c>
      <c r="L102" s="1205"/>
    </row>
    <row r="103" spans="1:12" hidden="1" x14ac:dyDescent="0.2">
      <c r="A103" s="47" t="s">
        <v>389</v>
      </c>
      <c r="B103" s="47" t="s">
        <v>94</v>
      </c>
      <c r="C103" s="1039" t="e">
        <f>(C60*C61)+(C64*C65)+(C70*C71)+(C76*C77)+(C78*C79)+(C80*C81)+(C68*C69)</f>
        <v>#DIV/0!</v>
      </c>
      <c r="D103" s="1039" t="e">
        <f>D60*D61+D64*D65+D70*D71+D76*D77+D78*D79+D80*D81+D68*D69</f>
        <v>#DIV/0!</v>
      </c>
      <c r="E103" s="1039" t="e">
        <f>E60*E61+E64*E65+E70*E71+E76*E77+E78*E79+E80*E81+E68*E69</f>
        <v>#DIV/0!</v>
      </c>
      <c r="F103" s="1039" t="e">
        <f>F60*F61+F64*F65+F70*F71+F76*F77+F78*F79+F80*F81+F68*F69</f>
        <v>#REF!</v>
      </c>
      <c r="G103" s="1039" t="e">
        <f>G60*G61+G64*G65+G70*G71+G76*G77+G78*G79+G80*G81+G68*G69</f>
        <v>#REF!</v>
      </c>
      <c r="H103" s="1039" t="e">
        <f>H60*H61+H64*H65+H70*H71+H76*H77+H78*H79+H80*H81+H68*H69</f>
        <v>#REF!</v>
      </c>
    </row>
    <row r="104" spans="1:12" hidden="1" x14ac:dyDescent="0.2"/>
    <row r="105" spans="1:12" hidden="1" x14ac:dyDescent="0.2">
      <c r="A105" s="47" t="s">
        <v>389</v>
      </c>
      <c r="B105" s="484" t="s">
        <v>746</v>
      </c>
      <c r="C105" s="1043" t="e">
        <f t="shared" ref="C105:H105" si="4">C103/1000000</f>
        <v>#DIV/0!</v>
      </c>
      <c r="D105" s="1043" t="e">
        <f t="shared" si="4"/>
        <v>#DIV/0!</v>
      </c>
      <c r="E105" s="1043" t="e">
        <f t="shared" si="4"/>
        <v>#DIV/0!</v>
      </c>
      <c r="F105" s="1043" t="e">
        <f t="shared" si="4"/>
        <v>#REF!</v>
      </c>
      <c r="G105" s="1043" t="e">
        <f t="shared" si="4"/>
        <v>#REF!</v>
      </c>
      <c r="H105" s="1073" t="e">
        <f t="shared" si="4"/>
        <v>#REF!</v>
      </c>
      <c r="I105" s="1088" t="e">
        <f>C105+D105+E105+F105+G105+H105</f>
        <v>#DIV/0!</v>
      </c>
    </row>
    <row r="106" spans="1:12" hidden="1" x14ac:dyDescent="0.2">
      <c r="B106" s="415"/>
      <c r="C106" s="150"/>
      <c r="D106" s="150"/>
      <c r="E106" s="150"/>
      <c r="F106" s="150"/>
      <c r="G106" s="150"/>
      <c r="H106" s="150"/>
    </row>
    <row r="107" spans="1:12" hidden="1" x14ac:dyDescent="0.2">
      <c r="B107" s="415"/>
      <c r="C107" s="150"/>
      <c r="D107" s="150"/>
      <c r="E107" s="150"/>
      <c r="F107" s="150"/>
      <c r="G107" s="150"/>
      <c r="H107" s="150"/>
    </row>
    <row r="108" spans="1:12" ht="18" hidden="1" x14ac:dyDescent="0.2">
      <c r="A108" s="1094" t="s">
        <v>747</v>
      </c>
      <c r="B108" s="1089" t="s">
        <v>748</v>
      </c>
      <c r="C108" s="1090" t="e">
        <f>I105</f>
        <v>#DIV/0!</v>
      </c>
      <c r="D108" s="150"/>
      <c r="E108" s="150"/>
      <c r="F108" s="150"/>
      <c r="G108" s="150"/>
      <c r="H108" s="150"/>
    </row>
    <row r="109" spans="1:12" ht="18" hidden="1" x14ac:dyDescent="0.2">
      <c r="A109" s="1094" t="s">
        <v>749</v>
      </c>
      <c r="B109" s="1089" t="s">
        <v>56</v>
      </c>
      <c r="C109" s="1090" t="e">
        <f>I98</f>
        <v>#REF!</v>
      </c>
      <c r="D109" s="150"/>
      <c r="E109" s="150"/>
      <c r="F109" s="150"/>
      <c r="G109" s="150"/>
      <c r="H109" s="150"/>
    </row>
    <row r="110" spans="1:12" ht="18" hidden="1" x14ac:dyDescent="0.2">
      <c r="A110" s="1094" t="s">
        <v>750</v>
      </c>
      <c r="B110" s="1089" t="s">
        <v>751</v>
      </c>
      <c r="C110" s="1091" t="e">
        <f>C108/C109</f>
        <v>#DIV/0!</v>
      </c>
      <c r="D110" s="150"/>
      <c r="E110" s="150"/>
      <c r="F110" s="150"/>
      <c r="G110" s="150"/>
      <c r="H110" s="150"/>
    </row>
    <row r="111" spans="1:12" ht="14.4" hidden="1" x14ac:dyDescent="0.2">
      <c r="A111" s="1092" t="s">
        <v>790</v>
      </c>
      <c r="B111" s="1093" t="s">
        <v>751</v>
      </c>
      <c r="C111" s="1095" t="e">
        <f>C110/C115*100</f>
        <v>#DIV/0!</v>
      </c>
      <c r="D111">
        <v>13.686699022890487</v>
      </c>
      <c r="E111" s="1117">
        <v>2.0799999999999999E-2</v>
      </c>
      <c r="H111" s="241"/>
    </row>
    <row r="112" spans="1:12" hidden="1" x14ac:dyDescent="0.2">
      <c r="B112" s="415"/>
      <c r="C112" s="150"/>
      <c r="H112" s="241"/>
    </row>
    <row r="113" spans="1:12" hidden="1" x14ac:dyDescent="0.2">
      <c r="B113" s="415"/>
      <c r="C113" s="150"/>
    </row>
    <row r="114" spans="1:12" hidden="1" x14ac:dyDescent="0.2">
      <c r="A114" s="415" t="s">
        <v>789</v>
      </c>
      <c r="B114" s="415"/>
      <c r="C114" s="1096">
        <v>3</v>
      </c>
    </row>
    <row r="115" spans="1:12" hidden="1" x14ac:dyDescent="0.2">
      <c r="C115" s="241">
        <f>100-C114</f>
        <v>97</v>
      </c>
    </row>
    <row r="116" spans="1:12" hidden="1" x14ac:dyDescent="0.2"/>
    <row r="117" spans="1:12" x14ac:dyDescent="0.2">
      <c r="A117" s="415"/>
      <c r="C117" s="165">
        <v>201.61086601029947</v>
      </c>
      <c r="D117" s="165">
        <v>208.09450988400155</v>
      </c>
      <c r="E117" s="165">
        <v>191.96180041716457</v>
      </c>
      <c r="F117" s="165">
        <v>186.21167303864732</v>
      </c>
      <c r="G117" s="165">
        <v>176.26372206981785</v>
      </c>
      <c r="H117" s="165">
        <v>175.96364760555866</v>
      </c>
    </row>
    <row r="118" spans="1:12" x14ac:dyDescent="0.2">
      <c r="A118" s="415"/>
      <c r="C118" s="165"/>
      <c r="D118" s="165"/>
      <c r="E118" s="165"/>
      <c r="F118" s="165"/>
      <c r="G118" s="165"/>
      <c r="H118" s="165"/>
      <c r="I118" s="1074"/>
    </row>
    <row r="119" spans="1:12" s="1556" customFormat="1" x14ac:dyDescent="0.2">
      <c r="A119" s="1542" t="s">
        <v>901</v>
      </c>
      <c r="B119" s="1555" t="s">
        <v>56</v>
      </c>
      <c r="C119" s="1555" t="e">
        <f>'Gen. Energy Cost 132'!C121</f>
        <v>#REF!</v>
      </c>
      <c r="D119" s="1555" t="e">
        <f>'Gen. Energy Cost 132'!D121</f>
        <v>#REF!</v>
      </c>
      <c r="E119" s="1555" t="e">
        <f>'Gen. Energy Cost 132'!E121</f>
        <v>#REF!</v>
      </c>
      <c r="F119" s="1555" t="e">
        <f>'Gen. Energy Cost 132'!F121</f>
        <v>#REF!</v>
      </c>
      <c r="G119" s="1555" t="e">
        <f>'Gen. Energy Cost 132'!G121</f>
        <v>#REF!</v>
      </c>
      <c r="H119" s="1555" t="e">
        <f>'Gen. Energy Cost 132'!H121</f>
        <v>#REF!</v>
      </c>
      <c r="J119" s="1557"/>
      <c r="K119" s="1558"/>
      <c r="L119" s="1559"/>
    </row>
    <row r="120" spans="1:12" s="1556" customFormat="1" x14ac:dyDescent="0.2">
      <c r="A120" s="1542" t="s">
        <v>902</v>
      </c>
      <c r="B120" s="1555" t="s">
        <v>56</v>
      </c>
      <c r="C120" s="1568" t="e">
        <f>C119*'Loss %'!$C$7/100</f>
        <v>#REF!</v>
      </c>
      <c r="D120" s="1568" t="e">
        <f>D119*'Loss %'!$C$7/100</f>
        <v>#REF!</v>
      </c>
      <c r="E120" s="1568" t="e">
        <f>E119*'Loss %'!$C$7/100</f>
        <v>#REF!</v>
      </c>
      <c r="F120" s="1568" t="e">
        <f>F119*'Loss %'!$C$7/100</f>
        <v>#REF!</v>
      </c>
      <c r="G120" s="1568" t="e">
        <f>G119*'Loss %'!$C$7/100</f>
        <v>#REF!</v>
      </c>
      <c r="H120" s="1568" t="e">
        <f>H119*'Loss %'!$C$7/100</f>
        <v>#REF!</v>
      </c>
      <c r="J120" s="1557"/>
      <c r="K120" s="1558"/>
      <c r="L120" s="1559"/>
    </row>
    <row r="121" spans="1:12" s="1556" customFormat="1" x14ac:dyDescent="0.2">
      <c r="A121" s="1542" t="s">
        <v>903</v>
      </c>
      <c r="B121" s="1555" t="s">
        <v>56</v>
      </c>
      <c r="C121" s="1568">
        <f>'Gen. Energy Cost 132'!C126</f>
        <v>2.2031360000000002</v>
      </c>
      <c r="D121" s="1568">
        <f>'Gen. Energy Cost 132'!D126</f>
        <v>2.152107</v>
      </c>
      <c r="E121" s="1568">
        <f>'Gen. Energy Cost 132'!E126</f>
        <v>1.589378</v>
      </c>
      <c r="F121" s="1568">
        <f>'Gen. Energy Cost 132'!F126</f>
        <v>0.22325800000000001</v>
      </c>
      <c r="G121" s="1568">
        <f>'Gen. Energy Cost 132'!G126</f>
        <v>0.45465800000000001</v>
      </c>
      <c r="H121" s="1568">
        <f>'Gen. Energy Cost 132'!H126</f>
        <v>1.918987</v>
      </c>
      <c r="J121" s="1557"/>
      <c r="K121" s="1558"/>
      <c r="L121" s="1559"/>
    </row>
    <row r="122" spans="1:12" s="1556" customFormat="1" x14ac:dyDescent="0.2">
      <c r="A122" s="1542" t="s">
        <v>904</v>
      </c>
      <c r="B122" s="1555" t="s">
        <v>56</v>
      </c>
      <c r="C122" s="1568" t="e">
        <f t="shared" ref="C122:H122" si="5">C119-C121-C120</f>
        <v>#REF!</v>
      </c>
      <c r="D122" s="1568" t="e">
        <f t="shared" si="5"/>
        <v>#REF!</v>
      </c>
      <c r="E122" s="1568" t="e">
        <f t="shared" si="5"/>
        <v>#REF!</v>
      </c>
      <c r="F122" s="1568" t="e">
        <f t="shared" si="5"/>
        <v>#REF!</v>
      </c>
      <c r="G122" s="1568" t="e">
        <f t="shared" si="5"/>
        <v>#REF!</v>
      </c>
      <c r="H122" s="1568" t="e">
        <f t="shared" si="5"/>
        <v>#REF!</v>
      </c>
      <c r="J122" s="1557"/>
      <c r="K122" s="1558"/>
      <c r="L122" s="1559"/>
    </row>
    <row r="123" spans="1:12" s="1556" customFormat="1" x14ac:dyDescent="0.2">
      <c r="A123" s="1542" t="s">
        <v>905</v>
      </c>
      <c r="B123" s="1555" t="s">
        <v>56</v>
      </c>
      <c r="C123" s="1568" t="e">
        <f t="shared" ref="C123:H123" si="6">C98</f>
        <v>#REF!</v>
      </c>
      <c r="D123" s="1568" t="e">
        <f t="shared" si="6"/>
        <v>#REF!</v>
      </c>
      <c r="E123" s="1568" t="e">
        <f t="shared" si="6"/>
        <v>#REF!</v>
      </c>
      <c r="F123" s="1568" t="e">
        <f t="shared" si="6"/>
        <v>#REF!</v>
      </c>
      <c r="G123" s="1568" t="e">
        <f t="shared" si="6"/>
        <v>#REF!</v>
      </c>
      <c r="H123" s="1568" t="e">
        <f t="shared" si="6"/>
        <v>#REF!</v>
      </c>
      <c r="J123" s="1557"/>
      <c r="K123" s="1558"/>
      <c r="L123" s="1559"/>
    </row>
    <row r="124" spans="1:12" s="1561" customFormat="1" hidden="1" x14ac:dyDescent="0.2">
      <c r="A124" s="1545" t="s">
        <v>906</v>
      </c>
      <c r="B124" s="1560" t="s">
        <v>37</v>
      </c>
      <c r="C124" s="1569">
        <v>0</v>
      </c>
      <c r="D124" s="1569">
        <v>0</v>
      </c>
      <c r="E124" s="1569">
        <v>0</v>
      </c>
      <c r="F124" s="1569">
        <v>0</v>
      </c>
      <c r="G124" s="1569">
        <v>0</v>
      </c>
      <c r="H124" s="1569">
        <v>0</v>
      </c>
      <c r="J124" s="1562"/>
      <c r="K124" s="1563"/>
      <c r="L124" s="1564"/>
    </row>
    <row r="125" spans="1:12" s="1556" customFormat="1" hidden="1" x14ac:dyDescent="0.2">
      <c r="A125" s="1542" t="s">
        <v>906</v>
      </c>
      <c r="B125" s="1555" t="s">
        <v>56</v>
      </c>
      <c r="C125" s="1568" t="e">
        <f t="shared" ref="C125:H125" si="7">C123*C124</f>
        <v>#REF!</v>
      </c>
      <c r="D125" s="1568" t="e">
        <f t="shared" si="7"/>
        <v>#REF!</v>
      </c>
      <c r="E125" s="1568" t="e">
        <f t="shared" si="7"/>
        <v>#REF!</v>
      </c>
      <c r="F125" s="1568" t="e">
        <f t="shared" si="7"/>
        <v>#REF!</v>
      </c>
      <c r="G125" s="1568" t="e">
        <f t="shared" si="7"/>
        <v>#REF!</v>
      </c>
      <c r="H125" s="1568" t="e">
        <f t="shared" si="7"/>
        <v>#REF!</v>
      </c>
      <c r="J125" s="1557"/>
      <c r="K125" s="1558"/>
      <c r="L125" s="1559"/>
    </row>
    <row r="126" spans="1:12" s="1561" customFormat="1" x14ac:dyDescent="0.2">
      <c r="A126" s="1545" t="s">
        <v>907</v>
      </c>
      <c r="B126" s="1560" t="s">
        <v>56</v>
      </c>
      <c r="C126" s="1569" t="e">
        <f t="shared" ref="C126:H126" si="8">C122+C123-C125</f>
        <v>#REF!</v>
      </c>
      <c r="D126" s="1569" t="e">
        <f t="shared" si="8"/>
        <v>#REF!</v>
      </c>
      <c r="E126" s="1569" t="e">
        <f t="shared" si="8"/>
        <v>#REF!</v>
      </c>
      <c r="F126" s="1569" t="e">
        <f t="shared" si="8"/>
        <v>#REF!</v>
      </c>
      <c r="G126" s="1569" t="e">
        <f t="shared" si="8"/>
        <v>#REF!</v>
      </c>
      <c r="H126" s="1569" t="e">
        <f t="shared" si="8"/>
        <v>#REF!</v>
      </c>
      <c r="J126" s="1562"/>
      <c r="K126" s="1563"/>
      <c r="L126" s="1564"/>
    </row>
    <row r="127" spans="1:12" s="1556" customFormat="1" x14ac:dyDescent="0.2">
      <c r="A127" s="1542" t="s">
        <v>898</v>
      </c>
      <c r="B127" s="1555" t="s">
        <v>888</v>
      </c>
      <c r="C127" s="1555" t="e">
        <f>'Gen. Energy Cost 132'!C125</f>
        <v>#REF!</v>
      </c>
      <c r="D127" s="1555" t="e">
        <f>'Gen. Energy Cost 132'!D125</f>
        <v>#REF!</v>
      </c>
      <c r="E127" s="1555" t="e">
        <f>'Gen. Energy Cost 132'!E125</f>
        <v>#REF!</v>
      </c>
      <c r="F127" s="1555" t="e">
        <f>'Gen. Energy Cost 132'!F125</f>
        <v>#REF!</v>
      </c>
      <c r="G127" s="1555" t="e">
        <f>'Gen. Energy Cost 132'!G125</f>
        <v>#REF!</v>
      </c>
      <c r="H127" s="1555" t="e">
        <f>'Gen. Energy Cost 132'!H125</f>
        <v>#REF!</v>
      </c>
      <c r="J127" s="1557"/>
      <c r="K127" s="1558"/>
      <c r="L127" s="1559"/>
    </row>
    <row r="128" spans="1:12" s="1556" customFormat="1" x14ac:dyDescent="0.2">
      <c r="A128" s="1542" t="s">
        <v>908</v>
      </c>
      <c r="B128" s="1555" t="s">
        <v>888</v>
      </c>
      <c r="C128" s="1570" t="e">
        <f>'tx consumer data'!B95/1000000</f>
        <v>#REF!</v>
      </c>
      <c r="D128" s="1570" t="e">
        <f>'tx consumer data'!C95/1000000</f>
        <v>#REF!</v>
      </c>
      <c r="E128" s="1570" t="e">
        <f>'tx consumer data'!D95/1000000</f>
        <v>#REF!</v>
      </c>
      <c r="F128" s="1570" t="e">
        <f>'tx consumer data'!E95/1000000</f>
        <v>#REF!</v>
      </c>
      <c r="G128" s="1570" t="e">
        <f>'tx consumer data'!F95/1000000</f>
        <v>#REF!</v>
      </c>
      <c r="H128" s="1570" t="e">
        <f>'tx consumer data'!G95/1000000</f>
        <v>#REF!</v>
      </c>
      <c r="J128" s="1557"/>
      <c r="K128" s="1558"/>
      <c r="L128" s="1559"/>
    </row>
    <row r="129" spans="1:12" s="1556" customFormat="1" x14ac:dyDescent="0.2">
      <c r="A129" s="1542" t="s">
        <v>909</v>
      </c>
      <c r="B129" s="1555" t="s">
        <v>888</v>
      </c>
      <c r="C129" s="1570" t="e">
        <f>C22*C23+C24*C25+C26*C27+C28*C29+C30*C31+C32*C33+C34*C35+C36*C37+C38*C39+C40*C41+C42*C43+C44*C45+C46*C47+C48*C49+C50*C51+C52*C53+C56*C57+C58*C59+C60*C61+C62*C63+C64*C65+C66*C67+C68*C69+C70*C71+C72*C73+C54*C55+C74*C75+C76*C77+C78*C79+C80*C81+C82*C83+C84*C85+C86*C87+C88*C89+C90*C91+C92*C93+C94*C95+C96*C97</f>
        <v>#REF!</v>
      </c>
      <c r="D129" s="1570" t="e">
        <f t="shared" ref="D129:H129" si="9">D22*D23+D24*D25+D26*D27+D28*D29+D30*D31+D32*D33+D34*D35+D36*D37+D38*D39+D40*D41+D42*D43+D44*D45+D46*D47+D48*D49+D50*D51+D52*D53+D56*D57+D58*D59+D60*D61+D62*D63+D64*D65+D66*D67+D68*D69+D70*D71+D72*D73+D54*D55+D74*D75+D76*D77+D78*D79+D80*D81+D82*D83+D84*D85+D86*D87+D88*D89+D90*D91+D92*D93+D94*D95+D96*D97</f>
        <v>#REF!</v>
      </c>
      <c r="E129" s="1570" t="e">
        <f t="shared" si="9"/>
        <v>#REF!</v>
      </c>
      <c r="F129" s="1570" t="e">
        <f t="shared" si="9"/>
        <v>#REF!</v>
      </c>
      <c r="G129" s="1570" t="e">
        <f t="shared" si="9"/>
        <v>#REF!</v>
      </c>
      <c r="H129" s="1570" t="e">
        <f t="shared" si="9"/>
        <v>#REF!</v>
      </c>
      <c r="J129" s="1557"/>
      <c r="K129" s="1558"/>
      <c r="L129" s="1559"/>
    </row>
    <row r="130" spans="1:12" s="1561" customFormat="1" x14ac:dyDescent="0.2">
      <c r="A130" s="1545" t="s">
        <v>910</v>
      </c>
      <c r="B130" s="1560" t="s">
        <v>888</v>
      </c>
      <c r="C130" s="1571" t="e">
        <f t="shared" ref="C130:H130" si="10">C127-C128+C129</f>
        <v>#REF!</v>
      </c>
      <c r="D130" s="1571" t="e">
        <f t="shared" si="10"/>
        <v>#REF!</v>
      </c>
      <c r="E130" s="1571" t="e">
        <f t="shared" si="10"/>
        <v>#REF!</v>
      </c>
      <c r="F130" s="1571" t="e">
        <f t="shared" si="10"/>
        <v>#REF!</v>
      </c>
      <c r="G130" s="1571" t="e">
        <f t="shared" si="10"/>
        <v>#REF!</v>
      </c>
      <c r="H130" s="1571" t="e">
        <f t="shared" si="10"/>
        <v>#REF!</v>
      </c>
      <c r="J130" s="1562"/>
      <c r="K130" s="1563"/>
      <c r="L130" s="1564"/>
    </row>
    <row r="133" spans="1:12" x14ac:dyDescent="0.2">
      <c r="C133" s="241"/>
    </row>
  </sheetData>
  <dataConsolidate/>
  <mergeCells count="67">
    <mergeCell ref="A92:A93"/>
    <mergeCell ref="A94:A95"/>
    <mergeCell ref="A96:A97"/>
    <mergeCell ref="A82:A83"/>
    <mergeCell ref="A84:A85"/>
    <mergeCell ref="A86:A87"/>
    <mergeCell ref="A88:A89"/>
    <mergeCell ref="A90:A91"/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  <mergeCell ref="AD20:AE20"/>
    <mergeCell ref="AF20:AG20"/>
    <mergeCell ref="AH20:AI20"/>
    <mergeCell ref="Y8:AC8"/>
    <mergeCell ref="AE8:AI8"/>
    <mergeCell ref="A42:A43"/>
    <mergeCell ref="AV20:AW20"/>
    <mergeCell ref="A22:A23"/>
    <mergeCell ref="A24:A25"/>
    <mergeCell ref="A26:A27"/>
    <mergeCell ref="A28:A29"/>
    <mergeCell ref="A30:A31"/>
    <mergeCell ref="AJ20:AK20"/>
    <mergeCell ref="AL20:AM20"/>
    <mergeCell ref="AN20:AO20"/>
    <mergeCell ref="AP20:AQ20"/>
    <mergeCell ref="AR20:AS20"/>
    <mergeCell ref="AT20:AU20"/>
    <mergeCell ref="X20:Y20"/>
    <mergeCell ref="Z20:AA20"/>
    <mergeCell ref="AB20:AC20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80:A81"/>
    <mergeCell ref="A68:A69"/>
    <mergeCell ref="A70:A71"/>
    <mergeCell ref="A72:A73"/>
    <mergeCell ref="A74:A75"/>
    <mergeCell ref="A76:A77"/>
    <mergeCell ref="A78:A79"/>
  </mergeCells>
  <pageMargins left="0.75" right="0.26" top="1" bottom="1" header="0" footer="0"/>
  <pageSetup paperSize="9" scale="44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6193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6193" r:id="rId4" name="CommandButton1"/>
      </mc:Fallback>
    </mc:AlternateContent>
    <mc:AlternateContent xmlns:mc="http://schemas.openxmlformats.org/markup-compatibility/2006">
      <mc:Choice Requires="x14">
        <control shapeId="136194" r:id="rId6" name="CommandButton2">
          <controlPr defaultSize="0" autoLine="0" r:id="rId7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136194" r:id="rId6" name="CommandButton2"/>
      </mc:Fallback>
    </mc:AlternateContent>
  </control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25">
    <tabColor rgb="FF00B050"/>
    <pageSetUpPr fitToPage="1"/>
  </sheetPr>
  <dimension ref="A2:P102"/>
  <sheetViews>
    <sheetView showGridLines="0" topLeftCell="A13" zoomScale="90" zoomScaleNormal="90" workbookViewId="0">
      <selection activeCell="B2" sqref="B2"/>
    </sheetView>
  </sheetViews>
  <sheetFormatPr defaultColWidth="11" defaultRowHeight="12.6" x14ac:dyDescent="0.2"/>
  <cols>
    <col min="1" max="1" width="26.90625" customWidth="1"/>
    <col min="2" max="2" width="18" customWidth="1"/>
    <col min="3" max="3" width="14" customWidth="1"/>
    <col min="4" max="4" width="15.36328125" customWidth="1"/>
    <col min="5" max="8" width="14.08984375" bestFit="1" customWidth="1"/>
    <col min="9" max="14" width="16.7265625" bestFit="1" customWidth="1"/>
    <col min="15" max="15" width="18" bestFit="1" customWidth="1"/>
  </cols>
  <sheetData>
    <row r="2" spans="1:16" s="27" customFormat="1" ht="16.2" hidden="1" x14ac:dyDescent="0.3">
      <c r="A2" s="3063" t="s">
        <v>848</v>
      </c>
      <c r="B2" s="3063"/>
    </row>
    <row r="3" spans="1:16" s="27" customFormat="1" ht="15" hidden="1" customHeight="1" x14ac:dyDescent="0.3">
      <c r="A3" s="3"/>
    </row>
    <row r="4" spans="1:16" ht="19.5" hidden="1" customHeight="1" thickBot="1" x14ac:dyDescent="0.25">
      <c r="A4" s="1" t="s">
        <v>23</v>
      </c>
    </row>
    <row r="5" spans="1:16" ht="30" hidden="1" customHeight="1" x14ac:dyDescent="0.2">
      <c r="A5" s="94" t="s">
        <v>44</v>
      </c>
      <c r="B5" s="95" t="s">
        <v>36</v>
      </c>
      <c r="C5" s="427">
        <f>DispatchSchedule!F3</f>
        <v>46023</v>
      </c>
      <c r="D5" s="427">
        <f>DispatchSchedule!G3</f>
        <v>46054</v>
      </c>
      <c r="E5" s="427">
        <f>DispatchSchedule!H3</f>
        <v>46082</v>
      </c>
      <c r="F5" s="427">
        <f>DispatchSchedule!I3</f>
        <v>46113</v>
      </c>
      <c r="G5" s="427">
        <f>DispatchSchedule!J3</f>
        <v>46143</v>
      </c>
      <c r="H5" s="427">
        <f>DispatchSchedule!K3</f>
        <v>46174</v>
      </c>
    </row>
    <row r="6" spans="1:16" hidden="1" x14ac:dyDescent="0.2">
      <c r="A6" s="14" t="s">
        <v>23</v>
      </c>
      <c r="B6" s="476"/>
      <c r="C6" s="418"/>
      <c r="D6" s="418"/>
      <c r="E6" s="418"/>
      <c r="F6" s="418"/>
      <c r="G6" s="418"/>
      <c r="H6" s="479"/>
    </row>
    <row r="7" spans="1:16" hidden="1" x14ac:dyDescent="0.2">
      <c r="A7" s="1076" t="s">
        <v>45</v>
      </c>
      <c r="B7" s="418" t="s">
        <v>42</v>
      </c>
      <c r="C7" s="1077" t="e">
        <f>'Gen. Capacity'!C63</f>
        <v>#DIV/0!</v>
      </c>
      <c r="D7" s="1077" t="e">
        <f>'Gen. Capacity'!D63</f>
        <v>#DIV/0!</v>
      </c>
      <c r="E7" s="1077" t="e">
        <f>'Gen. Capacity'!E63</f>
        <v>#DIV/0!</v>
      </c>
      <c r="F7" s="1077">
        <f>'Gen. Capacity'!F63</f>
        <v>2139181.6193075688</v>
      </c>
      <c r="G7" s="1077">
        <f>'Gen. Capacity'!G63</f>
        <v>2259312.5356367775</v>
      </c>
      <c r="H7" s="1078">
        <f>'Gen. Capacity'!H63</f>
        <v>2294557.3388860021</v>
      </c>
      <c r="I7" s="402"/>
      <c r="J7" s="402"/>
      <c r="K7" s="402"/>
    </row>
    <row r="8" spans="1:16" hidden="1" x14ac:dyDescent="0.2">
      <c r="A8" s="1076" t="s">
        <v>46</v>
      </c>
      <c r="B8" s="418" t="s">
        <v>42</v>
      </c>
      <c r="C8" s="1077" t="e">
        <f>'TR &amp; BSS, TLF'!C39</f>
        <v>#DIV/0!</v>
      </c>
      <c r="D8" s="1077" t="e">
        <f>'TR &amp; BSS, TLF'!D39</f>
        <v>#DIV/0!</v>
      </c>
      <c r="E8" s="1077" t="e">
        <f>'TR &amp; BSS, TLF'!E39</f>
        <v>#DIV/0!</v>
      </c>
      <c r="F8" s="1077">
        <f>'TR &amp; BSS, TLF'!F39</f>
        <v>604333.60729193373</v>
      </c>
      <c r="G8" s="1077">
        <f>'TR &amp; BSS, TLF'!G39</f>
        <v>627587.18437798799</v>
      </c>
      <c r="H8" s="1078">
        <f>'TR &amp; BSS, TLF'!H39</f>
        <v>646316.45312799898</v>
      </c>
      <c r="I8" s="402"/>
      <c r="J8" s="402"/>
      <c r="K8" s="402"/>
    </row>
    <row r="9" spans="1:16" hidden="1" x14ac:dyDescent="0.2">
      <c r="A9" s="1076" t="s">
        <v>47</v>
      </c>
      <c r="B9" s="418" t="s">
        <v>42</v>
      </c>
      <c r="C9" s="1077" t="e">
        <f>'TR &amp; BSS, TLF'!C40</f>
        <v>#DIV/0!</v>
      </c>
      <c r="D9" s="1077" t="e">
        <f>'TR &amp; BSS, TLF'!D40</f>
        <v>#DIV/0!</v>
      </c>
      <c r="E9" s="1077" t="e">
        <f>'TR &amp; BSS, TLF'!E40</f>
        <v>#DIV/0!</v>
      </c>
      <c r="F9" s="1077">
        <f>'TR &amp; BSS, TLF'!F40</f>
        <v>1027306.812768675</v>
      </c>
      <c r="G9" s="1077">
        <f>'TR &amp; BSS, TLF'!G40</f>
        <v>1070228.9647758817</v>
      </c>
      <c r="H9" s="1078">
        <f>'TR &amp; BSS, TLF'!H40</f>
        <v>1102593.8439287229</v>
      </c>
      <c r="I9" s="402"/>
      <c r="J9" s="402"/>
      <c r="K9" s="402"/>
    </row>
    <row r="10" spans="1:16" ht="13.2" hidden="1" thickBot="1" x14ac:dyDescent="0.25">
      <c r="A10" s="10" t="s">
        <v>52</v>
      </c>
      <c r="B10" s="32" t="s">
        <v>42</v>
      </c>
      <c r="C10" s="1079" t="e">
        <f t="shared" ref="C10:H10" si="0">+C7+C8+C9</f>
        <v>#DIV/0!</v>
      </c>
      <c r="D10" s="1079" t="e">
        <f t="shared" si="0"/>
        <v>#DIV/0!</v>
      </c>
      <c r="E10" s="1079" t="e">
        <f t="shared" si="0"/>
        <v>#DIV/0!</v>
      </c>
      <c r="F10" s="1079">
        <f t="shared" si="0"/>
        <v>3770822.0393681773</v>
      </c>
      <c r="G10" s="1079">
        <f t="shared" si="0"/>
        <v>3957128.6847906471</v>
      </c>
      <c r="H10" s="1080">
        <f t="shared" si="0"/>
        <v>4043467.6359427236</v>
      </c>
      <c r="I10" s="397"/>
      <c r="J10" s="397"/>
      <c r="K10" s="397"/>
      <c r="L10" s="397"/>
      <c r="M10" s="397"/>
      <c r="N10" s="397"/>
      <c r="O10" s="397"/>
      <c r="P10" s="397"/>
    </row>
    <row r="11" spans="1:16" ht="13.2" hidden="1" thickBot="1" x14ac:dyDescent="0.25">
      <c r="A11" s="108"/>
      <c r="B11" s="109"/>
      <c r="C11" s="110"/>
      <c r="D11" s="107"/>
      <c r="E11" s="107"/>
      <c r="F11" s="107"/>
      <c r="G11" s="107"/>
      <c r="H11" s="107"/>
      <c r="I11" s="398"/>
      <c r="J11" s="398"/>
      <c r="K11" s="398"/>
    </row>
    <row r="12" spans="1:16" ht="25.8" hidden="1" thickBot="1" x14ac:dyDescent="0.25">
      <c r="A12" s="96" t="s">
        <v>193</v>
      </c>
      <c r="B12" s="97" t="s">
        <v>42</v>
      </c>
      <c r="C12" s="396" t="e">
        <f>+SUMPRODUCT(C10:H10,'TR &amp; BSS, TLF'!C29:H29)/SUM('TR &amp; BSS, TLF'!C29:H29)</f>
        <v>#DIV/0!</v>
      </c>
      <c r="D12" s="332"/>
      <c r="E12" s="313">
        <v>3516343.1891784216</v>
      </c>
      <c r="F12" s="1584" t="e">
        <f>E12-C12</f>
        <v>#DIV/0!</v>
      </c>
      <c r="G12" s="2"/>
      <c r="H12" s="2"/>
      <c r="I12" s="398"/>
      <c r="J12" s="398"/>
      <c r="K12" s="398"/>
      <c r="L12" s="398"/>
      <c r="M12" s="398"/>
      <c r="N12" s="398"/>
    </row>
    <row r="13" spans="1:16" x14ac:dyDescent="0.2">
      <c r="C13" s="2"/>
      <c r="D13" s="2"/>
      <c r="E13" s="2"/>
      <c r="F13" s="2"/>
      <c r="G13" s="2"/>
      <c r="H13" s="2"/>
      <c r="I13" s="398"/>
      <c r="J13" s="398"/>
      <c r="K13" s="398"/>
      <c r="L13" s="398"/>
      <c r="M13" s="398"/>
      <c r="N13" s="398"/>
    </row>
    <row r="14" spans="1:16" hidden="1" x14ac:dyDescent="0.2">
      <c r="C14" s="2"/>
      <c r="D14" s="2"/>
      <c r="E14" s="2"/>
      <c r="F14" s="2"/>
      <c r="G14" s="2"/>
      <c r="H14" s="2"/>
      <c r="I14" s="398"/>
      <c r="J14" s="398"/>
      <c r="K14" s="398"/>
      <c r="L14" s="398"/>
      <c r="M14" s="398"/>
      <c r="N14" s="398"/>
    </row>
    <row r="15" spans="1:16" ht="13.2" hidden="1" thickBot="1" x14ac:dyDescent="0.25">
      <c r="A15" s="774" t="s">
        <v>717</v>
      </c>
      <c r="I15" s="398"/>
      <c r="J15" s="398"/>
      <c r="K15" s="398"/>
      <c r="L15" s="398"/>
      <c r="M15" s="398"/>
      <c r="N15" s="398"/>
    </row>
    <row r="16" spans="1:16" hidden="1" x14ac:dyDescent="0.2">
      <c r="A16" s="1"/>
      <c r="I16" s="398"/>
      <c r="J16" s="398"/>
      <c r="K16" s="398"/>
      <c r="L16" s="398"/>
      <c r="M16" s="398"/>
      <c r="N16" s="398"/>
    </row>
    <row r="17" spans="1:14" hidden="1" x14ac:dyDescent="0.2">
      <c r="A17" s="745" t="s">
        <v>44</v>
      </c>
      <c r="B17" s="220" t="s">
        <v>36</v>
      </c>
      <c r="C17" s="746">
        <f>C5</f>
        <v>46023</v>
      </c>
      <c r="D17" s="746">
        <f t="shared" ref="D17:H17" si="1">D5</f>
        <v>46054</v>
      </c>
      <c r="E17" s="746">
        <f t="shared" si="1"/>
        <v>46082</v>
      </c>
      <c r="F17" s="746">
        <f t="shared" si="1"/>
        <v>46113</v>
      </c>
      <c r="G17" s="746">
        <f t="shared" si="1"/>
        <v>46143</v>
      </c>
      <c r="H17" s="746">
        <f t="shared" si="1"/>
        <v>46174</v>
      </c>
      <c r="I17" s="398"/>
      <c r="J17" s="398"/>
      <c r="K17" s="398"/>
      <c r="L17" s="398"/>
      <c r="M17" s="398"/>
      <c r="N17" s="398"/>
    </row>
    <row r="18" spans="1:14" hidden="1" x14ac:dyDescent="0.2">
      <c r="A18" s="747" t="s">
        <v>23</v>
      </c>
      <c r="B18" s="748"/>
      <c r="C18" s="749"/>
      <c r="D18" s="749"/>
      <c r="E18" s="749"/>
      <c r="F18" s="749"/>
      <c r="G18" s="749"/>
      <c r="H18" s="750"/>
      <c r="I18" s="398"/>
      <c r="J18" s="398"/>
      <c r="K18" s="398"/>
      <c r="L18" s="398"/>
      <c r="M18" s="398"/>
      <c r="N18" s="398"/>
    </row>
    <row r="19" spans="1:14" hidden="1" x14ac:dyDescent="0.2">
      <c r="A19" s="728" t="s">
        <v>45</v>
      </c>
      <c r="B19" s="721" t="s">
        <v>42</v>
      </c>
      <c r="C19" s="729" t="e">
        <f>'Gen. Capacity'!C69</f>
        <v>#DIV/0!</v>
      </c>
      <c r="D19" s="729" t="e">
        <f>'Gen. Capacity'!D69</f>
        <v>#DIV/0!</v>
      </c>
      <c r="E19" s="729" t="e">
        <f>'Gen. Capacity'!E69</f>
        <v>#DIV/0!</v>
      </c>
      <c r="F19" s="729">
        <f>'Gen. Capacity'!F69</f>
        <v>2135237.893514209</v>
      </c>
      <c r="G19" s="729">
        <f>'Gen. Capacity'!G69</f>
        <v>2255147.3403856438</v>
      </c>
      <c r="H19" s="730">
        <f>'Gen. Capacity'!H69</f>
        <v>2290327.1674596802</v>
      </c>
      <c r="I19" s="398"/>
      <c r="J19" s="398"/>
      <c r="K19" s="398"/>
      <c r="L19" s="398"/>
      <c r="M19" s="398"/>
      <c r="N19" s="398"/>
    </row>
    <row r="20" spans="1:14" hidden="1" x14ac:dyDescent="0.2">
      <c r="A20" s="728" t="s">
        <v>46</v>
      </c>
      <c r="B20" s="721" t="s">
        <v>42</v>
      </c>
      <c r="C20" s="729" t="e">
        <f>'TR &amp; BSS, TLF'!C43</f>
        <v>#DIV/0!</v>
      </c>
      <c r="D20" s="729" t="e">
        <f>'TR &amp; BSS, TLF'!D43</f>
        <v>#DIV/0!</v>
      </c>
      <c r="E20" s="729" t="e">
        <f>'TR &amp; BSS, TLF'!E43</f>
        <v>#DIV/0!</v>
      </c>
      <c r="F20" s="729">
        <f>'TR &amp; BSS, TLF'!F43</f>
        <v>610551.37695777998</v>
      </c>
      <c r="G20" s="729">
        <f>'TR &amp; BSS, TLF'!G43</f>
        <v>628333.88644876273</v>
      </c>
      <c r="H20" s="730">
        <f>'TR &amp; BSS, TLF'!H43</f>
        <v>646991.84978917544</v>
      </c>
      <c r="I20" s="398"/>
      <c r="J20" s="398"/>
      <c r="K20" s="398"/>
      <c r="L20" s="398"/>
      <c r="M20" s="398"/>
      <c r="N20" s="398"/>
    </row>
    <row r="21" spans="1:14" hidden="1" x14ac:dyDescent="0.2">
      <c r="A21" s="728" t="s">
        <v>47</v>
      </c>
      <c r="B21" s="721" t="s">
        <v>42</v>
      </c>
      <c r="C21" s="729" t="e">
        <f>'TR &amp; BSS, TLF'!C44</f>
        <v>#DIV/0!</v>
      </c>
      <c r="D21" s="729" t="e">
        <f>'TR &amp; BSS, TLF'!D44</f>
        <v>#DIV/0!</v>
      </c>
      <c r="E21" s="729" t="e">
        <f>'TR &amp; BSS, TLF'!E44</f>
        <v>#DIV/0!</v>
      </c>
      <c r="F21" s="729">
        <f>'TR &amp; BSS, TLF'!F44</f>
        <v>236645.23693414009</v>
      </c>
      <c r="G21" s="729">
        <f>'TR &amp; BSS, TLF'!G44</f>
        <v>245372.55596680523</v>
      </c>
      <c r="H21" s="730">
        <f>'TR &amp; BSS, TLF'!H44</f>
        <v>305261.82948635978</v>
      </c>
      <c r="I21" s="398"/>
      <c r="J21" s="398"/>
      <c r="K21" s="398"/>
      <c r="L21" s="398"/>
      <c r="M21" s="398"/>
      <c r="N21" s="398"/>
    </row>
    <row r="22" spans="1:14" ht="13.2" hidden="1" thickBot="1" x14ac:dyDescent="0.25">
      <c r="A22" s="714" t="s">
        <v>52</v>
      </c>
      <c r="B22" s="715" t="s">
        <v>42</v>
      </c>
      <c r="C22" s="731" t="e">
        <f t="shared" ref="C22:H22" si="2">+C19+C20+C21</f>
        <v>#DIV/0!</v>
      </c>
      <c r="D22" s="731" t="e">
        <f t="shared" si="2"/>
        <v>#DIV/0!</v>
      </c>
      <c r="E22" s="731" t="e">
        <f t="shared" si="2"/>
        <v>#DIV/0!</v>
      </c>
      <c r="F22" s="731">
        <f t="shared" si="2"/>
        <v>2982434.5074061295</v>
      </c>
      <c r="G22" s="731">
        <f t="shared" si="2"/>
        <v>3128853.7828012118</v>
      </c>
      <c r="H22" s="732">
        <f t="shared" si="2"/>
        <v>3242580.8467352157</v>
      </c>
      <c r="I22" s="398"/>
      <c r="J22" s="398"/>
      <c r="K22" s="398"/>
      <c r="L22" s="398"/>
      <c r="M22" s="398"/>
      <c r="N22" s="398"/>
    </row>
    <row r="23" spans="1:14" ht="13.2" hidden="1" thickBot="1" x14ac:dyDescent="0.25">
      <c r="A23" s="108"/>
      <c r="B23" s="109"/>
      <c r="C23" s="110"/>
      <c r="D23" s="107"/>
      <c r="E23" s="107"/>
      <c r="F23" s="107"/>
      <c r="G23" s="107"/>
      <c r="H23" s="107"/>
      <c r="I23" s="398"/>
      <c r="J23" s="398"/>
      <c r="K23" s="398"/>
      <c r="L23" s="398"/>
      <c r="M23" s="398"/>
      <c r="N23" s="398"/>
    </row>
    <row r="24" spans="1:14" ht="25.8" hidden="1" thickBot="1" x14ac:dyDescent="0.25">
      <c r="A24" s="733" t="s">
        <v>193</v>
      </c>
      <c r="B24" s="734" t="s">
        <v>42</v>
      </c>
      <c r="C24" s="735" t="e">
        <f>+SUMPRODUCT(C22:H22,'TR &amp; BSS, TLF'!C35:H35)/SUM('TR &amp; BSS, TLF'!C35:H35)</f>
        <v>#DIV/0!</v>
      </c>
      <c r="D24" s="332"/>
      <c r="E24" s="313"/>
      <c r="F24" s="2"/>
      <c r="G24" s="2"/>
      <c r="H24" s="2"/>
      <c r="I24" s="398"/>
      <c r="J24" s="398"/>
      <c r="K24" s="398"/>
      <c r="L24" s="398"/>
      <c r="M24" s="398"/>
      <c r="N24" s="398"/>
    </row>
    <row r="25" spans="1:14" hidden="1" x14ac:dyDescent="0.2">
      <c r="C25" s="2"/>
      <c r="D25" s="2"/>
      <c r="E25" s="2"/>
      <c r="F25" s="2"/>
      <c r="G25" s="2"/>
      <c r="H25" s="2"/>
      <c r="I25" s="398"/>
      <c r="J25" s="398"/>
      <c r="K25" s="398"/>
      <c r="L25" s="398"/>
      <c r="M25" s="398"/>
      <c r="N25" s="398"/>
    </row>
    <row r="26" spans="1:14" ht="13.2" hidden="1" thickBot="1" x14ac:dyDescent="0.25">
      <c r="A26" s="2925" t="s">
        <v>718</v>
      </c>
      <c r="B26" s="2926"/>
      <c r="C26" s="2"/>
      <c r="D26" s="2"/>
      <c r="E26" s="2"/>
      <c r="F26" s="2"/>
      <c r="G26" s="2"/>
      <c r="H26" s="2"/>
      <c r="I26" s="398"/>
      <c r="J26" s="398"/>
      <c r="K26" s="398"/>
      <c r="L26" s="398"/>
      <c r="M26" s="398"/>
      <c r="N26" s="398"/>
    </row>
    <row r="27" spans="1:14" hidden="1" x14ac:dyDescent="0.2">
      <c r="C27" s="2"/>
      <c r="D27" s="2"/>
      <c r="E27" s="2"/>
      <c r="F27" s="2"/>
      <c r="G27" s="2"/>
      <c r="H27" s="2"/>
      <c r="I27" s="398"/>
      <c r="J27" s="398"/>
      <c r="K27" s="398"/>
      <c r="L27" s="398"/>
      <c r="M27" s="398"/>
      <c r="N27" s="398"/>
    </row>
    <row r="28" spans="1:14" hidden="1" x14ac:dyDescent="0.2">
      <c r="A28" s="745" t="s">
        <v>44</v>
      </c>
      <c r="B28" s="220" t="s">
        <v>36</v>
      </c>
      <c r="C28" s="746">
        <f>C5</f>
        <v>46023</v>
      </c>
      <c r="D28" s="746">
        <f t="shared" ref="D28:H28" si="3">D5</f>
        <v>46054</v>
      </c>
      <c r="E28" s="746">
        <f t="shared" si="3"/>
        <v>46082</v>
      </c>
      <c r="F28" s="746">
        <f t="shared" si="3"/>
        <v>46113</v>
      </c>
      <c r="G28" s="746">
        <f t="shared" si="3"/>
        <v>46143</v>
      </c>
      <c r="H28" s="746">
        <f t="shared" si="3"/>
        <v>46174</v>
      </c>
      <c r="I28" s="398"/>
      <c r="J28" s="398"/>
      <c r="K28" s="398"/>
      <c r="L28" s="398"/>
      <c r="M28" s="398"/>
      <c r="N28" s="398"/>
    </row>
    <row r="29" spans="1:14" hidden="1" x14ac:dyDescent="0.2">
      <c r="A29" s="747" t="s">
        <v>23</v>
      </c>
      <c r="B29" s="748"/>
      <c r="C29" s="749"/>
      <c r="D29" s="749"/>
      <c r="E29" s="749"/>
      <c r="F29" s="749"/>
      <c r="G29" s="749"/>
      <c r="H29" s="750"/>
      <c r="I29" s="398"/>
      <c r="J29" s="398"/>
      <c r="K29" s="398"/>
      <c r="L29" s="398"/>
      <c r="M29" s="398"/>
      <c r="N29" s="398"/>
    </row>
    <row r="30" spans="1:14" hidden="1" x14ac:dyDescent="0.2">
      <c r="A30" s="728" t="s">
        <v>45</v>
      </c>
      <c r="B30" s="721" t="s">
        <v>42</v>
      </c>
      <c r="C30" s="729" t="e">
        <f>'Transmission Tariff_2'!D18</f>
        <v>#DIV/0!</v>
      </c>
      <c r="D30" s="729" t="e">
        <f>'Transmission Tariff_2'!D30</f>
        <v>#DIV/0!</v>
      </c>
      <c r="E30" s="729" t="e">
        <f>'Transmission Tariff_2'!D42</f>
        <v>#DIV/0!</v>
      </c>
      <c r="F30" s="729">
        <f>'Transmission Tariff_2'!D54</f>
        <v>2081856.9461763536</v>
      </c>
      <c r="G30" s="729">
        <f>'Transmission Tariff_2'!D66</f>
        <v>2198768.6568760029</v>
      </c>
      <c r="H30" s="730">
        <f>'Transmission Tariff_2'!D78</f>
        <v>2233068.988273188</v>
      </c>
      <c r="I30" s="398"/>
      <c r="J30" s="398"/>
      <c r="K30" s="398"/>
      <c r="L30" s="398"/>
      <c r="M30" s="398"/>
      <c r="N30" s="398"/>
    </row>
    <row r="31" spans="1:14" hidden="1" x14ac:dyDescent="0.2">
      <c r="A31" s="728" t="s">
        <v>46</v>
      </c>
      <c r="B31" s="721" t="s">
        <v>42</v>
      </c>
      <c r="C31" s="729" t="e">
        <f>'Transmission Tariff_2'!F18</f>
        <v>#DIV/0!</v>
      </c>
      <c r="D31" s="729" t="e">
        <f>'Transmission Tariff_2'!F30</f>
        <v>#DIV/0!</v>
      </c>
      <c r="E31" s="729" t="e">
        <f>'Transmission Tariff_2'!F42</f>
        <v>#DIV/0!</v>
      </c>
      <c r="F31" s="729">
        <f>'Transmission Tariff_2'!F54</f>
        <v>235255.59621361567</v>
      </c>
      <c r="G31" s="729">
        <f>'Transmission Tariff_2'!F66</f>
        <v>244307.77215662319</v>
      </c>
      <c r="H31" s="730">
        <f>'Transmission Tariff_2'!F78</f>
        <v>251598.72078708778</v>
      </c>
      <c r="I31" s="398"/>
      <c r="J31" s="398"/>
      <c r="K31" s="398"/>
      <c r="L31" s="398"/>
      <c r="M31" s="398"/>
      <c r="N31" s="398"/>
    </row>
    <row r="32" spans="1:14" hidden="1" x14ac:dyDescent="0.2">
      <c r="A32" s="728" t="s">
        <v>47</v>
      </c>
      <c r="B32" s="721" t="s">
        <v>42</v>
      </c>
      <c r="C32" s="729" t="e">
        <f>'Transmission Tariff_2'!H18</f>
        <v>#DIV/0!</v>
      </c>
      <c r="D32" s="729" t="e">
        <f>'Transmission Tariff_2'!H30</f>
        <v>#DIV/0!</v>
      </c>
      <c r="E32" s="729" t="e">
        <f>'Transmission Tariff_2'!H42</f>
        <v>#DIV/0!</v>
      </c>
      <c r="F32" s="729">
        <f>'Transmission Tariff_2'!H54</f>
        <v>92096.463127424024</v>
      </c>
      <c r="G32" s="729">
        <f>'Transmission Tariff_2'!H66</f>
        <v>95405.362959864535</v>
      </c>
      <c r="H32" s="730">
        <f>'Transmission Tariff_2'!H78</f>
        <v>118708.58315900102</v>
      </c>
      <c r="I32" s="398"/>
      <c r="J32" s="398"/>
      <c r="K32" s="398"/>
      <c r="L32" s="398"/>
      <c r="M32" s="398"/>
      <c r="N32" s="398"/>
    </row>
    <row r="33" spans="1:14" ht="13.2" hidden="1" thickBot="1" x14ac:dyDescent="0.25">
      <c r="A33" s="714" t="s">
        <v>52</v>
      </c>
      <c r="B33" s="715" t="s">
        <v>42</v>
      </c>
      <c r="C33" s="731" t="e">
        <f t="shared" ref="C33:H33" si="4">+C30+C31+C32</f>
        <v>#DIV/0!</v>
      </c>
      <c r="D33" s="731" t="e">
        <f t="shared" si="4"/>
        <v>#DIV/0!</v>
      </c>
      <c r="E33" s="731" t="e">
        <f t="shared" si="4"/>
        <v>#DIV/0!</v>
      </c>
      <c r="F33" s="731">
        <f t="shared" si="4"/>
        <v>2409209.0055173934</v>
      </c>
      <c r="G33" s="731">
        <f t="shared" si="4"/>
        <v>2538481.7919924906</v>
      </c>
      <c r="H33" s="732">
        <f t="shared" si="4"/>
        <v>2603376.292219277</v>
      </c>
      <c r="I33" s="398"/>
      <c r="J33" s="398"/>
      <c r="K33" s="398"/>
      <c r="L33" s="398"/>
      <c r="M33" s="398"/>
      <c r="N33" s="398"/>
    </row>
    <row r="34" spans="1:14" hidden="1" x14ac:dyDescent="0.2">
      <c r="C34" s="2"/>
      <c r="D34" s="2"/>
      <c r="E34" s="2"/>
      <c r="F34" s="2"/>
      <c r="G34" s="2"/>
      <c r="H34" s="2"/>
      <c r="I34" s="398"/>
      <c r="J34" s="398"/>
      <c r="K34" s="398"/>
      <c r="L34" s="398"/>
      <c r="M34" s="398"/>
      <c r="N34" s="398"/>
    </row>
    <row r="35" spans="1:14" ht="25.8" hidden="1" thickBot="1" x14ac:dyDescent="0.25">
      <c r="A35" s="733" t="s">
        <v>723</v>
      </c>
      <c r="B35" s="734" t="s">
        <v>42</v>
      </c>
      <c r="C35" s="735" t="e">
        <f>AVERAGE(C33:H33)</f>
        <v>#DIV/0!</v>
      </c>
      <c r="D35" s="2"/>
      <c r="E35" s="2"/>
      <c r="F35" s="2"/>
      <c r="G35" s="2"/>
      <c r="H35" s="2"/>
      <c r="I35" s="398"/>
      <c r="J35" s="398"/>
      <c r="K35" s="398"/>
      <c r="L35" s="398"/>
      <c r="M35" s="398"/>
      <c r="N35" s="398"/>
    </row>
    <row r="36" spans="1:14" hidden="1" x14ac:dyDescent="0.2">
      <c r="C36" s="2"/>
      <c r="D36" s="2"/>
      <c r="E36" s="2"/>
      <c r="F36" s="2"/>
      <c r="G36" s="2"/>
      <c r="H36" s="2"/>
      <c r="I36" s="398"/>
      <c r="J36" s="398"/>
      <c r="K36" s="398"/>
      <c r="L36" s="398"/>
      <c r="M36" s="398"/>
      <c r="N36" s="398"/>
    </row>
    <row r="37" spans="1:14" ht="25.8" hidden="1" thickBot="1" x14ac:dyDescent="0.25">
      <c r="A37" s="733" t="s">
        <v>722</v>
      </c>
      <c r="B37" s="734" t="s">
        <v>721</v>
      </c>
      <c r="C37" s="735" t="e">
        <f>C35/AVERAGE('Transmission Tariff_1'!B23:G23)</f>
        <v>#DIV/0!</v>
      </c>
      <c r="D37" s="2"/>
      <c r="E37" s="2"/>
      <c r="F37" s="2"/>
      <c r="G37" s="2"/>
      <c r="H37" s="2"/>
      <c r="I37" s="398"/>
      <c r="J37" s="398"/>
      <c r="K37" s="398"/>
      <c r="L37" s="398"/>
      <c r="M37" s="398"/>
      <c r="N37" s="398"/>
    </row>
    <row r="38" spans="1:14" hidden="1" x14ac:dyDescent="0.2">
      <c r="C38" s="2"/>
      <c r="D38" s="2"/>
      <c r="E38" s="2"/>
      <c r="F38" s="2"/>
      <c r="G38" s="2"/>
      <c r="H38" s="2"/>
      <c r="I38" s="398"/>
      <c r="J38" s="398"/>
      <c r="K38" s="398"/>
      <c r="L38" s="398"/>
      <c r="M38" s="398"/>
      <c r="N38" s="398"/>
    </row>
    <row r="39" spans="1:14" x14ac:dyDescent="0.2">
      <c r="C39" s="2"/>
      <c r="D39" s="2"/>
      <c r="E39" s="2"/>
      <c r="F39" s="2"/>
      <c r="G39" s="2"/>
      <c r="H39" s="2"/>
      <c r="I39" s="398"/>
      <c r="J39" s="398"/>
      <c r="K39" s="398"/>
      <c r="L39" s="398"/>
      <c r="M39" s="398"/>
      <c r="N39" s="398"/>
    </row>
    <row r="40" spans="1:14" ht="16.2" x14ac:dyDescent="0.3">
      <c r="A40" s="1723" t="s">
        <v>24</v>
      </c>
      <c r="C40" s="2"/>
      <c r="D40" s="2"/>
      <c r="E40" s="2"/>
      <c r="F40" s="2"/>
      <c r="G40" s="2"/>
      <c r="H40" s="2"/>
      <c r="I40" s="398"/>
      <c r="J40" s="398"/>
      <c r="K40" s="398"/>
      <c r="L40" s="398"/>
      <c r="M40" s="398"/>
      <c r="N40" s="398"/>
    </row>
    <row r="41" spans="1:14" ht="13.2" thickBot="1" x14ac:dyDescent="0.25">
      <c r="A41" s="1722"/>
      <c r="C41" s="2"/>
      <c r="D41" s="2"/>
      <c r="E41" s="2"/>
      <c r="F41" s="2"/>
      <c r="G41" s="2"/>
      <c r="H41" s="2"/>
      <c r="I41" s="398"/>
      <c r="J41" s="398"/>
      <c r="K41" s="398"/>
      <c r="L41" s="398"/>
      <c r="M41" s="398"/>
      <c r="N41" s="398"/>
    </row>
    <row r="42" spans="1:14" ht="29.25" customHeight="1" thickBot="1" x14ac:dyDescent="0.25">
      <c r="A42" s="2922" t="s">
        <v>990</v>
      </c>
      <c r="B42" s="2923"/>
      <c r="C42" s="2923"/>
      <c r="D42" s="2924"/>
      <c r="E42" s="2"/>
      <c r="F42" s="2"/>
      <c r="G42" s="2"/>
      <c r="H42" s="2"/>
      <c r="I42" s="398"/>
      <c r="J42" s="398"/>
      <c r="K42" s="398"/>
      <c r="L42" s="398"/>
      <c r="M42" s="398"/>
      <c r="N42" s="398"/>
    </row>
    <row r="43" spans="1:14" ht="13.2" thickBot="1" x14ac:dyDescent="0.25">
      <c r="A43" s="1722"/>
      <c r="C43" s="2"/>
      <c r="D43" s="2"/>
      <c r="E43" s="2"/>
      <c r="F43" s="2"/>
      <c r="G43" s="2"/>
      <c r="H43" s="2"/>
      <c r="I43" s="398"/>
      <c r="J43" s="398"/>
      <c r="K43" s="398"/>
      <c r="L43" s="398"/>
      <c r="M43" s="398"/>
      <c r="N43" s="398"/>
    </row>
    <row r="44" spans="1:14" ht="30" customHeight="1" x14ac:dyDescent="0.2">
      <c r="A44" s="94" t="s">
        <v>44</v>
      </c>
      <c r="B44" s="95" t="s">
        <v>36</v>
      </c>
      <c r="C44" s="427">
        <f>C5</f>
        <v>46023</v>
      </c>
      <c r="D44" s="427">
        <f t="shared" ref="D44:H44" si="5">D5</f>
        <v>46054</v>
      </c>
      <c r="E44" s="427">
        <f t="shared" si="5"/>
        <v>46082</v>
      </c>
      <c r="F44" s="427">
        <f t="shared" si="5"/>
        <v>46113</v>
      </c>
      <c r="G44" s="427">
        <f t="shared" si="5"/>
        <v>46143</v>
      </c>
      <c r="H44" s="1724">
        <f t="shared" si="5"/>
        <v>46174</v>
      </c>
    </row>
    <row r="45" spans="1:14" x14ac:dyDescent="0.2">
      <c r="A45" s="17"/>
      <c r="B45" s="8"/>
      <c r="C45" s="12"/>
      <c r="D45" s="12"/>
      <c r="E45" s="12"/>
      <c r="F45" s="12"/>
      <c r="G45" s="12"/>
      <c r="H45" s="15"/>
    </row>
    <row r="46" spans="1:14" x14ac:dyDescent="0.2">
      <c r="A46" s="17" t="s">
        <v>603</v>
      </c>
      <c r="B46" s="8"/>
      <c r="C46" s="12"/>
      <c r="D46" s="12"/>
      <c r="E46" s="12"/>
      <c r="F46" s="12"/>
      <c r="G46" s="12"/>
      <c r="H46" s="15"/>
    </row>
    <row r="47" spans="1:14" x14ac:dyDescent="0.2">
      <c r="A47" s="16" t="s">
        <v>48</v>
      </c>
      <c r="B47" s="12" t="s">
        <v>37</v>
      </c>
      <c r="C47" s="18" t="e">
        <f>'TOU loss factors'!C30</f>
        <v>#DIV/0!</v>
      </c>
      <c r="D47" s="18" t="e">
        <f>'TOU loss factors'!D30</f>
        <v>#DIV/0!</v>
      </c>
      <c r="E47" s="18" t="e">
        <f>'TOU loss factors'!E30</f>
        <v>#DIV/0!</v>
      </c>
      <c r="F47" s="18">
        <f>'TOU loss factors'!F30</f>
        <v>3.6353076923076925E-2</v>
      </c>
      <c r="G47" s="18">
        <f>'TOU loss factors'!G30</f>
        <v>3.6353076923076919E-2</v>
      </c>
      <c r="H47" s="19">
        <f>'TOU loss factors'!H30</f>
        <v>3.6353076923076932E-2</v>
      </c>
    </row>
    <row r="48" spans="1:14" x14ac:dyDescent="0.2">
      <c r="A48" s="16" t="s">
        <v>194</v>
      </c>
      <c r="B48" s="12" t="s">
        <v>88</v>
      </c>
      <c r="C48" s="702" t="e">
        <f>'Gen. Energy Cost'!E10</f>
        <v>#DIV/0!</v>
      </c>
      <c r="D48" s="702" t="e">
        <f>'Gen. Energy Cost'!N10</f>
        <v>#DIV/0!</v>
      </c>
      <c r="E48" s="702" t="e">
        <f>'Gen. Energy Cost'!T10</f>
        <v>#DIV/0!</v>
      </c>
      <c r="F48" s="702">
        <f>'Gen. Energy Cost'!Z10</f>
        <v>28.177081566807633</v>
      </c>
      <c r="G48" s="702">
        <f>'Gen. Energy Cost'!AF10</f>
        <v>22.33249940072373</v>
      </c>
      <c r="H48" s="703">
        <f>'Gen. Energy Cost'!AL10</f>
        <v>23.139323034382627</v>
      </c>
    </row>
    <row r="49" spans="1:8" x14ac:dyDescent="0.2">
      <c r="A49" s="14" t="s">
        <v>49</v>
      </c>
      <c r="B49" s="31" t="s">
        <v>88</v>
      </c>
      <c r="C49" s="704" t="e">
        <f>+(1+C47)*C48</f>
        <v>#DIV/0!</v>
      </c>
      <c r="D49" s="704" t="e">
        <f t="shared" ref="D49:H49" si="6">+(1+D47)*D48</f>
        <v>#DIV/0!</v>
      </c>
      <c r="E49" s="704" t="e">
        <f t="shared" si="6"/>
        <v>#DIV/0!</v>
      </c>
      <c r="F49" s="704">
        <f t="shared" si="6"/>
        <v>29.201405180473603</v>
      </c>
      <c r="G49" s="704">
        <f t="shared" si="6"/>
        <v>23.14435446932281</v>
      </c>
      <c r="H49" s="705">
        <f t="shared" si="6"/>
        <v>23.980508624599462</v>
      </c>
    </row>
    <row r="50" spans="1:8" x14ac:dyDescent="0.2">
      <c r="A50" s="14"/>
      <c r="B50" s="31" t="s">
        <v>56</v>
      </c>
      <c r="C50" s="704"/>
      <c r="D50" s="704"/>
      <c r="E50" s="704"/>
      <c r="F50" s="704"/>
      <c r="G50" s="704"/>
      <c r="H50" s="705"/>
    </row>
    <row r="51" spans="1:8" x14ac:dyDescent="0.2">
      <c r="A51" s="6"/>
      <c r="B51" s="8"/>
      <c r="C51" s="702"/>
      <c r="D51" s="702"/>
      <c r="E51" s="702"/>
      <c r="F51" s="702"/>
      <c r="G51" s="702"/>
      <c r="H51" s="703"/>
    </row>
    <row r="52" spans="1:8" x14ac:dyDescent="0.2">
      <c r="A52" s="17" t="s">
        <v>32</v>
      </c>
      <c r="B52" s="8"/>
      <c r="C52" s="702"/>
      <c r="D52" s="702"/>
      <c r="E52" s="702"/>
      <c r="F52" s="702"/>
      <c r="G52" s="702"/>
      <c r="H52" s="703"/>
    </row>
    <row r="53" spans="1:8" x14ac:dyDescent="0.2">
      <c r="A53" s="16" t="s">
        <v>195</v>
      </c>
      <c r="B53" s="12" t="s">
        <v>37</v>
      </c>
      <c r="C53" s="751" t="e">
        <f>'TOU loss factors'!C36</f>
        <v>#DIV/0!</v>
      </c>
      <c r="D53" s="751" t="e">
        <f>'TOU loss factors'!D36</f>
        <v>#DIV/0!</v>
      </c>
      <c r="E53" s="751" t="e">
        <f>'TOU loss factors'!E36</f>
        <v>#DIV/0!</v>
      </c>
      <c r="F53" s="751">
        <f>'TOU loss factors'!F36</f>
        <v>4.6428461538461537E-2</v>
      </c>
      <c r="G53" s="751">
        <f>'TOU loss factors'!G36</f>
        <v>4.6428461538461537E-2</v>
      </c>
      <c r="H53" s="752">
        <f>'TOU loss factors'!H36</f>
        <v>4.6428461538461537E-2</v>
      </c>
    </row>
    <row r="54" spans="1:8" x14ac:dyDescent="0.2">
      <c r="A54" s="16" t="s">
        <v>196</v>
      </c>
      <c r="B54" s="12" t="s">
        <v>88</v>
      </c>
      <c r="C54" s="702" t="e">
        <f>'Gen. Energy Cost'!E11</f>
        <v>#DIV/0!</v>
      </c>
      <c r="D54" s="702" t="e">
        <f>'Gen. Energy Cost'!N11</f>
        <v>#DIV/0!</v>
      </c>
      <c r="E54" s="702" t="e">
        <f>'Gen. Energy Cost'!T11</f>
        <v>#DIV/0!</v>
      </c>
      <c r="F54" s="702">
        <f>'Gen. Energy Cost'!Z11</f>
        <v>36.630206036849927</v>
      </c>
      <c r="G54" s="702">
        <f>'Gen. Energy Cost'!AF11</f>
        <v>29.032249220940852</v>
      </c>
      <c r="H54" s="703">
        <f>'Gen. Energy Cost'!AL11</f>
        <v>30.08111994469742</v>
      </c>
    </row>
    <row r="55" spans="1:8" x14ac:dyDescent="0.2">
      <c r="A55" s="14" t="s">
        <v>50</v>
      </c>
      <c r="B55" s="31" t="s">
        <v>88</v>
      </c>
      <c r="C55" s="704" t="e">
        <f t="shared" ref="C55:H55" si="7">+(1+C53)*C54</f>
        <v>#DIV/0!</v>
      </c>
      <c r="D55" s="704" t="e">
        <f t="shared" si="7"/>
        <v>#DIV/0!</v>
      </c>
      <c r="E55" s="704" t="e">
        <f t="shared" si="7"/>
        <v>#DIV/0!</v>
      </c>
      <c r="F55" s="704">
        <f t="shared" si="7"/>
        <v>38.330890148977737</v>
      </c>
      <c r="G55" s="704">
        <f t="shared" si="7"/>
        <v>30.380171887270336</v>
      </c>
      <c r="H55" s="705">
        <f t="shared" si="7"/>
        <v>31.477740065083655</v>
      </c>
    </row>
    <row r="56" spans="1:8" x14ac:dyDescent="0.2">
      <c r="A56" s="14"/>
      <c r="B56" s="31" t="s">
        <v>56</v>
      </c>
      <c r="C56" s="704"/>
      <c r="D56" s="704"/>
      <c r="E56" s="704"/>
      <c r="F56" s="704"/>
      <c r="G56" s="704"/>
      <c r="H56" s="705"/>
    </row>
    <row r="57" spans="1:8" x14ac:dyDescent="0.2">
      <c r="A57" s="6"/>
      <c r="B57" s="8"/>
      <c r="C57" s="702"/>
      <c r="D57" s="702"/>
      <c r="E57" s="702"/>
      <c r="F57" s="702"/>
      <c r="G57" s="702"/>
      <c r="H57" s="703"/>
    </row>
    <row r="58" spans="1:8" x14ac:dyDescent="0.2">
      <c r="A58" s="17" t="s">
        <v>33</v>
      </c>
      <c r="B58" s="8"/>
      <c r="C58" s="702"/>
      <c r="D58" s="702"/>
      <c r="E58" s="702"/>
      <c r="F58" s="702"/>
      <c r="G58" s="702"/>
      <c r="H58" s="703"/>
    </row>
    <row r="59" spans="1:8" x14ac:dyDescent="0.2">
      <c r="A59" s="16" t="s">
        <v>197</v>
      </c>
      <c r="B59" s="12" t="s">
        <v>37</v>
      </c>
      <c r="C59" s="751" t="e">
        <f>'TOU loss factors'!C42</f>
        <v>#DIV/0!</v>
      </c>
      <c r="D59" s="751" t="e">
        <f>'TOU loss factors'!D42</f>
        <v>#DIV/0!</v>
      </c>
      <c r="E59" s="751" t="e">
        <f>'TOU loss factors'!E42</f>
        <v>#DIV/0!</v>
      </c>
      <c r="F59" s="751">
        <f>'TOU loss factors'!F42</f>
        <v>2.5733076923076924E-2</v>
      </c>
      <c r="G59" s="751">
        <f>'TOU loss factors'!G42</f>
        <v>2.5733076923076924E-2</v>
      </c>
      <c r="H59" s="752">
        <f>'TOU loss factors'!H42</f>
        <v>2.5733076923076921E-2</v>
      </c>
    </row>
    <row r="60" spans="1:8" x14ac:dyDescent="0.2">
      <c r="A60" s="16" t="s">
        <v>198</v>
      </c>
      <c r="B60" s="12" t="s">
        <v>88</v>
      </c>
      <c r="C60" s="702" t="e">
        <f>'Gen. Energy Cost'!E12</f>
        <v>#DIV/0!</v>
      </c>
      <c r="D60" s="702" t="e">
        <f>'Gen. Energy Cost'!N12</f>
        <v>#DIV/0!</v>
      </c>
      <c r="E60" s="702" t="e">
        <f>'Gen. Energy Cost'!T12</f>
        <v>#DIV/0!</v>
      </c>
      <c r="F60" s="702">
        <f>'Gen. Energy Cost'!Z12</f>
        <v>16.906248940084581</v>
      </c>
      <c r="G60" s="702">
        <f>'Gen. Energy Cost'!AF12</f>
        <v>13.399499640434238</v>
      </c>
      <c r="H60" s="703">
        <f>'Gen. Energy Cost'!AL12</f>
        <v>13.883593820629576</v>
      </c>
    </row>
    <row r="61" spans="1:8" x14ac:dyDescent="0.2">
      <c r="A61" s="14" t="s">
        <v>51</v>
      </c>
      <c r="B61" s="31" t="s">
        <v>88</v>
      </c>
      <c r="C61" s="704" t="e">
        <f t="shared" ref="C61:H61" si="8">+(1+C59)*C60</f>
        <v>#DIV/0!</v>
      </c>
      <c r="D61" s="704" t="e">
        <f t="shared" si="8"/>
        <v>#DIV/0!</v>
      </c>
      <c r="E61" s="704" t="e">
        <f t="shared" si="8"/>
        <v>#DIV/0!</v>
      </c>
      <c r="F61" s="704">
        <f t="shared" si="8"/>
        <v>17.341298744540467</v>
      </c>
      <c r="G61" s="704">
        <f t="shared" si="8"/>
        <v>13.744309995412275</v>
      </c>
      <c r="H61" s="705">
        <f t="shared" si="8"/>
        <v>14.240861408384594</v>
      </c>
    </row>
    <row r="62" spans="1:8" ht="13.2" thickBot="1" x14ac:dyDescent="0.25">
      <c r="A62" s="10"/>
      <c r="B62" s="32" t="s">
        <v>56</v>
      </c>
      <c r="C62" s="706"/>
      <c r="D62" s="706"/>
      <c r="E62" s="706"/>
      <c r="F62" s="706"/>
      <c r="G62" s="706"/>
      <c r="H62" s="707"/>
    </row>
    <row r="63" spans="1:8" ht="13.2" thickBot="1" x14ac:dyDescent="0.25"/>
    <row r="64" spans="1:8" ht="25.2" x14ac:dyDescent="0.2">
      <c r="A64" s="339" t="s">
        <v>199</v>
      </c>
      <c r="B64" s="340" t="s">
        <v>88</v>
      </c>
      <c r="C64" s="393" t="e">
        <f>SUMPRODUCT(C49:H49,'TR &amp; BSS, TLF'!C50:H50)/SUM('TR &amp; BSS, TLF'!C50:H50)</f>
        <v>#DIV/0!</v>
      </c>
      <c r="D64" s="331"/>
      <c r="E64" s="165"/>
      <c r="F64" s="345"/>
      <c r="G64" s="165"/>
    </row>
    <row r="65" spans="1:9" ht="25.2" x14ac:dyDescent="0.2">
      <c r="A65" s="341" t="s">
        <v>200</v>
      </c>
      <c r="B65" s="342" t="s">
        <v>88</v>
      </c>
      <c r="C65" s="394" t="e">
        <f>SUMPRODUCT(C55:H55,'TR &amp; BSS, TLF'!C56:H56)/SUM('TR &amp; BSS, TLF'!C56:H56)</f>
        <v>#DIV/0!</v>
      </c>
      <c r="D65" s="331"/>
      <c r="E65" s="165"/>
      <c r="F65" s="346"/>
      <c r="G65" s="165"/>
      <c r="I65" s="216"/>
    </row>
    <row r="66" spans="1:9" ht="25.8" thickBot="1" x14ac:dyDescent="0.25">
      <c r="A66" s="343" t="s">
        <v>201</v>
      </c>
      <c r="B66" s="344" t="s">
        <v>88</v>
      </c>
      <c r="C66" s="395" t="e">
        <f>SUMPRODUCT(C61:H61,'TR &amp; BSS, TLF'!C62:H62)/SUM('TR &amp; BSS, TLF'!C62:H62)</f>
        <v>#DIV/0!</v>
      </c>
      <c r="D66" s="331"/>
      <c r="E66" s="165"/>
      <c r="G66" s="165"/>
      <c r="I66" s="216"/>
    </row>
    <row r="67" spans="1:9" x14ac:dyDescent="0.2">
      <c r="D67" s="165"/>
      <c r="I67" s="216"/>
    </row>
    <row r="68" spans="1:9" ht="13.2" thickBot="1" x14ac:dyDescent="0.25">
      <c r="D68" s="165"/>
      <c r="I68" s="216"/>
    </row>
    <row r="69" spans="1:9" ht="26.25" customHeight="1" thickBot="1" x14ac:dyDescent="0.25">
      <c r="A69" s="2922" t="s">
        <v>1031</v>
      </c>
      <c r="B69" s="2923"/>
      <c r="C69" s="2923"/>
      <c r="D69" s="2924"/>
      <c r="I69" s="216"/>
    </row>
    <row r="70" spans="1:9" ht="13.2" thickBot="1" x14ac:dyDescent="0.25">
      <c r="E70" s="331"/>
      <c r="I70" s="216"/>
    </row>
    <row r="71" spans="1:9" ht="25.2" x14ac:dyDescent="0.2">
      <c r="A71" s="753" t="s">
        <v>199</v>
      </c>
      <c r="B71" s="754" t="s">
        <v>88</v>
      </c>
      <c r="C71" s="755" t="e">
        <f>C64*(1-D90)</f>
        <v>#DIV/0!</v>
      </c>
      <c r="I71" s="216"/>
    </row>
    <row r="72" spans="1:9" ht="25.2" x14ac:dyDescent="0.2">
      <c r="A72" s="756" t="s">
        <v>200</v>
      </c>
      <c r="B72" s="757" t="s">
        <v>88</v>
      </c>
      <c r="C72" s="758" t="e">
        <f t="shared" ref="C72:C73" si="9">C65*(1-D91)</f>
        <v>#DIV/0!</v>
      </c>
      <c r="I72" s="216"/>
    </row>
    <row r="73" spans="1:9" ht="25.8" thickBot="1" x14ac:dyDescent="0.25">
      <c r="A73" s="759" t="s">
        <v>201</v>
      </c>
      <c r="B73" s="760" t="s">
        <v>88</v>
      </c>
      <c r="C73" s="761" t="e">
        <f t="shared" si="9"/>
        <v>#DIV/0!</v>
      </c>
      <c r="I73" s="216"/>
    </row>
    <row r="74" spans="1:9" x14ac:dyDescent="0.2">
      <c r="I74" s="216"/>
    </row>
    <row r="75" spans="1:9" ht="13.2" thickBot="1" x14ac:dyDescent="0.25">
      <c r="I75" s="216"/>
    </row>
    <row r="76" spans="1:9" ht="26.25" customHeight="1" thickBot="1" x14ac:dyDescent="0.25">
      <c r="A76" s="2922" t="s">
        <v>992</v>
      </c>
      <c r="B76" s="2923"/>
      <c r="C76" s="2923"/>
      <c r="D76" s="2924"/>
      <c r="G76" s="1117"/>
      <c r="I76" s="216"/>
    </row>
    <row r="77" spans="1:9" ht="13.2" thickBot="1" x14ac:dyDescent="0.25">
      <c r="I77" s="216"/>
    </row>
    <row r="78" spans="1:9" ht="25.2" x14ac:dyDescent="0.2">
      <c r="A78" s="753" t="s">
        <v>199</v>
      </c>
      <c r="B78" s="754" t="s">
        <v>88</v>
      </c>
      <c r="C78" s="755" t="e">
        <f>C71*(1-C90)</f>
        <v>#DIV/0!</v>
      </c>
      <c r="I78" s="216"/>
    </row>
    <row r="79" spans="1:9" ht="25.2" x14ac:dyDescent="0.2">
      <c r="A79" s="756" t="s">
        <v>200</v>
      </c>
      <c r="B79" s="757" t="s">
        <v>88</v>
      </c>
      <c r="C79" s="758" t="e">
        <f t="shared" ref="C79:C80" si="10">C72*(1-C91)</f>
        <v>#DIV/0!</v>
      </c>
      <c r="I79" s="216"/>
    </row>
    <row r="80" spans="1:9" ht="25.8" thickBot="1" x14ac:dyDescent="0.25">
      <c r="A80" s="759" t="s">
        <v>201</v>
      </c>
      <c r="B80" s="760" t="s">
        <v>88</v>
      </c>
      <c r="C80" s="761" t="e">
        <f t="shared" si="10"/>
        <v>#DIV/0!</v>
      </c>
      <c r="I80" s="216"/>
    </row>
    <row r="81" spans="1:9" x14ac:dyDescent="0.2">
      <c r="I81" s="216"/>
    </row>
    <row r="82" spans="1:9" x14ac:dyDescent="0.2">
      <c r="I82" s="216"/>
    </row>
    <row r="83" spans="1:9" x14ac:dyDescent="0.2">
      <c r="C83" s="184"/>
      <c r="D83" s="184"/>
      <c r="E83" s="184"/>
      <c r="I83" s="216"/>
    </row>
    <row r="84" spans="1:9" x14ac:dyDescent="0.2">
      <c r="C84" s="184"/>
      <c r="D84" s="184"/>
      <c r="E84" s="184"/>
      <c r="I84" s="216"/>
    </row>
    <row r="85" spans="1:9" x14ac:dyDescent="0.2">
      <c r="C85" s="184"/>
      <c r="D85" s="184"/>
      <c r="E85" s="184"/>
      <c r="I85" s="216"/>
    </row>
    <row r="86" spans="1:9" x14ac:dyDescent="0.2">
      <c r="A86" s="1709" t="s">
        <v>1032</v>
      </c>
      <c r="B86" s="994"/>
      <c r="C86" s="1710">
        <f>'Loss %'!C7/100</f>
        <v>2.6296495346279491E-2</v>
      </c>
      <c r="D86" s="184"/>
      <c r="E86" s="184"/>
      <c r="I86" s="216"/>
    </row>
    <row r="87" spans="1:9" x14ac:dyDescent="0.2">
      <c r="A87" s="1709" t="s">
        <v>1033</v>
      </c>
      <c r="B87" s="994"/>
      <c r="C87" s="1710">
        <f>'Loss %'!C6/100</f>
        <v>3.5400000000000001E-2</v>
      </c>
    </row>
    <row r="88" spans="1:9" x14ac:dyDescent="0.2">
      <c r="D88" s="165"/>
    </row>
    <row r="89" spans="1:9" x14ac:dyDescent="0.2">
      <c r="A89" s="1711" t="s">
        <v>1038</v>
      </c>
      <c r="B89" s="1712" t="s">
        <v>1039</v>
      </c>
      <c r="C89" s="1712">
        <v>220</v>
      </c>
      <c r="D89" s="1712">
        <v>132</v>
      </c>
    </row>
    <row r="90" spans="1:9" x14ac:dyDescent="0.2">
      <c r="A90" s="1711" t="s">
        <v>915</v>
      </c>
      <c r="B90" s="1719">
        <f>0.0267/2.6</f>
        <v>1.026923076923077E-2</v>
      </c>
      <c r="C90" s="1720">
        <f>C87*B90*100</f>
        <v>3.6353076923076932E-2</v>
      </c>
      <c r="D90" s="1720">
        <f>C86*B90*100</f>
        <v>2.7004477913294713E-2</v>
      </c>
    </row>
    <row r="91" spans="1:9" x14ac:dyDescent="0.2">
      <c r="A91" s="1711" t="s">
        <v>916</v>
      </c>
      <c r="B91" s="1719">
        <f>0.0341/2.6</f>
        <v>1.3115384615384614E-2</v>
      </c>
      <c r="C91" s="1720">
        <f>C87*B91*100</f>
        <v>4.6428461538461537E-2</v>
      </c>
      <c r="D91" s="1720">
        <f>C86*B91*100</f>
        <v>3.4488865050312713E-2</v>
      </c>
    </row>
    <row r="92" spans="1:9" x14ac:dyDescent="0.2">
      <c r="A92" s="1711" t="s">
        <v>1035</v>
      </c>
      <c r="B92" s="1719">
        <f>0.0189/2.6</f>
        <v>7.2692307692307691E-3</v>
      </c>
      <c r="C92" s="1720">
        <f>C87*B92*100</f>
        <v>2.5733076923076924E-2</v>
      </c>
      <c r="D92" s="1720">
        <f>B92*C86*100</f>
        <v>1.9115529309410861E-2</v>
      </c>
    </row>
    <row r="93" spans="1:9" x14ac:dyDescent="0.2">
      <c r="B93" s="322"/>
    </row>
    <row r="95" spans="1:9" x14ac:dyDescent="0.2">
      <c r="C95" s="314"/>
      <c r="D95" s="314"/>
    </row>
    <row r="96" spans="1:9" x14ac:dyDescent="0.2">
      <c r="C96" s="314"/>
      <c r="D96" s="314"/>
    </row>
    <row r="97" spans="3:4" x14ac:dyDescent="0.2">
      <c r="C97" s="314"/>
      <c r="D97" s="314"/>
    </row>
    <row r="99" spans="3:4" x14ac:dyDescent="0.2">
      <c r="C99" s="1721"/>
      <c r="D99" s="1721"/>
    </row>
    <row r="100" spans="3:4" x14ac:dyDescent="0.2">
      <c r="C100" s="1721"/>
      <c r="D100" s="1721"/>
    </row>
    <row r="101" spans="3:4" x14ac:dyDescent="0.2">
      <c r="C101" s="1721"/>
      <c r="D101" s="1721"/>
    </row>
    <row r="102" spans="3:4" x14ac:dyDescent="0.2">
      <c r="C102" s="1721"/>
      <c r="D102" s="1721"/>
    </row>
  </sheetData>
  <mergeCells count="5">
    <mergeCell ref="A2:B2"/>
    <mergeCell ref="A26:B26"/>
    <mergeCell ref="A69:D69"/>
    <mergeCell ref="A76:D76"/>
    <mergeCell ref="A42:D42"/>
  </mergeCells>
  <pageMargins left="0.87" right="0.19" top="1" bottom="0.33" header="0" footer="0"/>
  <pageSetup paperSize="9" scale="54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29729" r:id="rId4" name="CommandButton1">
          <controlPr defaultSize="0" autoLine="0" r:id="rId5">
            <anchor moveWithCells="1">
              <from>
                <xdr:col>2</xdr:col>
                <xdr:colOff>30480</xdr:colOff>
                <xdr:row>12</xdr:row>
                <xdr:rowOff>0</xdr:rowOff>
              </from>
              <to>
                <xdr:col>2</xdr:col>
                <xdr:colOff>784860</xdr:colOff>
                <xdr:row>38</xdr:row>
                <xdr:rowOff>114300</xdr:rowOff>
              </to>
            </anchor>
          </controlPr>
        </control>
      </mc:Choice>
      <mc:Fallback>
        <control shapeId="329729" r:id="rId4" name="CommandButton1"/>
      </mc:Fallback>
    </mc:AlternateContent>
  </control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8">
    <tabColor rgb="FF00B050"/>
  </sheetPr>
  <dimension ref="A1:I128"/>
  <sheetViews>
    <sheetView showGridLines="0" workbookViewId="0">
      <selection activeCell="B2" sqref="B2"/>
    </sheetView>
  </sheetViews>
  <sheetFormatPr defaultColWidth="11" defaultRowHeight="12.6" x14ac:dyDescent="0.2"/>
  <cols>
    <col min="1" max="1" width="65.36328125" customWidth="1"/>
    <col min="3" max="3" width="21" bestFit="1" customWidth="1"/>
    <col min="4" max="8" width="19" bestFit="1" customWidth="1"/>
    <col min="9" max="9" width="12.7265625" bestFit="1" customWidth="1"/>
  </cols>
  <sheetData>
    <row r="1" spans="1:9" s="27" customFormat="1" ht="16.2" x14ac:dyDescent="0.3">
      <c r="A1" s="3" t="s">
        <v>34</v>
      </c>
      <c r="I1" s="586"/>
    </row>
    <row r="3" spans="1:9" ht="27.75" customHeight="1" thickBot="1" x14ac:dyDescent="0.25">
      <c r="A3" s="1626" t="s">
        <v>43</v>
      </c>
      <c r="B3" s="1627" t="s">
        <v>36</v>
      </c>
      <c r="C3" s="1628">
        <f>'Gen. Energy Cost 33'!C21</f>
        <v>46023</v>
      </c>
      <c r="D3" s="1628">
        <f>'Gen. Energy Cost 33'!D21</f>
        <v>46054</v>
      </c>
      <c r="E3" s="1628">
        <f>'Gen. Energy Cost 33'!E21</f>
        <v>46082</v>
      </c>
      <c r="F3" s="1628">
        <f>'Gen. Energy Cost 33'!F21</f>
        <v>46113</v>
      </c>
      <c r="G3" s="1628">
        <f>'Gen. Energy Cost 33'!G21</f>
        <v>46143</v>
      </c>
      <c r="H3" s="1628">
        <f>'Gen. Energy Cost 33'!H21</f>
        <v>46174</v>
      </c>
    </row>
    <row r="4" spans="1:9" x14ac:dyDescent="0.2">
      <c r="A4" s="8" t="s">
        <v>63</v>
      </c>
      <c r="B4" s="160" t="s">
        <v>60</v>
      </c>
      <c r="C4" s="1631">
        <f>'TR &amp; BSS, TLF'!C4</f>
        <v>1713.174254027025</v>
      </c>
      <c r="D4" s="1631">
        <f>'TR &amp; BSS, TLF'!D4</f>
        <v>1713.174254027025</v>
      </c>
      <c r="E4" s="1631">
        <f>'TR &amp; BSS, TLF'!E4</f>
        <v>1713.174254027025</v>
      </c>
      <c r="F4" s="1631">
        <f>'TR &amp; BSS, TLF'!F4</f>
        <v>1713.174254027025</v>
      </c>
      <c r="G4" s="1631">
        <f>'TR &amp; BSS, TLF'!G4</f>
        <v>1713.174254027025</v>
      </c>
      <c r="H4" s="1631">
        <f>'TR &amp; BSS, TLF'!H4</f>
        <v>1713.174254027025</v>
      </c>
      <c r="I4" s="310"/>
    </row>
    <row r="5" spans="1:9" ht="12" customHeight="1" x14ac:dyDescent="0.2">
      <c r="A5" s="8" t="s">
        <v>64</v>
      </c>
      <c r="B5" s="160" t="s">
        <v>60</v>
      </c>
      <c r="C5" s="1631">
        <f>'TR &amp; BSS, TLF'!C5</f>
        <v>176.21274354923665</v>
      </c>
      <c r="D5" s="1631">
        <f>'TR &amp; BSS, TLF'!D5</f>
        <v>176.21274354923665</v>
      </c>
      <c r="E5" s="1631">
        <f>'TR &amp; BSS, TLF'!E5</f>
        <v>176.21274354923665</v>
      </c>
      <c r="F5" s="1631">
        <f>'TR &amp; BSS, TLF'!F5</f>
        <v>176.21274354923665</v>
      </c>
      <c r="G5" s="1631">
        <f>'TR &amp; BSS, TLF'!G5</f>
        <v>176.21274354923665</v>
      </c>
      <c r="H5" s="1631">
        <f>'TR &amp; BSS, TLF'!H5</f>
        <v>176.21274354923665</v>
      </c>
      <c r="I5" s="310"/>
    </row>
    <row r="6" spans="1:9" x14ac:dyDescent="0.2">
      <c r="A6" s="512" t="s">
        <v>593</v>
      </c>
      <c r="B6" s="1632" t="s">
        <v>60</v>
      </c>
      <c r="C6" s="1642">
        <f>'TR &amp; BSS, TLF'!C7</f>
        <v>422.73156150209502</v>
      </c>
      <c r="D6" s="1643">
        <f>'TR &amp; BSS, TLF'!D7</f>
        <v>406.44756718810402</v>
      </c>
      <c r="E6" s="1643">
        <f>'TR &amp; BSS, TLF'!E7</f>
        <v>407.24117565498699</v>
      </c>
      <c r="F6" s="1643">
        <f>'TR &amp; BSS, TLF'!F7</f>
        <v>494.45053526853002</v>
      </c>
      <c r="G6" s="1643">
        <f>'TR &amp; BSS, TLF'!G7</f>
        <v>492.80408745915202</v>
      </c>
      <c r="H6" s="1644">
        <f>'TR &amp; BSS, TLF'!H7</f>
        <v>632.09219442429401</v>
      </c>
      <c r="I6" s="310"/>
    </row>
    <row r="7" spans="1:9" x14ac:dyDescent="0.2">
      <c r="B7" s="2"/>
      <c r="C7" s="1633"/>
      <c r="D7" s="1633"/>
      <c r="E7" s="1633"/>
      <c r="F7" s="1633"/>
      <c r="G7" s="1633"/>
      <c r="H7" s="1633"/>
    </row>
    <row r="8" spans="1:9" x14ac:dyDescent="0.2">
      <c r="A8" s="47" t="s">
        <v>913</v>
      </c>
      <c r="B8" s="47" t="s">
        <v>912</v>
      </c>
      <c r="C8" s="1634">
        <f>'Loss %'!C4</f>
        <v>1566.6</v>
      </c>
      <c r="D8" s="1635"/>
      <c r="E8" s="1633"/>
      <c r="F8" s="1635"/>
      <c r="G8" s="1633"/>
      <c r="H8" s="1633"/>
    </row>
    <row r="9" spans="1:9" x14ac:dyDescent="0.2">
      <c r="A9" s="47" t="s">
        <v>911</v>
      </c>
      <c r="B9" s="47" t="s">
        <v>912</v>
      </c>
      <c r="C9" s="1634">
        <f>'Loss %'!C3</f>
        <v>4525.3</v>
      </c>
      <c r="D9" s="1635"/>
      <c r="E9" s="1633"/>
      <c r="F9" s="1635"/>
      <c r="G9" s="1633"/>
      <c r="H9" s="1633"/>
    </row>
    <row r="10" spans="1:9" x14ac:dyDescent="0.2">
      <c r="A10" s="47" t="s">
        <v>914</v>
      </c>
      <c r="B10" s="47" t="s">
        <v>912</v>
      </c>
      <c r="C10" s="1634">
        <f>C9+C8</f>
        <v>6091.9</v>
      </c>
      <c r="D10" s="1633"/>
      <c r="F10" s="1633"/>
      <c r="G10" s="1633"/>
      <c r="H10" s="1633"/>
    </row>
    <row r="11" spans="1:9" x14ac:dyDescent="0.2">
      <c r="B11" s="2"/>
      <c r="C11" s="1633"/>
      <c r="D11" s="1633"/>
      <c r="E11" s="1633"/>
      <c r="F11" s="1633"/>
      <c r="G11" s="1633"/>
      <c r="H11" s="1633"/>
    </row>
    <row r="12" spans="1:9" x14ac:dyDescent="0.2">
      <c r="B12" s="2"/>
      <c r="C12" s="1633"/>
      <c r="D12" s="1633"/>
      <c r="E12" s="1633"/>
      <c r="F12" s="1633"/>
      <c r="G12" s="1633"/>
      <c r="H12" s="1633"/>
    </row>
    <row r="13" spans="1:9" ht="13.2" thickBot="1" x14ac:dyDescent="0.25">
      <c r="A13" s="1" t="s">
        <v>954</v>
      </c>
      <c r="B13" s="2"/>
      <c r="C13" s="1633"/>
      <c r="D13" s="1633"/>
      <c r="E13" s="1633"/>
      <c r="F13" s="1633"/>
      <c r="G13" s="1633"/>
      <c r="H13" s="1633"/>
    </row>
    <row r="14" spans="1:9" ht="13.2" thickBot="1" x14ac:dyDescent="0.25">
      <c r="A14" s="323" t="s">
        <v>43</v>
      </c>
      <c r="B14" s="175" t="s">
        <v>36</v>
      </c>
      <c r="C14" s="1628">
        <f t="shared" ref="C14:H14" si="0">C3</f>
        <v>46023</v>
      </c>
      <c r="D14" s="1629">
        <f t="shared" si="0"/>
        <v>46054</v>
      </c>
      <c r="E14" s="1629">
        <f t="shared" si="0"/>
        <v>46082</v>
      </c>
      <c r="F14" s="1629">
        <f t="shared" si="0"/>
        <v>46113</v>
      </c>
      <c r="G14" s="1629">
        <f t="shared" si="0"/>
        <v>46143</v>
      </c>
      <c r="H14" s="1630">
        <f t="shared" si="0"/>
        <v>46174</v>
      </c>
    </row>
    <row r="15" spans="1:9" x14ac:dyDescent="0.2">
      <c r="A15" s="6" t="s">
        <v>63</v>
      </c>
      <c r="B15" s="160" t="s">
        <v>60</v>
      </c>
      <c r="C15" s="1636">
        <f t="shared" ref="C15:H15" si="1">(C4/$C$10)*$C$8</f>
        <v>440.56185859235006</v>
      </c>
      <c r="D15" s="1636">
        <f t="shared" si="1"/>
        <v>440.56185859235006</v>
      </c>
      <c r="E15" s="1636">
        <f t="shared" si="1"/>
        <v>440.56185859235006</v>
      </c>
      <c r="F15" s="1636">
        <f t="shared" si="1"/>
        <v>440.56185859235006</v>
      </c>
      <c r="G15" s="1636">
        <f t="shared" si="1"/>
        <v>440.56185859235006</v>
      </c>
      <c r="H15" s="1636">
        <f t="shared" si="1"/>
        <v>440.56185859235006</v>
      </c>
    </row>
    <row r="16" spans="1:9" x14ac:dyDescent="0.2">
      <c r="A16" s="6" t="s">
        <v>64</v>
      </c>
      <c r="B16" s="12" t="s">
        <v>60</v>
      </c>
      <c r="C16" s="1637">
        <f t="shared" ref="C16:H16" si="2">((C5+C6)/$C$10)*$C$8</f>
        <v>154.02520532074001</v>
      </c>
      <c r="D16" s="1637">
        <f t="shared" si="2"/>
        <v>149.8375946422492</v>
      </c>
      <c r="E16" s="1637">
        <f t="shared" si="2"/>
        <v>150.04167990698087</v>
      </c>
      <c r="F16" s="1637">
        <f t="shared" si="2"/>
        <v>172.46853897731631</v>
      </c>
      <c r="G16" s="1637">
        <f t="shared" si="2"/>
        <v>172.04513656785923</v>
      </c>
      <c r="H16" s="1637">
        <f t="shared" si="2"/>
        <v>207.86462611489569</v>
      </c>
    </row>
    <row r="17" spans="1:9" ht="13.2" thickBot="1" x14ac:dyDescent="0.25">
      <c r="A17" s="13" t="s">
        <v>35</v>
      </c>
      <c r="B17" s="366" t="s">
        <v>39</v>
      </c>
      <c r="C17" s="1638">
        <f>'Gen. Capacity 220'!C8</f>
        <v>0</v>
      </c>
      <c r="D17" s="1638">
        <f>'Gen. Capacity 220'!D8</f>
        <v>0</v>
      </c>
      <c r="E17" s="1638">
        <f>'Gen. Capacity 220'!E8</f>
        <v>0</v>
      </c>
      <c r="F17" s="1638">
        <f>'Gen. Capacity 220'!F8</f>
        <v>1642.0165860808311</v>
      </c>
      <c r="G17" s="1638">
        <f>'Gen. Capacity 220'!G8</f>
        <v>1651.3599339260745</v>
      </c>
      <c r="H17" s="1638">
        <f>'Gen. Capacity 220'!H8</f>
        <v>1553.5606771555347</v>
      </c>
    </row>
    <row r="18" spans="1:9" x14ac:dyDescent="0.2">
      <c r="B18" s="2"/>
      <c r="C18" s="1639"/>
      <c r="D18" s="1639"/>
      <c r="E18" s="1639"/>
      <c r="F18" s="1639"/>
      <c r="G18" s="1639"/>
      <c r="H18" s="1639"/>
    </row>
    <row r="19" spans="1:9" ht="13.2" thickBot="1" x14ac:dyDescent="0.25">
      <c r="A19" s="1" t="s">
        <v>953</v>
      </c>
      <c r="B19" s="2"/>
      <c r="C19" s="1633"/>
      <c r="D19" s="1633"/>
      <c r="E19" s="1633"/>
      <c r="F19" s="1633"/>
      <c r="G19" s="1633"/>
      <c r="H19" s="1633"/>
    </row>
    <row r="20" spans="1:9" ht="13.2" thickBot="1" x14ac:dyDescent="0.25">
      <c r="A20" s="323" t="s">
        <v>43</v>
      </c>
      <c r="B20" s="175" t="s">
        <v>36</v>
      </c>
      <c r="C20" s="1628">
        <f t="shared" ref="C20:H20" si="3">C14</f>
        <v>46023</v>
      </c>
      <c r="D20" s="1629">
        <f t="shared" si="3"/>
        <v>46054</v>
      </c>
      <c r="E20" s="1629">
        <f t="shared" si="3"/>
        <v>46082</v>
      </c>
      <c r="F20" s="1629">
        <f t="shared" si="3"/>
        <v>46113</v>
      </c>
      <c r="G20" s="1629">
        <f t="shared" si="3"/>
        <v>46143</v>
      </c>
      <c r="H20" s="1630">
        <f t="shared" si="3"/>
        <v>46174</v>
      </c>
    </row>
    <row r="21" spans="1:9" x14ac:dyDescent="0.2">
      <c r="A21" s="6" t="s">
        <v>63</v>
      </c>
      <c r="B21" s="160" t="s">
        <v>60</v>
      </c>
      <c r="C21" s="1636">
        <f t="shared" ref="C21:H21" si="4">(C4/$C$10)*$C$9</f>
        <v>1272.6123954346751</v>
      </c>
      <c r="D21" s="1636">
        <f t="shared" si="4"/>
        <v>1272.6123954346751</v>
      </c>
      <c r="E21" s="1636">
        <f t="shared" si="4"/>
        <v>1272.6123954346751</v>
      </c>
      <c r="F21" s="1636">
        <f t="shared" si="4"/>
        <v>1272.6123954346751</v>
      </c>
      <c r="G21" s="1636">
        <f t="shared" si="4"/>
        <v>1272.6123954346751</v>
      </c>
      <c r="H21" s="1636">
        <f t="shared" si="4"/>
        <v>1272.6123954346751</v>
      </c>
    </row>
    <row r="22" spans="1:9" x14ac:dyDescent="0.2">
      <c r="A22" s="6" t="s">
        <v>64</v>
      </c>
      <c r="B22" s="12" t="s">
        <v>60</v>
      </c>
      <c r="C22" s="1637">
        <f t="shared" ref="C22:H22" si="5">((C5+C6)/$C$10)*$C$9</f>
        <v>444.91909973059165</v>
      </c>
      <c r="D22" s="1637">
        <f t="shared" si="5"/>
        <v>432.82271609509149</v>
      </c>
      <c r="E22" s="1637">
        <f t="shared" si="5"/>
        <v>433.41223929724282</v>
      </c>
      <c r="F22" s="1637">
        <f t="shared" si="5"/>
        <v>498.19473984045044</v>
      </c>
      <c r="G22" s="1637">
        <f t="shared" si="5"/>
        <v>496.97169444052946</v>
      </c>
      <c r="H22" s="1637">
        <f t="shared" si="5"/>
        <v>600.44031185863491</v>
      </c>
    </row>
    <row r="23" spans="1:9" ht="13.2" thickBot="1" x14ac:dyDescent="0.25">
      <c r="A23" s="13" t="s">
        <v>35</v>
      </c>
      <c r="B23" s="366" t="s">
        <v>39</v>
      </c>
      <c r="C23" s="1638">
        <f>'Gen. Capacity 132'!C11</f>
        <v>-15.464973200144652</v>
      </c>
      <c r="D23" s="1638">
        <f>'Gen. Capacity 132'!D11</f>
        <v>-15.109534628128094</v>
      </c>
      <c r="E23" s="1638">
        <f>'Gen. Capacity 132'!E11</f>
        <v>-15.392322709502169</v>
      </c>
      <c r="F23" s="1638">
        <f>'Gen. Capacity 132'!F11</f>
        <v>2110.0989642963909</v>
      </c>
      <c r="G23" s="1638">
        <f>'Gen. Capacity 132'!G11</f>
        <v>2196.5355779232659</v>
      </c>
      <c r="H23" s="1638">
        <f>'Gen. Capacity 132'!H11</f>
        <v>2082.613832659134</v>
      </c>
    </row>
    <row r="24" spans="1:9" x14ac:dyDescent="0.2">
      <c r="B24" s="2"/>
      <c r="C24" s="1633"/>
      <c r="D24" s="1633"/>
      <c r="E24" s="1633"/>
      <c r="F24" s="1633"/>
      <c r="G24" s="1633"/>
      <c r="H24" s="1633"/>
    </row>
    <row r="25" spans="1:9" ht="13.2" thickBot="1" x14ac:dyDescent="0.25">
      <c r="A25" s="1" t="s">
        <v>684</v>
      </c>
      <c r="B25" s="2"/>
      <c r="C25" s="1633"/>
      <c r="D25" s="1633"/>
      <c r="E25" s="1633"/>
      <c r="F25" s="1633"/>
      <c r="G25" s="1633"/>
      <c r="H25" s="1633"/>
    </row>
    <row r="26" spans="1:9" ht="13.2" thickBot="1" x14ac:dyDescent="0.25">
      <c r="A26" s="323" t="s">
        <v>43</v>
      </c>
      <c r="B26" s="175" t="s">
        <v>36</v>
      </c>
      <c r="C26" s="1628">
        <f t="shared" ref="C26:H26" si="6">C20</f>
        <v>46023</v>
      </c>
      <c r="D26" s="1629">
        <f t="shared" si="6"/>
        <v>46054</v>
      </c>
      <c r="E26" s="1629">
        <f t="shared" si="6"/>
        <v>46082</v>
      </c>
      <c r="F26" s="1629">
        <f t="shared" si="6"/>
        <v>46113</v>
      </c>
      <c r="G26" s="1629">
        <f t="shared" si="6"/>
        <v>46143</v>
      </c>
      <c r="H26" s="1630">
        <f t="shared" si="6"/>
        <v>46174</v>
      </c>
    </row>
    <row r="27" spans="1:9" ht="13.2" thickBot="1" x14ac:dyDescent="0.25">
      <c r="A27" s="13" t="s">
        <v>35</v>
      </c>
      <c r="B27" s="366" t="s">
        <v>39</v>
      </c>
      <c r="C27" s="1638">
        <f>'Gen. Capacity 33'!C11</f>
        <v>-25.997536320100451</v>
      </c>
      <c r="D27" s="1638">
        <f>'Gen. Capacity 33'!D11</f>
        <v>-24.872354892015494</v>
      </c>
      <c r="E27" s="1638">
        <f>'Gen. Capacity 33'!E11</f>
        <v>-25.45165539807817</v>
      </c>
      <c r="F27" s="1638">
        <f>'Gen. Capacity 33'!F11</f>
        <v>2128.8958300499748</v>
      </c>
      <c r="G27" s="1638">
        <f>'Gen. Capacity 33'!G11</f>
        <v>2219.4000369968976</v>
      </c>
      <c r="H27" s="1638">
        <f>'Gen. Capacity 33'!H11</f>
        <v>2106.2725326003147</v>
      </c>
    </row>
    <row r="28" spans="1:9" x14ac:dyDescent="0.2">
      <c r="B28" s="2"/>
      <c r="C28" s="1633"/>
      <c r="D28" s="1633"/>
      <c r="E28" s="1633"/>
      <c r="F28" s="1633"/>
      <c r="G28" s="1633"/>
      <c r="H28" s="1633"/>
    </row>
    <row r="29" spans="1:9" x14ac:dyDescent="0.2">
      <c r="B29" s="2"/>
      <c r="C29" s="1633"/>
      <c r="D29" s="1633"/>
      <c r="E29" s="1633"/>
      <c r="F29" s="1633"/>
      <c r="G29" s="1633"/>
      <c r="H29" s="1633"/>
    </row>
    <row r="30" spans="1:9" ht="16.2" x14ac:dyDescent="0.3">
      <c r="A30" s="1655" t="s">
        <v>974</v>
      </c>
      <c r="B30" s="2"/>
      <c r="C30" s="1633"/>
      <c r="D30" s="1633"/>
      <c r="E30" s="1633"/>
      <c r="F30" s="1633"/>
      <c r="G30" s="1633"/>
      <c r="H30" s="1633"/>
    </row>
    <row r="31" spans="1:9" ht="13.2" thickBot="1" x14ac:dyDescent="0.25">
      <c r="B31" s="2"/>
      <c r="C31" s="1633"/>
      <c r="D31" s="1633"/>
      <c r="E31" s="1633"/>
      <c r="F31" s="1633"/>
      <c r="G31" s="1633"/>
      <c r="H31" s="1633"/>
    </row>
    <row r="32" spans="1:9" ht="13.2" thickBot="1" x14ac:dyDescent="0.25">
      <c r="A32" s="24" t="s">
        <v>27</v>
      </c>
      <c r="B32" s="23" t="s">
        <v>36</v>
      </c>
      <c r="C32" s="1063">
        <f>C3</f>
        <v>46023</v>
      </c>
      <c r="D32" s="425">
        <f>+D3</f>
        <v>46054</v>
      </c>
      <c r="E32" s="425">
        <f>+E3</f>
        <v>46082</v>
      </c>
      <c r="F32" s="425">
        <f>+F3</f>
        <v>46113</v>
      </c>
      <c r="G32" s="425">
        <f>+G3</f>
        <v>46143</v>
      </c>
      <c r="H32" s="1069">
        <f>+H3</f>
        <v>46174</v>
      </c>
      <c r="I32" s="70"/>
    </row>
    <row r="33" spans="1:9" x14ac:dyDescent="0.2">
      <c r="A33" s="1656" t="s">
        <v>966</v>
      </c>
      <c r="B33" s="31"/>
      <c r="C33" s="1651"/>
      <c r="D33" s="1652"/>
      <c r="E33" s="1652"/>
      <c r="F33" s="1652"/>
      <c r="G33" s="1652"/>
      <c r="H33" s="1653"/>
      <c r="I33" s="70"/>
    </row>
    <row r="34" spans="1:9" x14ac:dyDescent="0.2">
      <c r="A34" s="17" t="s">
        <v>967</v>
      </c>
      <c r="B34" s="31" t="s">
        <v>968</v>
      </c>
      <c r="C34" s="1645">
        <f t="shared" ref="C34:H34" si="7">C15</f>
        <v>440.56185859235006</v>
      </c>
      <c r="D34" s="1645">
        <f t="shared" si="7"/>
        <v>440.56185859235006</v>
      </c>
      <c r="E34" s="1645">
        <f t="shared" si="7"/>
        <v>440.56185859235006</v>
      </c>
      <c r="F34" s="1645">
        <f t="shared" si="7"/>
        <v>440.56185859235006</v>
      </c>
      <c r="G34" s="1645">
        <f t="shared" si="7"/>
        <v>440.56185859235006</v>
      </c>
      <c r="H34" s="1646">
        <f t="shared" si="7"/>
        <v>440.56185859235006</v>
      </c>
      <c r="I34" s="70"/>
    </row>
    <row r="35" spans="1:9" x14ac:dyDescent="0.2">
      <c r="A35" s="14" t="s">
        <v>41</v>
      </c>
      <c r="B35" s="31" t="str">
        <f>B38</f>
        <v>SLR/MW</v>
      </c>
      <c r="C35" s="1647" t="e">
        <f t="shared" ref="C35:H35" si="8">C34*1000000/C17</f>
        <v>#DIV/0!</v>
      </c>
      <c r="D35" s="1647" t="e">
        <f t="shared" si="8"/>
        <v>#DIV/0!</v>
      </c>
      <c r="E35" s="1647" t="e">
        <f t="shared" si="8"/>
        <v>#DIV/0!</v>
      </c>
      <c r="F35" s="1647">
        <f t="shared" si="8"/>
        <v>268305.36446887185</v>
      </c>
      <c r="G35" s="1647">
        <f t="shared" si="8"/>
        <v>266787.30029795697</v>
      </c>
      <c r="H35" s="1648">
        <f t="shared" si="8"/>
        <v>283582.00942559208</v>
      </c>
      <c r="I35" s="236"/>
    </row>
    <row r="36" spans="1:9" x14ac:dyDescent="0.2">
      <c r="A36" s="1657" t="s">
        <v>969</v>
      </c>
      <c r="B36" s="31"/>
      <c r="C36" s="1647"/>
      <c r="D36" s="1647"/>
      <c r="E36" s="1647"/>
      <c r="F36" s="1647"/>
      <c r="G36" s="1647"/>
      <c r="H36" s="1648"/>
    </row>
    <row r="37" spans="1:9" x14ac:dyDescent="0.2">
      <c r="A37" s="17" t="s">
        <v>967</v>
      </c>
      <c r="B37" s="31" t="s">
        <v>968</v>
      </c>
      <c r="C37" s="1647">
        <f t="shared" ref="C37:H37" si="9">C16</f>
        <v>154.02520532074001</v>
      </c>
      <c r="D37" s="1647">
        <f t="shared" si="9"/>
        <v>149.8375946422492</v>
      </c>
      <c r="E37" s="1647">
        <f t="shared" si="9"/>
        <v>150.04167990698087</v>
      </c>
      <c r="F37" s="1647">
        <f t="shared" si="9"/>
        <v>172.46853897731631</v>
      </c>
      <c r="G37" s="1647">
        <f t="shared" si="9"/>
        <v>172.04513656785923</v>
      </c>
      <c r="H37" s="1648">
        <f t="shared" si="9"/>
        <v>207.86462611489569</v>
      </c>
    </row>
    <row r="38" spans="1:9" ht="13.2" thickBot="1" x14ac:dyDescent="0.25">
      <c r="A38" s="10" t="s">
        <v>40</v>
      </c>
      <c r="B38" s="32" t="s">
        <v>42</v>
      </c>
      <c r="C38" s="1649" t="e">
        <f t="shared" ref="C38:H38" si="10">C37*1000000/C17</f>
        <v>#DIV/0!</v>
      </c>
      <c r="D38" s="1649" t="e">
        <f t="shared" si="10"/>
        <v>#DIV/0!</v>
      </c>
      <c r="E38" s="1649" t="e">
        <f t="shared" si="10"/>
        <v>#DIV/0!</v>
      </c>
      <c r="F38" s="1649">
        <f t="shared" si="10"/>
        <v>105034.59005183658</v>
      </c>
      <c r="G38" s="1649">
        <f t="shared" si="10"/>
        <v>104183.91111065983</v>
      </c>
      <c r="H38" s="1650">
        <f t="shared" si="10"/>
        <v>133798.8462063045</v>
      </c>
      <c r="I38" s="236"/>
    </row>
    <row r="39" spans="1:9" x14ac:dyDescent="0.2">
      <c r="A39" s="1"/>
      <c r="B39" s="4"/>
      <c r="C39" s="1640"/>
      <c r="D39" s="1640"/>
      <c r="E39" s="1640"/>
      <c r="F39" s="1640"/>
      <c r="G39" s="1640"/>
      <c r="H39" s="1640"/>
      <c r="I39" s="236"/>
    </row>
    <row r="40" spans="1:9" ht="16.2" hidden="1" x14ac:dyDescent="0.3">
      <c r="A40" s="1655" t="s">
        <v>975</v>
      </c>
      <c r="B40" s="659" t="s">
        <v>976</v>
      </c>
      <c r="D40" s="1641">
        <f>'Loss %'!C8</f>
        <v>0.91035046537205133</v>
      </c>
    </row>
    <row r="41" spans="1:9" ht="13.2" hidden="1" thickBot="1" x14ac:dyDescent="0.25">
      <c r="A41" s="1" t="s">
        <v>29</v>
      </c>
      <c r="B41" s="659"/>
    </row>
    <row r="42" spans="1:9" ht="13.2" hidden="1" thickBot="1" x14ac:dyDescent="0.25">
      <c r="A42" s="46" t="s">
        <v>27</v>
      </c>
      <c r="B42" s="66" t="s">
        <v>36</v>
      </c>
      <c r="C42" s="425">
        <f t="shared" ref="C42:H42" si="11">C3</f>
        <v>46023</v>
      </c>
      <c r="D42" s="425">
        <f t="shared" si="11"/>
        <v>46054</v>
      </c>
      <c r="E42" s="425">
        <f t="shared" si="11"/>
        <v>46082</v>
      </c>
      <c r="F42" s="425">
        <f t="shared" si="11"/>
        <v>46113</v>
      </c>
      <c r="G42" s="425">
        <f t="shared" si="11"/>
        <v>46143</v>
      </c>
      <c r="H42" s="425">
        <f t="shared" si="11"/>
        <v>46174</v>
      </c>
    </row>
    <row r="43" spans="1:9" hidden="1" x14ac:dyDescent="0.2">
      <c r="A43" s="45" t="s">
        <v>28</v>
      </c>
      <c r="B43" s="91" t="s">
        <v>56</v>
      </c>
      <c r="C43" s="92">
        <f>+C44*0.0267*$D$40/2.6</f>
        <v>3.2418542313754024</v>
      </c>
      <c r="D43" s="92">
        <f t="shared" ref="D43:H43" si="12">+D44*0.0267*$D$40/2.6</f>
        <v>3.3241905061769565</v>
      </c>
      <c r="E43" s="92">
        <f t="shared" si="12"/>
        <v>3.847436654520644</v>
      </c>
      <c r="F43" s="92">
        <f t="shared" si="12"/>
        <v>3.4556720485023855</v>
      </c>
      <c r="G43" s="92">
        <f t="shared" si="12"/>
        <v>3.5188361832159583</v>
      </c>
      <c r="H43" s="92">
        <f t="shared" si="12"/>
        <v>3.4649115791965142</v>
      </c>
      <c r="I43" s="338"/>
    </row>
    <row r="44" spans="1:9" hidden="1" x14ac:dyDescent="0.2">
      <c r="A44" s="468" t="s">
        <v>30</v>
      </c>
      <c r="B44" s="20" t="s">
        <v>56</v>
      </c>
      <c r="C44" s="540">
        <f>'[4]Gen. Energy Cost 220'!B10</f>
        <v>346.77433784283397</v>
      </c>
      <c r="D44" s="540">
        <f>'[4]Gen. Energy Cost 220'!H10</f>
        <v>355.581676216787</v>
      </c>
      <c r="E44" s="540">
        <f>'[4]Gen. Energy Cost 220'!N10</f>
        <v>411.55221766328299</v>
      </c>
      <c r="F44" s="540">
        <f>'[4]Gen. Energy Cost 220'!T10</f>
        <v>369.64598063158201</v>
      </c>
      <c r="G44" s="540">
        <f>'[4]Gen. Energy Cost 220'!Z10</f>
        <v>376.40251545005901</v>
      </c>
      <c r="H44" s="541">
        <f>'[4]Gen. Energy Cost 220'!AF10</f>
        <v>370.63431382294698</v>
      </c>
    </row>
    <row r="45" spans="1:9" ht="13.2" hidden="1" thickBot="1" x14ac:dyDescent="0.25">
      <c r="A45" s="10" t="s">
        <v>38</v>
      </c>
      <c r="B45" s="11" t="s">
        <v>37</v>
      </c>
      <c r="C45" s="28">
        <f t="shared" ref="C45:H45" si="13">C43/C44</f>
        <v>9.3485990097822193E-3</v>
      </c>
      <c r="D45" s="28">
        <f t="shared" si="13"/>
        <v>9.3485990097822193E-3</v>
      </c>
      <c r="E45" s="28">
        <f t="shared" si="13"/>
        <v>9.3485990097822193E-3</v>
      </c>
      <c r="F45" s="28">
        <f t="shared" si="13"/>
        <v>9.348599009782221E-3</v>
      </c>
      <c r="G45" s="28">
        <f t="shared" si="13"/>
        <v>9.3485990097822193E-3</v>
      </c>
      <c r="H45" s="29">
        <f t="shared" si="13"/>
        <v>9.3485990097822193E-3</v>
      </c>
    </row>
    <row r="46" spans="1:9" hidden="1" x14ac:dyDescent="0.2">
      <c r="C46" s="2"/>
      <c r="D46" s="2"/>
      <c r="E46" s="2"/>
      <c r="F46" s="2"/>
      <c r="G46" s="2"/>
      <c r="H46" s="2"/>
    </row>
    <row r="47" spans="1:9" ht="13.2" hidden="1" thickBot="1" x14ac:dyDescent="0.25">
      <c r="A47" s="1" t="s">
        <v>32</v>
      </c>
      <c r="B47" s="1"/>
    </row>
    <row r="48" spans="1:9" ht="13.2" hidden="1" thickBot="1" x14ac:dyDescent="0.25">
      <c r="A48" s="22" t="s">
        <v>27</v>
      </c>
      <c r="B48" s="25" t="s">
        <v>36</v>
      </c>
      <c r="C48" s="425">
        <f t="shared" ref="C48:H48" si="14">C3</f>
        <v>46023</v>
      </c>
      <c r="D48" s="425">
        <f t="shared" si="14"/>
        <v>46054</v>
      </c>
      <c r="E48" s="425">
        <f t="shared" si="14"/>
        <v>46082</v>
      </c>
      <c r="F48" s="425">
        <f t="shared" si="14"/>
        <v>46113</v>
      </c>
      <c r="G48" s="425">
        <f t="shared" si="14"/>
        <v>46143</v>
      </c>
      <c r="H48" s="425">
        <f t="shared" si="14"/>
        <v>46174</v>
      </c>
    </row>
    <row r="49" spans="1:8" hidden="1" x14ac:dyDescent="0.2">
      <c r="A49" s="6" t="s">
        <v>28</v>
      </c>
      <c r="B49" s="20" t="s">
        <v>56</v>
      </c>
      <c r="C49" s="540">
        <f>+C50*0.0341*$D$40/2.6</f>
        <v>1.4305380773020189</v>
      </c>
      <c r="D49" s="540">
        <f t="shared" ref="D49:H49" si="15">+D50*0.0341*$D$40/2.6</f>
        <v>1.466870733812867</v>
      </c>
      <c r="E49" s="540">
        <f t="shared" si="15"/>
        <v>1.6977643784940217</v>
      </c>
      <c r="F49" s="540">
        <f t="shared" si="15"/>
        <v>1.524889799241095</v>
      </c>
      <c r="G49" s="540">
        <f t="shared" si="15"/>
        <v>1.5527623355670865</v>
      </c>
      <c r="H49" s="540">
        <f t="shared" si="15"/>
        <v>1.5289669413736533</v>
      </c>
    </row>
    <row r="50" spans="1:8" hidden="1" x14ac:dyDescent="0.2">
      <c r="A50" s="468" t="s">
        <v>30</v>
      </c>
      <c r="B50" s="20" t="s">
        <v>56</v>
      </c>
      <c r="C50" s="540">
        <f>'[4]Gen. Energy Cost 220'!B11</f>
        <v>119.814608368211</v>
      </c>
      <c r="D50" s="540">
        <f>'[4]Gen. Energy Cost 220'!H11</f>
        <v>122.857647263781</v>
      </c>
      <c r="E50" s="540">
        <f>'[4]Gen. Energy Cost 220'!N11</f>
        <v>142.196126994678</v>
      </c>
      <c r="F50" s="540">
        <f>'[4]Gen. Energy Cost 220'!T11</f>
        <v>127.71702969649699</v>
      </c>
      <c r="G50" s="540">
        <f>'[4]Gen. Energy Cost 220'!Z11</f>
        <v>130.05149186644201</v>
      </c>
      <c r="H50" s="541">
        <f>'[4]Gen. Energy Cost 220'!AF11</f>
        <v>128.05851042715699</v>
      </c>
    </row>
    <row r="51" spans="1:8" ht="13.2" hidden="1" thickBot="1" x14ac:dyDescent="0.25">
      <c r="A51" s="10" t="s">
        <v>38</v>
      </c>
      <c r="B51" s="11" t="s">
        <v>37</v>
      </c>
      <c r="C51" s="28">
        <f t="shared" ref="C51:H51" si="16">C49/C50</f>
        <v>1.1939596488148825E-2</v>
      </c>
      <c r="D51" s="28">
        <f t="shared" si="16"/>
        <v>1.1939596488148827E-2</v>
      </c>
      <c r="E51" s="28">
        <f t="shared" si="16"/>
        <v>1.1939596488148825E-2</v>
      </c>
      <c r="F51" s="28">
        <f t="shared" si="16"/>
        <v>1.1939596488148827E-2</v>
      </c>
      <c r="G51" s="28">
        <f t="shared" si="16"/>
        <v>1.1939596488148825E-2</v>
      </c>
      <c r="H51" s="29">
        <f t="shared" si="16"/>
        <v>1.1939596488148825E-2</v>
      </c>
    </row>
    <row r="52" spans="1:8" hidden="1" x14ac:dyDescent="0.2"/>
    <row r="53" spans="1:8" ht="13.2" hidden="1" thickBot="1" x14ac:dyDescent="0.25">
      <c r="A53" s="1" t="s">
        <v>33</v>
      </c>
      <c r="B53" s="1"/>
    </row>
    <row r="54" spans="1:8" ht="13.2" hidden="1" thickBot="1" x14ac:dyDescent="0.25">
      <c r="A54" s="22" t="s">
        <v>27</v>
      </c>
      <c r="B54" s="25" t="s">
        <v>36</v>
      </c>
      <c r="C54" s="425">
        <f t="shared" ref="C54:H54" si="17">+C3</f>
        <v>46023</v>
      </c>
      <c r="D54" s="425">
        <f t="shared" si="17"/>
        <v>46054</v>
      </c>
      <c r="E54" s="425">
        <f t="shared" si="17"/>
        <v>46082</v>
      </c>
      <c r="F54" s="425">
        <f t="shared" si="17"/>
        <v>46113</v>
      </c>
      <c r="G54" s="425">
        <f t="shared" si="17"/>
        <v>46143</v>
      </c>
      <c r="H54" s="425">
        <f t="shared" si="17"/>
        <v>46174</v>
      </c>
    </row>
    <row r="55" spans="1:8" hidden="1" x14ac:dyDescent="0.2">
      <c r="A55" s="6" t="s">
        <v>28</v>
      </c>
      <c r="B55" s="20" t="s">
        <v>56</v>
      </c>
      <c r="C55" s="540">
        <f>+C56*0.0189*$D$40/2.6</f>
        <v>2.2039108995306269</v>
      </c>
      <c r="D55" s="540">
        <f t="shared" ref="D55:H55" si="18">+D56*0.0189*$D$40/2.6</f>
        <v>2.2598855981169099</v>
      </c>
      <c r="E55" s="540">
        <f t="shared" si="18"/>
        <v>2.6156042107279482</v>
      </c>
      <c r="F55" s="540">
        <f t="shared" si="18"/>
        <v>2.3492707411667175</v>
      </c>
      <c r="G55" s="540">
        <f t="shared" si="18"/>
        <v>2.3922116370303765</v>
      </c>
      <c r="H55" s="540">
        <f t="shared" si="18"/>
        <v>2.355552054560222</v>
      </c>
    </row>
    <row r="56" spans="1:8" hidden="1" x14ac:dyDescent="0.2">
      <c r="A56" s="468" t="s">
        <v>30</v>
      </c>
      <c r="B56" s="20" t="s">
        <v>56</v>
      </c>
      <c r="C56" s="540">
        <f>'[4]Gen. Energy Cost 220'!B12</f>
        <v>333.04042950582999</v>
      </c>
      <c r="D56" s="540">
        <f>'[4]Gen. Energy Cost 220'!H12</f>
        <v>341.49895551185199</v>
      </c>
      <c r="E56" s="540">
        <f>'[4]Gen. Energy Cost 220'!N12</f>
        <v>395.25279807982002</v>
      </c>
      <c r="F56" s="540">
        <f>'[4]Gen. Energy Cost 220'!T12</f>
        <v>355.006246772623</v>
      </c>
      <c r="G56" s="540">
        <f>'[4]Gen. Energy Cost 220'!Z12</f>
        <v>361.49519076978902</v>
      </c>
      <c r="H56" s="541">
        <f>'[4]Gen. Energy Cost 220'!AF12</f>
        <v>355.95543728249299</v>
      </c>
    </row>
    <row r="57" spans="1:8" ht="13.2" hidden="1" thickBot="1" x14ac:dyDescent="0.25">
      <c r="A57" s="10" t="s">
        <v>38</v>
      </c>
      <c r="B57" s="11" t="s">
        <v>37</v>
      </c>
      <c r="C57" s="28">
        <f t="shared" ref="C57:H57" si="19">C55/C56</f>
        <v>6.6175476136660655E-3</v>
      </c>
      <c r="D57" s="28">
        <f t="shared" si="19"/>
        <v>6.6175476136660655E-3</v>
      </c>
      <c r="E57" s="28">
        <f t="shared" si="19"/>
        <v>6.6175476136660655E-3</v>
      </c>
      <c r="F57" s="28">
        <f t="shared" si="19"/>
        <v>6.6175476136660647E-3</v>
      </c>
      <c r="G57" s="28">
        <f t="shared" si="19"/>
        <v>6.6175476136660655E-3</v>
      </c>
      <c r="H57" s="29">
        <f t="shared" si="19"/>
        <v>6.6175476136660647E-3</v>
      </c>
    </row>
    <row r="58" spans="1:8" x14ac:dyDescent="0.2">
      <c r="C58" s="449"/>
    </row>
    <row r="59" spans="1:8" x14ac:dyDescent="0.2">
      <c r="C59" s="1633"/>
      <c r="D59" s="1705"/>
      <c r="E59" s="1633"/>
      <c r="F59" s="1633"/>
      <c r="G59" s="1633"/>
      <c r="H59" s="1633"/>
    </row>
    <row r="60" spans="1:8" ht="16.2" x14ac:dyDescent="0.3">
      <c r="A60" s="1655" t="s">
        <v>978</v>
      </c>
      <c r="C60" s="1633"/>
      <c r="D60" s="1633"/>
      <c r="E60" s="1633"/>
      <c r="F60" s="1633"/>
      <c r="G60" s="1633"/>
      <c r="H60" s="1633"/>
    </row>
    <row r="61" spans="1:8" ht="16.8" thickBot="1" x14ac:dyDescent="0.35">
      <c r="A61" s="1655"/>
      <c r="C61" s="1633"/>
      <c r="D61" s="1633"/>
      <c r="E61" s="1633"/>
      <c r="F61" s="1633"/>
      <c r="G61" s="1633"/>
      <c r="H61" s="1633"/>
    </row>
    <row r="62" spans="1:8" ht="13.2" thickBot="1" x14ac:dyDescent="0.25">
      <c r="A62" s="24" t="s">
        <v>27</v>
      </c>
      <c r="B62" s="23" t="s">
        <v>36</v>
      </c>
      <c r="C62" s="1063">
        <f t="shared" ref="C62:H62" si="20">C3</f>
        <v>46023</v>
      </c>
      <c r="D62" s="425">
        <f t="shared" si="20"/>
        <v>46054</v>
      </c>
      <c r="E62" s="425">
        <f t="shared" si="20"/>
        <v>46082</v>
      </c>
      <c r="F62" s="425">
        <f t="shared" si="20"/>
        <v>46113</v>
      </c>
      <c r="G62" s="425">
        <f t="shared" si="20"/>
        <v>46143</v>
      </c>
      <c r="H62" s="1069">
        <f t="shared" si="20"/>
        <v>46174</v>
      </c>
    </row>
    <row r="63" spans="1:8" x14ac:dyDescent="0.2">
      <c r="A63" s="1656" t="s">
        <v>966</v>
      </c>
      <c r="B63" s="31"/>
      <c r="C63" s="1647"/>
      <c r="D63" s="1647"/>
      <c r="E63" s="1647"/>
      <c r="F63" s="1647"/>
      <c r="G63" s="1647"/>
      <c r="H63" s="1648"/>
    </row>
    <row r="64" spans="1:8" x14ac:dyDescent="0.2">
      <c r="A64" s="17" t="s">
        <v>970</v>
      </c>
      <c r="B64" s="31" t="s">
        <v>968</v>
      </c>
      <c r="C64" s="1647" t="e">
        <f>C35*'Gen. Capacity 132'!C6/1000000</f>
        <v>#DIV/0!</v>
      </c>
      <c r="D64" s="1647" t="e">
        <f>D35*'Gen. Capacity 132'!D6/1000000</f>
        <v>#DIV/0!</v>
      </c>
      <c r="E64" s="1647" t="e">
        <f>E35*'Gen. Capacity 132'!E6/1000000</f>
        <v>#DIV/0!</v>
      </c>
      <c r="F64" s="1647">
        <f>F35*'Gen. Capacity 132'!F6/1000000</f>
        <v>4.3906686864751832</v>
      </c>
      <c r="G64" s="1647">
        <f>G35*'Gen. Capacity 132'!G6/1000000</f>
        <v>3.6128232877384785</v>
      </c>
      <c r="H64" s="1647">
        <f>H35*'Gen. Capacity 132'!H6/1000000</f>
        <v>4.2430428904991846</v>
      </c>
    </row>
    <row r="65" spans="1:9" x14ac:dyDescent="0.2">
      <c r="A65" s="17" t="s">
        <v>971</v>
      </c>
      <c r="B65" s="31" t="s">
        <v>968</v>
      </c>
      <c r="C65" s="1647" t="e">
        <f t="shared" ref="C65:H65" si="21">C15-C64</f>
        <v>#DIV/0!</v>
      </c>
      <c r="D65" s="1647" t="e">
        <f t="shared" si="21"/>
        <v>#DIV/0!</v>
      </c>
      <c r="E65" s="1647" t="e">
        <f t="shared" si="21"/>
        <v>#DIV/0!</v>
      </c>
      <c r="F65" s="1647">
        <f t="shared" si="21"/>
        <v>436.17118990587488</v>
      </c>
      <c r="G65" s="1647">
        <f t="shared" si="21"/>
        <v>436.94903530461158</v>
      </c>
      <c r="H65" s="1648">
        <f t="shared" si="21"/>
        <v>436.31881570185089</v>
      </c>
    </row>
    <row r="66" spans="1:9" x14ac:dyDescent="0.2">
      <c r="A66" s="17" t="s">
        <v>899</v>
      </c>
      <c r="B66" s="31" t="s">
        <v>968</v>
      </c>
      <c r="C66" s="1647" t="e">
        <f t="shared" ref="C66:H66" si="22">C65+C21</f>
        <v>#DIV/0!</v>
      </c>
      <c r="D66" s="1647" t="e">
        <f t="shared" si="22"/>
        <v>#DIV/0!</v>
      </c>
      <c r="E66" s="1647" t="e">
        <f t="shared" si="22"/>
        <v>#DIV/0!</v>
      </c>
      <c r="F66" s="1647">
        <f t="shared" si="22"/>
        <v>1708.78358534055</v>
      </c>
      <c r="G66" s="1647">
        <f t="shared" si="22"/>
        <v>1709.5614307392866</v>
      </c>
      <c r="H66" s="1648">
        <f t="shared" si="22"/>
        <v>1708.9312111365261</v>
      </c>
    </row>
    <row r="67" spans="1:9" x14ac:dyDescent="0.2">
      <c r="A67" s="14" t="s">
        <v>966</v>
      </c>
      <c r="B67" s="31" t="str">
        <f>B72</f>
        <v>SLR/MW</v>
      </c>
      <c r="C67" s="1647" t="e">
        <f t="shared" ref="C67:H67" si="23">C66*1000000/C23</f>
        <v>#DIV/0!</v>
      </c>
      <c r="D67" s="1647" t="e">
        <f t="shared" si="23"/>
        <v>#DIV/0!</v>
      </c>
      <c r="E67" s="1647" t="e">
        <f t="shared" si="23"/>
        <v>#DIV/0!</v>
      </c>
      <c r="F67" s="1647">
        <f t="shared" si="23"/>
        <v>809812.05822748749</v>
      </c>
      <c r="G67" s="1647">
        <f t="shared" si="23"/>
        <v>778298.99407120317</v>
      </c>
      <c r="H67" s="1648">
        <f t="shared" si="23"/>
        <v>820570.37379537593</v>
      </c>
      <c r="I67" s="236"/>
    </row>
    <row r="68" spans="1:9" x14ac:dyDescent="0.2">
      <c r="A68" s="1658" t="s">
        <v>969</v>
      </c>
      <c r="B68" s="31"/>
      <c r="C68" s="1647"/>
      <c r="D68" s="1647"/>
      <c r="E68" s="1647"/>
      <c r="F68" s="1647"/>
      <c r="G68" s="1647"/>
      <c r="H68" s="1648"/>
    </row>
    <row r="69" spans="1:9" x14ac:dyDescent="0.2">
      <c r="A69" s="17" t="s">
        <v>970</v>
      </c>
      <c r="B69" s="31" t="s">
        <v>968</v>
      </c>
      <c r="C69" s="1647" t="e">
        <f>C38*'Gen. Capacity 132'!C6/1000000</f>
        <v>#DIV/0!</v>
      </c>
      <c r="D69" s="1647" t="e">
        <f>D38*'Gen. Capacity 132'!D6/1000000</f>
        <v>#DIV/0!</v>
      </c>
      <c r="E69" s="1647" t="e">
        <f>E38*'Gen. Capacity 132'!E6/1000000</f>
        <v>#DIV/0!</v>
      </c>
      <c r="F69" s="1647">
        <f>F38*'Gen. Capacity 132'!F6/1000000</f>
        <v>1.7188328919560636</v>
      </c>
      <c r="G69" s="1647">
        <f>G38*'Gen. Capacity 132'!G6/1000000</f>
        <v>1.4108544891300803</v>
      </c>
      <c r="H69" s="1647">
        <f>H38*'Gen. Capacity 132'!H6/1000000</f>
        <v>2.0019402651902514</v>
      </c>
    </row>
    <row r="70" spans="1:9" x14ac:dyDescent="0.2">
      <c r="A70" s="17" t="s">
        <v>971</v>
      </c>
      <c r="B70" s="31" t="s">
        <v>968</v>
      </c>
      <c r="C70" s="1647" t="e">
        <f t="shared" ref="C70:H70" si="24">C16-C69</f>
        <v>#DIV/0!</v>
      </c>
      <c r="D70" s="1647" t="e">
        <f t="shared" si="24"/>
        <v>#DIV/0!</v>
      </c>
      <c r="E70" s="1647" t="e">
        <f t="shared" si="24"/>
        <v>#DIV/0!</v>
      </c>
      <c r="F70" s="1647">
        <f t="shared" si="24"/>
        <v>170.74970608536026</v>
      </c>
      <c r="G70" s="1647">
        <f t="shared" si="24"/>
        <v>170.63428207872914</v>
      </c>
      <c r="H70" s="1648">
        <f t="shared" si="24"/>
        <v>205.86268584970543</v>
      </c>
    </row>
    <row r="71" spans="1:9" x14ac:dyDescent="0.2">
      <c r="A71" s="17" t="s">
        <v>899</v>
      </c>
      <c r="B71" s="31" t="s">
        <v>968</v>
      </c>
      <c r="C71" s="1647" t="e">
        <f t="shared" ref="C71:H71" si="25">C70+C22</f>
        <v>#DIV/0!</v>
      </c>
      <c r="D71" s="1647" t="e">
        <f t="shared" si="25"/>
        <v>#DIV/0!</v>
      </c>
      <c r="E71" s="1647" t="e">
        <f t="shared" si="25"/>
        <v>#DIV/0!</v>
      </c>
      <c r="F71" s="1647">
        <f t="shared" si="25"/>
        <v>668.94444592581067</v>
      </c>
      <c r="G71" s="1647">
        <f t="shared" si="25"/>
        <v>667.60597651925855</v>
      </c>
      <c r="H71" s="1648">
        <f t="shared" si="25"/>
        <v>806.3029977083404</v>
      </c>
    </row>
    <row r="72" spans="1:9" ht="13.2" thickBot="1" x14ac:dyDescent="0.25">
      <c r="A72" s="10" t="s">
        <v>969</v>
      </c>
      <c r="B72" s="32" t="s">
        <v>42</v>
      </c>
      <c r="C72" s="1649" t="e">
        <f t="shared" ref="C72:H72" si="26">C71*1000000/C23</f>
        <v>#DIV/0!</v>
      </c>
      <c r="D72" s="1649" t="e">
        <f t="shared" si="26"/>
        <v>#DIV/0!</v>
      </c>
      <c r="E72" s="1649" t="e">
        <f t="shared" si="26"/>
        <v>#DIV/0!</v>
      </c>
      <c r="F72" s="1649">
        <f t="shared" si="26"/>
        <v>317020.41337614186</v>
      </c>
      <c r="G72" s="1649">
        <f t="shared" si="26"/>
        <v>303935.88122549444</v>
      </c>
      <c r="H72" s="1650">
        <f t="shared" si="26"/>
        <v>387159.14830875408</v>
      </c>
      <c r="I72" s="236"/>
    </row>
    <row r="73" spans="1:9" x14ac:dyDescent="0.2">
      <c r="A73" s="1"/>
      <c r="B73" s="4"/>
      <c r="C73" s="1640"/>
      <c r="D73" s="1640"/>
      <c r="E73" s="1640"/>
      <c r="F73" s="1640"/>
      <c r="G73" s="1640"/>
      <c r="H73" s="1640"/>
      <c r="I73" s="236"/>
    </row>
    <row r="74" spans="1:9" ht="16.2" hidden="1" x14ac:dyDescent="0.3">
      <c r="A74" s="1655" t="s">
        <v>977</v>
      </c>
      <c r="B74" s="659" t="s">
        <v>979</v>
      </c>
      <c r="D74" s="659">
        <f>'Loss %'!C7</f>
        <v>2.6296495346279491</v>
      </c>
    </row>
    <row r="75" spans="1:9" ht="13.2" hidden="1" thickBot="1" x14ac:dyDescent="0.25">
      <c r="A75" s="1" t="s">
        <v>29</v>
      </c>
      <c r="B75" s="659"/>
    </row>
    <row r="76" spans="1:9" ht="13.2" hidden="1" thickBot="1" x14ac:dyDescent="0.25">
      <c r="A76" s="46" t="s">
        <v>27</v>
      </c>
      <c r="B76" s="66" t="s">
        <v>36</v>
      </c>
      <c r="C76" s="425">
        <f t="shared" ref="C76:H76" si="27">C3</f>
        <v>46023</v>
      </c>
      <c r="D76" s="425">
        <f t="shared" si="27"/>
        <v>46054</v>
      </c>
      <c r="E76" s="425">
        <f t="shared" si="27"/>
        <v>46082</v>
      </c>
      <c r="F76" s="425">
        <f t="shared" si="27"/>
        <v>46113</v>
      </c>
      <c r="G76" s="425">
        <f t="shared" si="27"/>
        <v>46143</v>
      </c>
      <c r="H76" s="425">
        <f t="shared" si="27"/>
        <v>46174</v>
      </c>
    </row>
    <row r="77" spans="1:9" hidden="1" x14ac:dyDescent="0.2">
      <c r="A77" s="45" t="s">
        <v>28</v>
      </c>
      <c r="B77" s="91" t="s">
        <v>56</v>
      </c>
      <c r="C77" s="92">
        <f>+C78*0.0267*$D$74/2.6</f>
        <v>17.863428903273359</v>
      </c>
      <c r="D77" s="92">
        <f t="shared" ref="D77:H77" si="28">+D78*0.0267*$D$74/2.6</f>
        <v>16.88997665618021</v>
      </c>
      <c r="E77" s="92">
        <f t="shared" si="28"/>
        <v>19.421518162283455</v>
      </c>
      <c r="F77" s="92">
        <f t="shared" si="28"/>
        <v>17.609753673536982</v>
      </c>
      <c r="G77" s="92">
        <f t="shared" si="28"/>
        <v>4.4062377728280575</v>
      </c>
      <c r="H77" s="92">
        <f t="shared" si="28"/>
        <v>17.193345955248493</v>
      </c>
      <c r="I77" s="338"/>
    </row>
    <row r="78" spans="1:9" hidden="1" x14ac:dyDescent="0.2">
      <c r="A78" s="468" t="s">
        <v>30</v>
      </c>
      <c r="B78" s="20" t="s">
        <v>56</v>
      </c>
      <c r="C78" s="540">
        <f>'[4]Gen. Energy Cost 132'!B10</f>
        <v>661.49876922741498</v>
      </c>
      <c r="D78" s="540">
        <f>'[4]Gen. Energy Cost 132'!H10</f>
        <v>625.450960778065</v>
      </c>
      <c r="E78" s="540">
        <f>'[4]Gen. Energy Cost 132'!N10</f>
        <v>719.196209778303</v>
      </c>
      <c r="F78" s="540">
        <f>'[4]Gen. Energy Cost 132'!T10</f>
        <v>652.10494830072003</v>
      </c>
      <c r="G78" s="540">
        <f>'[4]Gen. Energy Cost 132'!Z10</f>
        <v>163.16693057260699</v>
      </c>
      <c r="H78" s="541">
        <f>'[4]Gen. Energy Cost 132'!AF10</f>
        <v>636.68499759382303</v>
      </c>
    </row>
    <row r="79" spans="1:9" ht="13.2" hidden="1" thickBot="1" x14ac:dyDescent="0.25">
      <c r="A79" s="10" t="s">
        <v>38</v>
      </c>
      <c r="B79" s="11" t="s">
        <v>37</v>
      </c>
      <c r="C79" s="28">
        <f t="shared" ref="C79:H79" si="29">C77/C78</f>
        <v>2.7004477913294706E-2</v>
      </c>
      <c r="D79" s="28">
        <f t="shared" si="29"/>
        <v>2.7004477913294706E-2</v>
      </c>
      <c r="E79" s="28">
        <f t="shared" si="29"/>
        <v>2.7004477913294713E-2</v>
      </c>
      <c r="F79" s="28">
        <f t="shared" si="29"/>
        <v>2.700447791329471E-2</v>
      </c>
      <c r="G79" s="28">
        <f t="shared" si="29"/>
        <v>2.7004477913294713E-2</v>
      </c>
      <c r="H79" s="29">
        <f t="shared" si="29"/>
        <v>2.7004477913294717E-2</v>
      </c>
    </row>
    <row r="80" spans="1:9" hidden="1" x14ac:dyDescent="0.2">
      <c r="C80" s="2"/>
      <c r="D80" s="2"/>
      <c r="E80" s="2"/>
      <c r="F80" s="2"/>
      <c r="G80" s="2"/>
      <c r="H80" s="2"/>
    </row>
    <row r="81" spans="1:8" ht="13.2" hidden="1" thickBot="1" x14ac:dyDescent="0.25">
      <c r="A81" s="1" t="s">
        <v>32</v>
      </c>
      <c r="B81" s="1"/>
    </row>
    <row r="82" spans="1:8" ht="13.2" hidden="1" thickBot="1" x14ac:dyDescent="0.25">
      <c r="A82" s="22" t="s">
        <v>27</v>
      </c>
      <c r="B82" s="25" t="s">
        <v>36</v>
      </c>
      <c r="C82" s="425">
        <f t="shared" ref="C82:H82" si="30">C3</f>
        <v>46023</v>
      </c>
      <c r="D82" s="425">
        <f t="shared" si="30"/>
        <v>46054</v>
      </c>
      <c r="E82" s="425">
        <f t="shared" si="30"/>
        <v>46082</v>
      </c>
      <c r="F82" s="425">
        <f t="shared" si="30"/>
        <v>46113</v>
      </c>
      <c r="G82" s="425">
        <f t="shared" si="30"/>
        <v>46143</v>
      </c>
      <c r="H82" s="425">
        <f t="shared" si="30"/>
        <v>46174</v>
      </c>
    </row>
    <row r="83" spans="1:8" hidden="1" x14ac:dyDescent="0.2">
      <c r="A83" s="6" t="s">
        <v>28</v>
      </c>
      <c r="B83" s="20" t="s">
        <v>56</v>
      </c>
      <c r="C83" s="540">
        <f>+C84*0.0341*$D$74/2.6</f>
        <v>5.7850000351742112</v>
      </c>
      <c r="D83" s="540">
        <f t="shared" ref="D83:H83" si="31">+D84*0.0341*$D$74/2.6</f>
        <v>5.4697514166605421</v>
      </c>
      <c r="E83" s="540">
        <f t="shared" si="31"/>
        <v>6.2895810127113121</v>
      </c>
      <c r="F83" s="540">
        <f t="shared" si="31"/>
        <v>5.702848326177369</v>
      </c>
      <c r="G83" s="540">
        <f t="shared" si="31"/>
        <v>1.4269424872917507</v>
      </c>
      <c r="H83" s="540">
        <f t="shared" si="31"/>
        <v>5.5679963513415283</v>
      </c>
    </row>
    <row r="84" spans="1:8" hidden="1" x14ac:dyDescent="0.2">
      <c r="A84" s="468" t="s">
        <v>30</v>
      </c>
      <c r="B84" s="20" t="s">
        <v>56</v>
      </c>
      <c r="C84" s="540">
        <f>'[4]Gen. Energy Cost 132'!B11</f>
        <v>167.73529737018001</v>
      </c>
      <c r="D84" s="540">
        <f>'[4]Gen. Energy Cost 132'!H11</f>
        <v>158.59470610822399</v>
      </c>
      <c r="E84" s="540">
        <f>'[4]Gen. Energy Cost 132'!N11</f>
        <v>182.365554898255</v>
      </c>
      <c r="F84" s="540">
        <f>'[4]Gen. Energy Cost 132'!T11</f>
        <v>165.35331962527599</v>
      </c>
      <c r="G84" s="540">
        <f>'[4]Gen. Energy Cost 132'!Z11</f>
        <v>41.374005355354903</v>
      </c>
      <c r="H84" s="541">
        <f>'[4]Gen. Energy Cost 132'!AF11</f>
        <v>161.44330476572301</v>
      </c>
    </row>
    <row r="85" spans="1:8" ht="13.2" hidden="1" thickBot="1" x14ac:dyDescent="0.25">
      <c r="A85" s="10" t="s">
        <v>38</v>
      </c>
      <c r="B85" s="11" t="s">
        <v>37</v>
      </c>
      <c r="C85" s="28">
        <f t="shared" ref="C85:H85" si="32">C83/C84</f>
        <v>3.4488865050312713E-2</v>
      </c>
      <c r="D85" s="28">
        <f t="shared" si="32"/>
        <v>3.4488865050312713E-2</v>
      </c>
      <c r="E85" s="28">
        <f t="shared" si="32"/>
        <v>3.448886505031272E-2</v>
      </c>
      <c r="F85" s="28">
        <f t="shared" si="32"/>
        <v>3.448886505031272E-2</v>
      </c>
      <c r="G85" s="28">
        <f t="shared" si="32"/>
        <v>3.4488865050312713E-2</v>
      </c>
      <c r="H85" s="29">
        <f t="shared" si="32"/>
        <v>3.4488865050312713E-2</v>
      </c>
    </row>
    <row r="86" spans="1:8" hidden="1" x14ac:dyDescent="0.2"/>
    <row r="87" spans="1:8" ht="13.2" hidden="1" thickBot="1" x14ac:dyDescent="0.25">
      <c r="A87" s="1" t="s">
        <v>33</v>
      </c>
      <c r="B87" s="1"/>
    </row>
    <row r="88" spans="1:8" ht="13.2" hidden="1" thickBot="1" x14ac:dyDescent="0.25">
      <c r="A88" s="22" t="s">
        <v>27</v>
      </c>
      <c r="B88" s="25" t="s">
        <v>36</v>
      </c>
      <c r="C88" s="425">
        <f t="shared" ref="C88:H88" si="33">+C3</f>
        <v>46023</v>
      </c>
      <c r="D88" s="425">
        <f t="shared" si="33"/>
        <v>46054</v>
      </c>
      <c r="E88" s="425">
        <f t="shared" si="33"/>
        <v>46082</v>
      </c>
      <c r="F88" s="425">
        <f t="shared" si="33"/>
        <v>46113</v>
      </c>
      <c r="G88" s="425">
        <f t="shared" si="33"/>
        <v>46143</v>
      </c>
      <c r="H88" s="425">
        <f t="shared" si="33"/>
        <v>46174</v>
      </c>
    </row>
    <row r="89" spans="1:8" hidden="1" x14ac:dyDescent="0.2">
      <c r="A89" s="6" t="s">
        <v>28</v>
      </c>
      <c r="B89" s="20" t="s">
        <v>56</v>
      </c>
      <c r="C89" s="540">
        <f>+C90*0.0189*$D74/2.6</f>
        <v>6.1722473555177899</v>
      </c>
      <c r="D89" s="540">
        <f t="shared" ref="D89:H89" si="34">+D90*0.0189*$D74/2.6</f>
        <v>5.8358960261969992</v>
      </c>
      <c r="E89" s="540">
        <f t="shared" si="34"/>
        <v>6.710604932926894</v>
      </c>
      <c r="F89" s="540">
        <f t="shared" si="34"/>
        <v>6.0845964193857141</v>
      </c>
      <c r="G89" s="540">
        <f t="shared" si="34"/>
        <v>1.5224618738307842</v>
      </c>
      <c r="H89" s="540">
        <f t="shared" si="34"/>
        <v>5.9407174669214342</v>
      </c>
    </row>
    <row r="90" spans="1:8" hidden="1" x14ac:dyDescent="0.2">
      <c r="A90" s="468" t="s">
        <v>30</v>
      </c>
      <c r="B90" s="20" t="s">
        <v>56</v>
      </c>
      <c r="C90" s="540">
        <f>'[4]Gen. Energy Cost 132'!B12</f>
        <v>322.89178372262501</v>
      </c>
      <c r="D90" s="540">
        <f>'[4]Gen. Energy Cost 132'!H12</f>
        <v>305.296072723652</v>
      </c>
      <c r="E90" s="540">
        <f>'[4]Gen. Energy Cost 132'!N12</f>
        <v>351.05514601801599</v>
      </c>
      <c r="F90" s="540">
        <f>'[4]Gen. Energy Cost 132'!T12</f>
        <v>318.30645758734897</v>
      </c>
      <c r="G90" s="540">
        <f>'[4]Gen. Energy Cost 132'!Z12</f>
        <v>79.645289920444597</v>
      </c>
      <c r="H90" s="541">
        <f>'[4]Gen. Energy Cost 132'!AF12</f>
        <v>310.77964783306999</v>
      </c>
    </row>
    <row r="91" spans="1:8" ht="13.2" hidden="1" thickBot="1" x14ac:dyDescent="0.25">
      <c r="A91" s="10" t="s">
        <v>38</v>
      </c>
      <c r="B91" s="11" t="s">
        <v>37</v>
      </c>
      <c r="C91" s="28">
        <f t="shared" ref="C91:H91" si="35">C89/C90</f>
        <v>1.9115529309410857E-2</v>
      </c>
      <c r="D91" s="28">
        <f t="shared" si="35"/>
        <v>1.9115529309410861E-2</v>
      </c>
      <c r="E91" s="28">
        <f t="shared" si="35"/>
        <v>1.9115529309410861E-2</v>
      </c>
      <c r="F91" s="28">
        <f t="shared" si="35"/>
        <v>1.9115529309410861E-2</v>
      </c>
      <c r="G91" s="28">
        <f t="shared" si="35"/>
        <v>1.9115529309410864E-2</v>
      </c>
      <c r="H91" s="29">
        <f t="shared" si="35"/>
        <v>1.9115529309410857E-2</v>
      </c>
    </row>
    <row r="92" spans="1:8" hidden="1" x14ac:dyDescent="0.2"/>
    <row r="93" spans="1:8" hidden="1" x14ac:dyDescent="0.2">
      <c r="A93" s="1"/>
      <c r="B93" s="4"/>
      <c r="C93" s="1640"/>
      <c r="D93" s="1640"/>
      <c r="E93" s="1640"/>
      <c r="F93" s="1640"/>
      <c r="G93" s="1640"/>
      <c r="H93" s="1640"/>
    </row>
    <row r="94" spans="1:8" x14ac:dyDescent="0.2">
      <c r="C94" s="1633"/>
      <c r="D94" s="1633"/>
      <c r="E94" s="1633"/>
      <c r="F94" s="1633"/>
      <c r="G94" s="1633"/>
      <c r="H94" s="1633"/>
    </row>
    <row r="95" spans="1:8" ht="16.2" x14ac:dyDescent="0.3">
      <c r="A95" s="1655" t="s">
        <v>980</v>
      </c>
      <c r="C95" s="1633"/>
      <c r="D95" s="1633"/>
      <c r="E95" s="1633"/>
      <c r="F95" s="1633"/>
      <c r="G95" s="1633"/>
      <c r="H95" s="1633"/>
    </row>
    <row r="96" spans="1:8" ht="16.8" thickBot="1" x14ac:dyDescent="0.35">
      <c r="A96" s="1655"/>
      <c r="C96" s="1633"/>
      <c r="D96" s="1633"/>
      <c r="E96" s="1633"/>
      <c r="F96" s="1633"/>
      <c r="G96" s="1633"/>
      <c r="H96" s="1633"/>
    </row>
    <row r="97" spans="1:9" ht="13.2" thickBot="1" x14ac:dyDescent="0.25">
      <c r="A97" s="24" t="s">
        <v>27</v>
      </c>
      <c r="B97" s="23" t="s">
        <v>36</v>
      </c>
      <c r="C97" s="1063">
        <f t="shared" ref="C97:H97" si="36">C62</f>
        <v>46023</v>
      </c>
      <c r="D97" s="425">
        <f t="shared" si="36"/>
        <v>46054</v>
      </c>
      <c r="E97" s="425">
        <f t="shared" si="36"/>
        <v>46082</v>
      </c>
      <c r="F97" s="425">
        <f t="shared" si="36"/>
        <v>46113</v>
      </c>
      <c r="G97" s="425">
        <f t="shared" si="36"/>
        <v>46143</v>
      </c>
      <c r="H97" s="1069">
        <f t="shared" si="36"/>
        <v>46174</v>
      </c>
    </row>
    <row r="98" spans="1:9" x14ac:dyDescent="0.2">
      <c r="A98" s="1656" t="s">
        <v>966</v>
      </c>
      <c r="B98" s="31"/>
      <c r="C98" s="1647"/>
      <c r="D98" s="1647"/>
      <c r="E98" s="1647"/>
      <c r="F98" s="1647"/>
      <c r="G98" s="1647"/>
      <c r="H98" s="1648"/>
    </row>
    <row r="99" spans="1:9" x14ac:dyDescent="0.2">
      <c r="A99" s="17" t="s">
        <v>972</v>
      </c>
      <c r="B99" s="31" t="s">
        <v>968</v>
      </c>
      <c r="C99" s="1647" t="e">
        <f>C67*'Gen. Capacity 33'!C6/1000000</f>
        <v>#DIV/0!</v>
      </c>
      <c r="D99" s="1647" t="e">
        <f>D67*'Gen. Capacity 33'!D6/1000000</f>
        <v>#DIV/0!</v>
      </c>
      <c r="E99" s="1647" t="e">
        <f>E67*'Gen. Capacity 33'!E6/1000000</f>
        <v>#DIV/0!</v>
      </c>
      <c r="F99" s="1647">
        <f>F67*'Gen. Capacity 33'!F6/1000000</f>
        <v>8.6656247810796554</v>
      </c>
      <c r="G99" s="1647">
        <f>G67*'Gen. Capacity 33'!G6/1000000</f>
        <v>6.6957905707807059</v>
      </c>
      <c r="H99" s="1647">
        <f>H67*'Gen. Capacity 33'!H6/1000000</f>
        <v>8.2278982530955798</v>
      </c>
    </row>
    <row r="100" spans="1:9" x14ac:dyDescent="0.2">
      <c r="A100" s="17" t="s">
        <v>973</v>
      </c>
      <c r="B100" s="31" t="s">
        <v>968</v>
      </c>
      <c r="C100" s="1647" t="e">
        <f t="shared" ref="C100:H100" si="37">C15+C21-C64-C99</f>
        <v>#DIV/0!</v>
      </c>
      <c r="D100" s="1647" t="e">
        <f t="shared" si="37"/>
        <v>#DIV/0!</v>
      </c>
      <c r="E100" s="1647" t="e">
        <f t="shared" si="37"/>
        <v>#DIV/0!</v>
      </c>
      <c r="F100" s="1647">
        <f t="shared" si="37"/>
        <v>1700.1179605594702</v>
      </c>
      <c r="G100" s="1647">
        <f t="shared" si="37"/>
        <v>1702.8656401685062</v>
      </c>
      <c r="H100" s="1648">
        <f t="shared" si="37"/>
        <v>1700.7033128834303</v>
      </c>
    </row>
    <row r="101" spans="1:9" x14ac:dyDescent="0.2">
      <c r="A101" s="17" t="s">
        <v>910</v>
      </c>
      <c r="B101" s="31" t="s">
        <v>968</v>
      </c>
      <c r="C101" s="1647" t="e">
        <f t="shared" ref="C101:H101" si="38">C100</f>
        <v>#DIV/0!</v>
      </c>
      <c r="D101" s="1647" t="e">
        <f t="shared" si="38"/>
        <v>#DIV/0!</v>
      </c>
      <c r="E101" s="1647" t="e">
        <f t="shared" si="38"/>
        <v>#DIV/0!</v>
      </c>
      <c r="F101" s="1647">
        <f t="shared" si="38"/>
        <v>1700.1179605594702</v>
      </c>
      <c r="G101" s="1647">
        <f t="shared" si="38"/>
        <v>1702.8656401685062</v>
      </c>
      <c r="H101" s="1648">
        <f t="shared" si="38"/>
        <v>1700.7033128834303</v>
      </c>
    </row>
    <row r="102" spans="1:9" x14ac:dyDescent="0.2">
      <c r="A102" s="1654" t="s">
        <v>966</v>
      </c>
      <c r="B102" s="31" t="str">
        <f>B107</f>
        <v>SLR/MW</v>
      </c>
      <c r="C102" s="1647" t="e">
        <f t="shared" ref="C102:H102" si="39">C101*1000000/C27</f>
        <v>#DIV/0!</v>
      </c>
      <c r="D102" s="1647" t="e">
        <f t="shared" si="39"/>
        <v>#DIV/0!</v>
      </c>
      <c r="E102" s="1647" t="e">
        <f t="shared" si="39"/>
        <v>#DIV/0!</v>
      </c>
      <c r="F102" s="1647">
        <f t="shared" si="39"/>
        <v>798591.42780112487</v>
      </c>
      <c r="G102" s="1647">
        <f t="shared" si="39"/>
        <v>767263.95051911345</v>
      </c>
      <c r="H102" s="1648">
        <f t="shared" si="39"/>
        <v>807446.94077352574</v>
      </c>
      <c r="I102" s="236"/>
    </row>
    <row r="103" spans="1:9" x14ac:dyDescent="0.2">
      <c r="A103" s="1659" t="s">
        <v>969</v>
      </c>
      <c r="B103" s="31"/>
      <c r="C103" s="1647"/>
      <c r="D103" s="1647"/>
      <c r="E103" s="1647"/>
      <c r="F103" s="1647"/>
      <c r="G103" s="1647"/>
      <c r="H103" s="1648"/>
    </row>
    <row r="104" spans="1:9" x14ac:dyDescent="0.2">
      <c r="A104" s="17" t="s">
        <v>972</v>
      </c>
      <c r="B104" s="31" t="s">
        <v>968</v>
      </c>
      <c r="C104" s="1647" t="e">
        <f>C72*'Gen. Capacity 33'!C6/1000000</f>
        <v>#DIV/0!</v>
      </c>
      <c r="D104" s="1647" t="e">
        <f>D72*'Gen. Capacity 33'!D6/1000000</f>
        <v>#DIV/0!</v>
      </c>
      <c r="E104" s="1647" t="e">
        <f>E72*'Gen. Capacity 33'!E6/1000000</f>
        <v>#DIV/0!</v>
      </c>
      <c r="F104" s="1647">
        <f>F72*'Gen. Capacity 33'!F6/1000000</f>
        <v>3.3923673059072801</v>
      </c>
      <c r="G104" s="1647">
        <f>G72*'Gen. Capacity 33'!G6/1000000</f>
        <v>2.6147933161088068</v>
      </c>
      <c r="H104" s="1647">
        <f>H72*'Gen. Capacity 33'!H6/1000000</f>
        <v>3.8820632352417022</v>
      </c>
    </row>
    <row r="105" spans="1:9" x14ac:dyDescent="0.2">
      <c r="A105" s="17" t="s">
        <v>973</v>
      </c>
      <c r="B105" s="31" t="s">
        <v>968</v>
      </c>
      <c r="C105" s="1647" t="e">
        <f t="shared" ref="C105:H105" si="40">C16+C22-C69-C104</f>
        <v>#DIV/0!</v>
      </c>
      <c r="D105" s="1647" t="e">
        <f t="shared" si="40"/>
        <v>#DIV/0!</v>
      </c>
      <c r="E105" s="1647" t="e">
        <f t="shared" si="40"/>
        <v>#DIV/0!</v>
      </c>
      <c r="F105" s="1647">
        <f t="shared" si="40"/>
        <v>665.55207861990334</v>
      </c>
      <c r="G105" s="1647">
        <f t="shared" si="40"/>
        <v>664.99118320314972</v>
      </c>
      <c r="H105" s="1648">
        <f t="shared" si="40"/>
        <v>802.42093447309867</v>
      </c>
    </row>
    <row r="106" spans="1:9" x14ac:dyDescent="0.2">
      <c r="A106" s="17" t="s">
        <v>910</v>
      </c>
      <c r="B106" s="31" t="s">
        <v>968</v>
      </c>
      <c r="C106" s="1647" t="e">
        <f t="shared" ref="C106:H106" si="41">C105</f>
        <v>#DIV/0!</v>
      </c>
      <c r="D106" s="1647" t="e">
        <f t="shared" si="41"/>
        <v>#DIV/0!</v>
      </c>
      <c r="E106" s="1647" t="e">
        <f t="shared" si="41"/>
        <v>#DIV/0!</v>
      </c>
      <c r="F106" s="1647">
        <f t="shared" si="41"/>
        <v>665.55207861990334</v>
      </c>
      <c r="G106" s="1647">
        <f t="shared" si="41"/>
        <v>664.99118320314972</v>
      </c>
      <c r="H106" s="1648">
        <f t="shared" si="41"/>
        <v>802.42093447309867</v>
      </c>
    </row>
    <row r="107" spans="1:9" ht="13.2" thickBot="1" x14ac:dyDescent="0.25">
      <c r="A107" s="10" t="s">
        <v>969</v>
      </c>
      <c r="B107" s="32" t="s">
        <v>42</v>
      </c>
      <c r="C107" s="1649" t="e">
        <f t="shared" ref="C107:H107" si="42">C106*1000000/C27</f>
        <v>#DIV/0!</v>
      </c>
      <c r="D107" s="1649" t="e">
        <f t="shared" si="42"/>
        <v>#DIV/0!</v>
      </c>
      <c r="E107" s="1649" t="e">
        <f t="shared" si="42"/>
        <v>#DIV/0!</v>
      </c>
      <c r="F107" s="1649">
        <f t="shared" si="42"/>
        <v>312627.82763977692</v>
      </c>
      <c r="G107" s="1649">
        <f t="shared" si="42"/>
        <v>299626.55317558657</v>
      </c>
      <c r="H107" s="1650">
        <f t="shared" si="42"/>
        <v>380967.28797125974</v>
      </c>
      <c r="I107" s="236"/>
    </row>
    <row r="111" spans="1:9" ht="15" hidden="1" customHeight="1" x14ac:dyDescent="0.3">
      <c r="A111" s="1655" t="s">
        <v>981</v>
      </c>
      <c r="B111" s="659" t="s">
        <v>982</v>
      </c>
      <c r="D111" s="659">
        <f>'Loss %'!B20</f>
        <v>0</v>
      </c>
    </row>
    <row r="112" spans="1:9" ht="13.5" hidden="1" customHeight="1" thickBot="1" x14ac:dyDescent="0.25">
      <c r="A112" s="1" t="s">
        <v>29</v>
      </c>
      <c r="B112" s="659"/>
    </row>
    <row r="113" spans="1:9" ht="13.5" hidden="1" customHeight="1" thickBot="1" x14ac:dyDescent="0.25">
      <c r="A113" s="46" t="s">
        <v>27</v>
      </c>
      <c r="B113" s="66" t="s">
        <v>36</v>
      </c>
      <c r="C113" s="425">
        <f t="shared" ref="C113:H113" si="43">C3</f>
        <v>46023</v>
      </c>
      <c r="D113" s="425">
        <f t="shared" si="43"/>
        <v>46054</v>
      </c>
      <c r="E113" s="425">
        <f t="shared" si="43"/>
        <v>46082</v>
      </c>
      <c r="F113" s="425">
        <f t="shared" si="43"/>
        <v>46113</v>
      </c>
      <c r="G113" s="425">
        <f t="shared" si="43"/>
        <v>46143</v>
      </c>
      <c r="H113" s="425">
        <f t="shared" si="43"/>
        <v>46174</v>
      </c>
    </row>
    <row r="114" spans="1:9" ht="12.75" hidden="1" customHeight="1" x14ac:dyDescent="0.2">
      <c r="A114" s="45" t="s">
        <v>28</v>
      </c>
      <c r="B114" s="91" t="s">
        <v>56</v>
      </c>
      <c r="C114" s="92">
        <f>+C115*0.0267*$D$111/2.6</f>
        <v>0</v>
      </c>
      <c r="D114" s="92">
        <f t="shared" ref="D114:H114" si="44">+D115*0.0267*$D$111/2.6</f>
        <v>0</v>
      </c>
      <c r="E114" s="92">
        <f t="shared" si="44"/>
        <v>0</v>
      </c>
      <c r="F114" s="92">
        <f t="shared" si="44"/>
        <v>0</v>
      </c>
      <c r="G114" s="92">
        <f t="shared" si="44"/>
        <v>0</v>
      </c>
      <c r="H114" s="92">
        <f t="shared" si="44"/>
        <v>0</v>
      </c>
      <c r="I114" s="338"/>
    </row>
    <row r="115" spans="1:9" ht="12.75" hidden="1" customHeight="1" x14ac:dyDescent="0.2">
      <c r="A115" s="468" t="s">
        <v>30</v>
      </c>
      <c r="B115" s="20" t="s">
        <v>56</v>
      </c>
      <c r="C115" s="540">
        <f>'[4]Gen. Energy Cost 33'!B10</f>
        <v>735.89994061729999</v>
      </c>
      <c r="D115" s="540">
        <f>'[4]Gen. Energy Cost 33'!H10</f>
        <v>687.64341286753199</v>
      </c>
      <c r="E115" s="540">
        <f>'[4]Gen. Energy Cost 33'!N10</f>
        <v>789.18650285225999</v>
      </c>
      <c r="F115" s="540">
        <f>'[4]Gen. Energy Cost 33'!T10</f>
        <v>734.79712329444396</v>
      </c>
      <c r="G115" s="540">
        <f>'[4]Gen. Energy Cost 33'!Z10</f>
        <v>781.18956770391105</v>
      </c>
      <c r="H115" s="541">
        <f>'[4]Gen. Energy Cost 33'!AF10</f>
        <v>772.73219055566301</v>
      </c>
    </row>
    <row r="116" spans="1:9" ht="13.5" hidden="1" customHeight="1" thickBot="1" x14ac:dyDescent="0.25">
      <c r="A116" s="10" t="s">
        <v>38</v>
      </c>
      <c r="B116" s="11" t="s">
        <v>37</v>
      </c>
      <c r="C116" s="28">
        <f t="shared" ref="C116:H116" si="45">C114/C115</f>
        <v>0</v>
      </c>
      <c r="D116" s="28">
        <f t="shared" si="45"/>
        <v>0</v>
      </c>
      <c r="E116" s="28">
        <f t="shared" si="45"/>
        <v>0</v>
      </c>
      <c r="F116" s="28">
        <f t="shared" si="45"/>
        <v>0</v>
      </c>
      <c r="G116" s="28">
        <f t="shared" si="45"/>
        <v>0</v>
      </c>
      <c r="H116" s="29">
        <f t="shared" si="45"/>
        <v>0</v>
      </c>
    </row>
    <row r="117" spans="1:9" ht="12.75" hidden="1" customHeight="1" x14ac:dyDescent="0.2">
      <c r="C117" s="2"/>
      <c r="D117" s="2"/>
      <c r="E117" s="2"/>
      <c r="F117" s="2"/>
      <c r="G117" s="2"/>
      <c r="H117" s="2"/>
    </row>
    <row r="118" spans="1:9" ht="13.5" hidden="1" customHeight="1" thickBot="1" x14ac:dyDescent="0.25">
      <c r="A118" s="1" t="s">
        <v>32</v>
      </c>
      <c r="B118" s="1"/>
    </row>
    <row r="119" spans="1:9" ht="13.5" hidden="1" customHeight="1" thickBot="1" x14ac:dyDescent="0.25">
      <c r="A119" s="22" t="s">
        <v>27</v>
      </c>
      <c r="B119" s="25" t="s">
        <v>36</v>
      </c>
      <c r="C119" s="425">
        <f t="shared" ref="C119:H119" si="46">+C3</f>
        <v>46023</v>
      </c>
      <c r="D119" s="425">
        <f t="shared" si="46"/>
        <v>46054</v>
      </c>
      <c r="E119" s="425">
        <f t="shared" si="46"/>
        <v>46082</v>
      </c>
      <c r="F119" s="425">
        <f t="shared" si="46"/>
        <v>46113</v>
      </c>
      <c r="G119" s="425">
        <f t="shared" si="46"/>
        <v>46143</v>
      </c>
      <c r="H119" s="425">
        <f t="shared" si="46"/>
        <v>46174</v>
      </c>
    </row>
    <row r="120" spans="1:9" ht="12.75" hidden="1" customHeight="1" x14ac:dyDescent="0.2">
      <c r="A120" s="6" t="s">
        <v>28</v>
      </c>
      <c r="B120" s="20" t="s">
        <v>56</v>
      </c>
      <c r="C120" s="540">
        <f>+C121*0.0341*$D111/2.6</f>
        <v>0</v>
      </c>
      <c r="D120" s="540">
        <f t="shared" ref="D120:H120" si="47">+D121*0.0341*$D111/2.6</f>
        <v>0</v>
      </c>
      <c r="E120" s="540">
        <f t="shared" si="47"/>
        <v>0</v>
      </c>
      <c r="F120" s="540">
        <f t="shared" si="47"/>
        <v>0</v>
      </c>
      <c r="G120" s="540">
        <f t="shared" si="47"/>
        <v>0</v>
      </c>
      <c r="H120" s="540">
        <f t="shared" si="47"/>
        <v>0</v>
      </c>
    </row>
    <row r="121" spans="1:9" ht="12.75" hidden="1" customHeight="1" x14ac:dyDescent="0.2">
      <c r="A121" s="468" t="s">
        <v>30</v>
      </c>
      <c r="B121" s="20" t="s">
        <v>56</v>
      </c>
      <c r="C121" s="540">
        <f>'[4]Gen. Energy Cost 33'!B11</f>
        <v>294.10085654952002</v>
      </c>
      <c r="D121" s="540">
        <f>'[4]Gen. Energy Cost 33'!H11</f>
        <v>274.815237184735</v>
      </c>
      <c r="E121" s="540">
        <f>'[4]Gen. Energy Cost 33'!N11</f>
        <v>315.396718569477</v>
      </c>
      <c r="F121" s="540">
        <f>'[4]Gen. Energy Cost 33'!T11</f>
        <v>293.66011793633601</v>
      </c>
      <c r="G121" s="540">
        <f>'[4]Gen. Energy Cost 33'!Z11</f>
        <v>312.20076033237302</v>
      </c>
      <c r="H121" s="541">
        <f>'[4]Gen. Energy Cost 33'!AF11</f>
        <v>308.820787422774</v>
      </c>
    </row>
    <row r="122" spans="1:9" ht="13.5" hidden="1" customHeight="1" thickBot="1" x14ac:dyDescent="0.25">
      <c r="A122" s="10" t="s">
        <v>38</v>
      </c>
      <c r="B122" s="11" t="s">
        <v>37</v>
      </c>
      <c r="C122" s="28">
        <f t="shared" ref="C122:H122" si="48">C120/C121</f>
        <v>0</v>
      </c>
      <c r="D122" s="28">
        <f t="shared" si="48"/>
        <v>0</v>
      </c>
      <c r="E122" s="28">
        <f t="shared" si="48"/>
        <v>0</v>
      </c>
      <c r="F122" s="28">
        <f t="shared" si="48"/>
        <v>0</v>
      </c>
      <c r="G122" s="28">
        <f t="shared" si="48"/>
        <v>0</v>
      </c>
      <c r="H122" s="29">
        <f t="shared" si="48"/>
        <v>0</v>
      </c>
    </row>
    <row r="123" spans="1:9" ht="12.75" hidden="1" customHeight="1" x14ac:dyDescent="0.2"/>
    <row r="124" spans="1:9" ht="13.5" hidden="1" customHeight="1" thickBot="1" x14ac:dyDescent="0.25">
      <c r="A124" s="1" t="s">
        <v>33</v>
      </c>
      <c r="B124" s="1"/>
    </row>
    <row r="125" spans="1:9" ht="13.5" hidden="1" customHeight="1" thickBot="1" x14ac:dyDescent="0.25">
      <c r="A125" s="22" t="s">
        <v>27</v>
      </c>
      <c r="B125" s="25" t="s">
        <v>36</v>
      </c>
      <c r="C125" s="425">
        <f t="shared" ref="C125:H125" si="49">+C3</f>
        <v>46023</v>
      </c>
      <c r="D125" s="425">
        <f t="shared" si="49"/>
        <v>46054</v>
      </c>
      <c r="E125" s="425">
        <f t="shared" si="49"/>
        <v>46082</v>
      </c>
      <c r="F125" s="425">
        <f t="shared" si="49"/>
        <v>46113</v>
      </c>
      <c r="G125" s="425">
        <f t="shared" si="49"/>
        <v>46143</v>
      </c>
      <c r="H125" s="425">
        <f t="shared" si="49"/>
        <v>46174</v>
      </c>
    </row>
    <row r="126" spans="1:9" ht="12.75" hidden="1" customHeight="1" x14ac:dyDescent="0.2">
      <c r="A126" s="6" t="s">
        <v>28</v>
      </c>
      <c r="B126" s="20" t="s">
        <v>56</v>
      </c>
      <c r="C126" s="540">
        <f>+C127*0.0189*$D$111/2.6</f>
        <v>0</v>
      </c>
      <c r="D126" s="540">
        <f t="shared" ref="D126:H126" si="50">+D127*0.0189*$D$111/2.6</f>
        <v>0</v>
      </c>
      <c r="E126" s="540">
        <f t="shared" si="50"/>
        <v>0</v>
      </c>
      <c r="F126" s="540">
        <f t="shared" si="50"/>
        <v>0</v>
      </c>
      <c r="G126" s="540">
        <f t="shared" si="50"/>
        <v>0</v>
      </c>
      <c r="H126" s="540">
        <f t="shared" si="50"/>
        <v>0</v>
      </c>
    </row>
    <row r="127" spans="1:9" ht="12.75" hidden="1" customHeight="1" x14ac:dyDescent="0.2">
      <c r="A127" s="468" t="s">
        <v>30</v>
      </c>
      <c r="B127" s="20" t="s">
        <v>56</v>
      </c>
      <c r="C127" s="540">
        <f>'[4]Gen. Energy Cost 33'!B12</f>
        <v>265.597689835469</v>
      </c>
      <c r="D127" s="540">
        <f>'[4]Gen. Energy Cost 33'!H12</f>
        <v>248.181161334232</v>
      </c>
      <c r="E127" s="540">
        <f>'[4]Gen. Energy Cost 33'!N12</f>
        <v>284.82963571252299</v>
      </c>
      <c r="F127" s="540">
        <f>'[4]Gen. Energy Cost 33'!T12</f>
        <v>265.199665977748</v>
      </c>
      <c r="G127" s="540">
        <f>'[4]Gen. Energy Cost 33'!Z12</f>
        <v>281.94341792130598</v>
      </c>
      <c r="H127" s="541">
        <f>'[4]Gen. Energy Cost 33'!AF12</f>
        <v>278.89101947871598</v>
      </c>
    </row>
    <row r="128" spans="1:9" ht="13.5" hidden="1" customHeight="1" thickBot="1" x14ac:dyDescent="0.25">
      <c r="A128" s="10" t="s">
        <v>38</v>
      </c>
      <c r="B128" s="11" t="s">
        <v>37</v>
      </c>
      <c r="C128" s="28">
        <f t="shared" ref="C128:H128" si="51">C126/C127</f>
        <v>0</v>
      </c>
      <c r="D128" s="28">
        <f t="shared" si="51"/>
        <v>0</v>
      </c>
      <c r="E128" s="28">
        <f t="shared" si="51"/>
        <v>0</v>
      </c>
      <c r="F128" s="28">
        <f t="shared" si="51"/>
        <v>0</v>
      </c>
      <c r="G128" s="28">
        <f t="shared" si="51"/>
        <v>0</v>
      </c>
      <c r="H128" s="29">
        <f t="shared" si="51"/>
        <v>0</v>
      </c>
    </row>
  </sheetData>
  <pageMargins left="0.75" right="0.31" top="1" bottom="1" header="0" footer="0"/>
  <pageSetup paperSize="9" scale="60" fitToWidth="0" fitToHeight="0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81249" r:id="rId4" name="CommandButton1">
          <controlPr defaultSize="0" autoLine="0" r:id="rId5">
            <anchor moveWithCells="1">
              <from>
                <xdr:col>5</xdr:col>
                <xdr:colOff>411480</xdr:colOff>
                <xdr:row>0</xdr:row>
                <xdr:rowOff>30480</xdr:rowOff>
              </from>
              <to>
                <xdr:col>5</xdr:col>
                <xdr:colOff>1165860</xdr:colOff>
                <xdr:row>1</xdr:row>
                <xdr:rowOff>99060</xdr:rowOff>
              </to>
            </anchor>
          </controlPr>
        </control>
      </mc:Choice>
      <mc:Fallback>
        <control shapeId="181249" r:id="rId4" name="CommandButton1"/>
      </mc:Fallback>
    </mc:AlternateContent>
  </control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B050"/>
  </sheetPr>
  <dimension ref="A1:L88"/>
  <sheetViews>
    <sheetView workbookViewId="0">
      <selection activeCell="D13" sqref="D13"/>
    </sheetView>
  </sheetViews>
  <sheetFormatPr defaultColWidth="9" defaultRowHeight="12.6" x14ac:dyDescent="0.2"/>
  <cols>
    <col min="1" max="1" width="17.90625" style="1463" customWidth="1"/>
    <col min="2" max="2" width="24.7265625" style="1463" customWidth="1"/>
    <col min="3" max="3" width="30.90625" style="1463" bestFit="1" customWidth="1"/>
    <col min="4" max="4" width="23.08984375" style="1463" bestFit="1" customWidth="1"/>
    <col min="5" max="5" width="20.36328125" style="1463" customWidth="1"/>
    <col min="6" max="6" width="28.26953125" style="1463" customWidth="1"/>
    <col min="7" max="7" width="14.08984375" style="1463" customWidth="1"/>
    <col min="8" max="8" width="22.08984375" style="1463" customWidth="1"/>
    <col min="9" max="9" width="19.6328125" style="1463" customWidth="1"/>
    <col min="10" max="10" width="19.26953125" style="1463" customWidth="1"/>
    <col min="11" max="11" width="19" style="1463" bestFit="1" customWidth="1"/>
    <col min="12" max="12" width="21.08984375" style="1463" customWidth="1"/>
    <col min="13" max="16384" width="9" style="1463"/>
  </cols>
  <sheetData>
    <row r="1" spans="1:3" s="1455" customFormat="1" ht="16.2" x14ac:dyDescent="0.3">
      <c r="A1" s="1674" t="s">
        <v>1147</v>
      </c>
      <c r="B1" s="1674"/>
      <c r="C1" s="1674" t="s">
        <v>1084</v>
      </c>
    </row>
    <row r="2" spans="1:3" ht="19.8" x14ac:dyDescent="0.3">
      <c r="A2" s="1676"/>
      <c r="B2" s="1676"/>
    </row>
    <row r="3" spans="1:3" x14ac:dyDescent="0.2">
      <c r="A3" s="1852" t="s">
        <v>1135</v>
      </c>
    </row>
    <row r="4" spans="1:3" x14ac:dyDescent="0.2">
      <c r="A4" s="1852"/>
    </row>
    <row r="5" spans="1:3" ht="37.799999999999997" x14ac:dyDescent="0.2">
      <c r="B5" s="1464" t="s">
        <v>1134</v>
      </c>
    </row>
    <row r="6" spans="1:3" x14ac:dyDescent="0.2">
      <c r="A6" s="1839" t="s">
        <v>705</v>
      </c>
      <c r="B6" s="1851">
        <v>0.01</v>
      </c>
    </row>
    <row r="7" spans="1:3" x14ac:dyDescent="0.2">
      <c r="A7" s="1839" t="s">
        <v>706</v>
      </c>
      <c r="B7" s="1851">
        <v>0.01</v>
      </c>
    </row>
    <row r="8" spans="1:3" x14ac:dyDescent="0.2">
      <c r="A8" s="1839" t="s">
        <v>707</v>
      </c>
      <c r="B8" s="1851">
        <v>0.01</v>
      </c>
    </row>
    <row r="10" spans="1:3" x14ac:dyDescent="0.2">
      <c r="A10" s="1852" t="s">
        <v>1133</v>
      </c>
    </row>
    <row r="12" spans="1:3" x14ac:dyDescent="0.2">
      <c r="B12" s="1839" t="s">
        <v>1132</v>
      </c>
    </row>
    <row r="13" spans="1:3" ht="50.4" x14ac:dyDescent="0.2">
      <c r="A13" s="1464" t="s">
        <v>1131</v>
      </c>
      <c r="B13" s="1851">
        <v>0.02</v>
      </c>
    </row>
    <row r="14" spans="1:3" ht="50.4" x14ac:dyDescent="0.2">
      <c r="A14" s="1464" t="s">
        <v>1130</v>
      </c>
      <c r="B14" s="1851">
        <v>0.01</v>
      </c>
    </row>
    <row r="16" spans="1:3" x14ac:dyDescent="0.2">
      <c r="A16" s="1852" t="s">
        <v>1129</v>
      </c>
    </row>
    <row r="18" spans="1:4" x14ac:dyDescent="0.2">
      <c r="B18" s="1839" t="s">
        <v>1128</v>
      </c>
    </row>
    <row r="19" spans="1:4" ht="37.799999999999997" x14ac:dyDescent="0.2">
      <c r="A19" s="1464" t="s">
        <v>1127</v>
      </c>
      <c r="B19" s="1851">
        <v>0.4</v>
      </c>
    </row>
    <row r="22" spans="1:4" ht="13.8" x14ac:dyDescent="0.25">
      <c r="A22" s="1847" t="s">
        <v>1126</v>
      </c>
    </row>
    <row r="23" spans="1:4" ht="13.8" x14ac:dyDescent="0.25">
      <c r="A23" s="1847"/>
    </row>
    <row r="24" spans="1:4" s="1476" customFormat="1" ht="25.2" x14ac:dyDescent="0.2">
      <c r="A24" s="1464"/>
      <c r="B24" s="1464" t="s">
        <v>1125</v>
      </c>
      <c r="C24" s="1464" t="s">
        <v>1124</v>
      </c>
      <c r="D24" s="1464" t="s">
        <v>1123</v>
      </c>
    </row>
    <row r="25" spans="1:4" x14ac:dyDescent="0.2">
      <c r="A25" s="1839" t="s">
        <v>705</v>
      </c>
      <c r="B25" s="1850">
        <f>'Bulk Supply Tariffs'!F58</f>
        <v>25.309379620955351</v>
      </c>
      <c r="C25" s="1849">
        <f>B6</f>
        <v>0.01</v>
      </c>
      <c r="D25" s="1848">
        <f>(1-C25)*B25</f>
        <v>25.056285824745796</v>
      </c>
    </row>
    <row r="26" spans="1:4" x14ac:dyDescent="0.2">
      <c r="A26" s="1839" t="s">
        <v>706</v>
      </c>
      <c r="B26" s="1850">
        <f>'Bulk Supply Tariffs'!F59</f>
        <v>33.201967805179478</v>
      </c>
      <c r="C26" s="1849">
        <f>B7</f>
        <v>0.01</v>
      </c>
      <c r="D26" s="1848">
        <f>(1-C26)*B26</f>
        <v>32.869948127127685</v>
      </c>
    </row>
    <row r="27" spans="1:4" x14ac:dyDescent="0.2">
      <c r="A27" s="1839" t="s">
        <v>707</v>
      </c>
      <c r="B27" s="1850">
        <f>'Bulk Supply Tariffs'!F60</f>
        <v>15.039791627630633</v>
      </c>
      <c r="C27" s="1849">
        <f>B8</f>
        <v>0.01</v>
      </c>
      <c r="D27" s="1848">
        <f>(1-C27)*B27</f>
        <v>14.889393711354327</v>
      </c>
    </row>
    <row r="30" spans="1:4" ht="13.8" x14ac:dyDescent="0.25">
      <c r="A30" s="1847" t="s">
        <v>1122</v>
      </c>
    </row>
    <row r="32" spans="1:4" x14ac:dyDescent="0.2">
      <c r="A32" s="1843" t="s">
        <v>1121</v>
      </c>
    </row>
    <row r="34" spans="1:12" s="1476" customFormat="1" x14ac:dyDescent="0.2">
      <c r="A34" s="3089" t="s">
        <v>27</v>
      </c>
      <c r="B34" s="3089" t="s">
        <v>1120</v>
      </c>
      <c r="C34" s="3089" t="s">
        <v>1108</v>
      </c>
      <c r="D34" s="3089" t="s">
        <v>1107</v>
      </c>
      <c r="E34" s="3091" t="s">
        <v>1106</v>
      </c>
      <c r="F34" s="3092"/>
      <c r="G34" s="3089" t="s">
        <v>1105</v>
      </c>
      <c r="H34" s="3089" t="s">
        <v>1104</v>
      </c>
      <c r="I34" s="3091" t="s">
        <v>1103</v>
      </c>
      <c r="J34" s="3092"/>
    </row>
    <row r="35" spans="1:12" s="1845" customFormat="1" ht="45.75" customHeight="1" x14ac:dyDescent="0.2">
      <c r="A35" s="3090"/>
      <c r="B35" s="3090"/>
      <c r="C35" s="3090"/>
      <c r="D35" s="3090"/>
      <c r="E35" s="1846" t="s">
        <v>1101</v>
      </c>
      <c r="F35" s="1846" t="s">
        <v>1119</v>
      </c>
      <c r="G35" s="3090"/>
      <c r="H35" s="3090"/>
      <c r="I35" s="1846" t="s">
        <v>1101</v>
      </c>
      <c r="J35" s="1846" t="s">
        <v>1118</v>
      </c>
    </row>
    <row r="36" spans="1:12" x14ac:dyDescent="0.2">
      <c r="A36" s="1842">
        <f>'[16]TR &amp; BSS, TLF'!C3</f>
        <v>44562</v>
      </c>
      <c r="B36" s="832">
        <f>'Gen. Capacity'!C58*1000000</f>
        <v>6034567062.5324726</v>
      </c>
      <c r="C36" s="1844">
        <f>'Gen. Capacity'!C5</f>
        <v>0</v>
      </c>
      <c r="D36" s="1844">
        <f t="shared" ref="D36:D41" si="0">C36*$B$13</f>
        <v>0</v>
      </c>
      <c r="E36" s="1844">
        <f t="shared" ref="E36:E41" si="1">C36-D36</f>
        <v>0</v>
      </c>
      <c r="F36" s="832" t="e">
        <f t="shared" ref="F36:F41" si="2">B36/E36</f>
        <v>#DIV/0!</v>
      </c>
      <c r="G36" s="423">
        <f>'tx consumer data'!B4</f>
        <v>16.625</v>
      </c>
      <c r="H36" s="1844">
        <f t="shared" ref="H36:H41" si="3">(E36-G36)*$B$14</f>
        <v>-0.16625000000000001</v>
      </c>
      <c r="I36" s="1844">
        <f t="shared" ref="I36:I41" si="4">E36-G36-H36</f>
        <v>-16.458749999999998</v>
      </c>
      <c r="J36" s="832" t="e">
        <f t="shared" ref="J36:J41" si="5">(B36-(F36*G36))/I36</f>
        <v>#DIV/0!</v>
      </c>
    </row>
    <row r="37" spans="1:12" x14ac:dyDescent="0.2">
      <c r="A37" s="1842">
        <f>'[16]TR &amp; BSS, TLF'!D3</f>
        <v>44593</v>
      </c>
      <c r="B37" s="832">
        <f>'Gen. Capacity'!D58*1000000</f>
        <v>6215737252.4962139</v>
      </c>
      <c r="C37" s="1844">
        <f>'Gen. Capacity'!D5</f>
        <v>0</v>
      </c>
      <c r="D37" s="1844">
        <f t="shared" si="0"/>
        <v>0</v>
      </c>
      <c r="E37" s="1844">
        <f t="shared" si="1"/>
        <v>0</v>
      </c>
      <c r="F37" s="832" t="e">
        <f t="shared" si="2"/>
        <v>#DIV/0!</v>
      </c>
      <c r="G37" s="423">
        <f>'tx consumer data'!C4</f>
        <v>16.242899999999999</v>
      </c>
      <c r="H37" s="1844">
        <f t="shared" si="3"/>
        <v>-0.16242899999999999</v>
      </c>
      <c r="I37" s="1844">
        <f t="shared" si="4"/>
        <v>-16.080470999999999</v>
      </c>
      <c r="J37" s="832" t="e">
        <f t="shared" si="5"/>
        <v>#DIV/0!</v>
      </c>
    </row>
    <row r="38" spans="1:12" x14ac:dyDescent="0.2">
      <c r="A38" s="1842">
        <f>'[16]TR &amp; BSS, TLF'!E3</f>
        <v>44621</v>
      </c>
      <c r="B38" s="832">
        <f>'Gen. Capacity'!E58*1000000</f>
        <v>6333151142.1898289</v>
      </c>
      <c r="C38" s="1844">
        <f>'Gen. Capacity'!E5</f>
        <v>0</v>
      </c>
      <c r="D38" s="1844">
        <f t="shared" si="0"/>
        <v>0</v>
      </c>
      <c r="E38" s="1844">
        <f t="shared" si="1"/>
        <v>0</v>
      </c>
      <c r="F38" s="832" t="e">
        <f t="shared" si="2"/>
        <v>#DIV/0!</v>
      </c>
      <c r="G38" s="423">
        <f>'tx consumer data'!D4</f>
        <v>16.546900000000001</v>
      </c>
      <c r="H38" s="1844">
        <f t="shared" si="3"/>
        <v>-0.165469</v>
      </c>
      <c r="I38" s="1844">
        <f t="shared" si="4"/>
        <v>-16.381430999999999</v>
      </c>
      <c r="J38" s="832" t="e">
        <f t="shared" si="5"/>
        <v>#DIV/0!</v>
      </c>
    </row>
    <row r="39" spans="1:12" x14ac:dyDescent="0.2">
      <c r="A39" s="1842">
        <f>'[16]TR &amp; BSS, TLF'!F3</f>
        <v>44652</v>
      </c>
      <c r="B39" s="832">
        <f>'Gen. Capacity'!F58*1000000</f>
        <v>6064185129.977767</v>
      </c>
      <c r="C39" s="1844">
        <f>'Gen. Capacity'!F5</f>
        <v>2834.8154617842506</v>
      </c>
      <c r="D39" s="1844">
        <f t="shared" si="0"/>
        <v>56.696309235685014</v>
      </c>
      <c r="E39" s="1844">
        <f t="shared" si="1"/>
        <v>2778.1191525485656</v>
      </c>
      <c r="F39" s="832">
        <f t="shared" si="2"/>
        <v>2182838.3870485397</v>
      </c>
      <c r="G39" s="423">
        <f>'tx consumer data'!E4</f>
        <v>17.335100000000001</v>
      </c>
      <c r="H39" s="1844">
        <f t="shared" si="3"/>
        <v>27.60784052548566</v>
      </c>
      <c r="I39" s="1844">
        <f t="shared" si="4"/>
        <v>2733.1762120230801</v>
      </c>
      <c r="J39" s="832">
        <f t="shared" si="5"/>
        <v>2204887.2596449899</v>
      </c>
    </row>
    <row r="40" spans="1:12" x14ac:dyDescent="0.2">
      <c r="A40" s="1842">
        <f>'[16]TR &amp; BSS, TLF'!G3</f>
        <v>44682</v>
      </c>
      <c r="B40" s="832">
        <f>'Gen. Capacity'!G58*1000000</f>
        <v>6167423689.0124741</v>
      </c>
      <c r="C40" s="1844">
        <f>'Gen. Capacity'!G5</f>
        <v>2729.7789003212042</v>
      </c>
      <c r="D40" s="1844">
        <f t="shared" si="0"/>
        <v>54.595578006424084</v>
      </c>
      <c r="E40" s="1844">
        <f t="shared" si="1"/>
        <v>2675.1833223147801</v>
      </c>
      <c r="F40" s="832">
        <f t="shared" si="2"/>
        <v>2305420.9547314057</v>
      </c>
      <c r="G40" s="423">
        <f>'tx consumer data'!F4</f>
        <v>14.3452</v>
      </c>
      <c r="H40" s="1844">
        <f t="shared" si="3"/>
        <v>26.608381223147799</v>
      </c>
      <c r="I40" s="1844">
        <f t="shared" si="4"/>
        <v>2634.2297410916321</v>
      </c>
      <c r="J40" s="832">
        <f t="shared" si="5"/>
        <v>2328708.035082228</v>
      </c>
    </row>
    <row r="41" spans="1:12" x14ac:dyDescent="0.2">
      <c r="A41" s="1842">
        <f>'[16]TR &amp; BSS, TLF'!H3</f>
        <v>44713</v>
      </c>
      <c r="B41" s="832">
        <f>'Gen. Capacity'!H58*1000000</f>
        <v>6082123607.3186541</v>
      </c>
      <c r="C41" s="1844">
        <f>'[16]Gen. Capacity'!H5</f>
        <v>2621.5090222564399</v>
      </c>
      <c r="D41" s="1844">
        <f t="shared" si="0"/>
        <v>52.430180445128798</v>
      </c>
      <c r="E41" s="1844">
        <f t="shared" si="1"/>
        <v>2569.0788418113111</v>
      </c>
      <c r="F41" s="832">
        <f t="shared" si="2"/>
        <v>2367433.6140772137</v>
      </c>
      <c r="G41" s="423">
        <f>'tx consumer data'!G4</f>
        <v>15.8498</v>
      </c>
      <c r="H41" s="1844">
        <f t="shared" si="3"/>
        <v>25.532290418113114</v>
      </c>
      <c r="I41" s="1844">
        <f t="shared" si="4"/>
        <v>2527.6967513931982</v>
      </c>
      <c r="J41" s="832">
        <f t="shared" si="5"/>
        <v>2391347.0849264781</v>
      </c>
    </row>
    <row r="42" spans="1:12" x14ac:dyDescent="0.2">
      <c r="B42" s="1275">
        <f>SUM(B36:B41)</f>
        <v>36897187883.527412</v>
      </c>
      <c r="C42" s="1467">
        <f>AVERAGE(C36:C41)</f>
        <v>1364.3505640603159</v>
      </c>
    </row>
    <row r="43" spans="1:12" x14ac:dyDescent="0.2">
      <c r="B43" s="1275">
        <f>'Gen. Capacity'!I58*1000000</f>
        <v>18313732426.308895</v>
      </c>
    </row>
    <row r="45" spans="1:12" x14ac:dyDescent="0.2">
      <c r="A45" s="1843" t="s">
        <v>1117</v>
      </c>
    </row>
    <row r="47" spans="1:12" ht="12.75" customHeight="1" x14ac:dyDescent="0.2">
      <c r="A47" s="3089" t="s">
        <v>27</v>
      </c>
      <c r="B47" s="3089" t="s">
        <v>1116</v>
      </c>
      <c r="C47" s="3089" t="s">
        <v>1115</v>
      </c>
      <c r="D47" s="3089" t="s">
        <v>1108</v>
      </c>
      <c r="E47" s="3089" t="s">
        <v>1107</v>
      </c>
      <c r="F47" s="3091" t="s">
        <v>1106</v>
      </c>
      <c r="G47" s="3092"/>
      <c r="H47" s="3089" t="s">
        <v>1105</v>
      </c>
      <c r="I47" s="3089" t="s">
        <v>1104</v>
      </c>
      <c r="J47" s="3088" t="s">
        <v>1103</v>
      </c>
      <c r="K47" s="3088"/>
      <c r="L47" s="3088"/>
    </row>
    <row r="48" spans="1:12" s="1477" customFormat="1" ht="50.4" x14ac:dyDescent="0.2">
      <c r="A48" s="3090"/>
      <c r="B48" s="3090"/>
      <c r="C48" s="3090"/>
      <c r="D48" s="3090"/>
      <c r="E48" s="3090"/>
      <c r="F48" s="1846" t="s">
        <v>1101</v>
      </c>
      <c r="G48" s="1846" t="s">
        <v>1114</v>
      </c>
      <c r="H48" s="3090"/>
      <c r="I48" s="3090"/>
      <c r="J48" s="1846" t="s">
        <v>1101</v>
      </c>
      <c r="K48" s="1846" t="s">
        <v>1113</v>
      </c>
      <c r="L48" s="1846" t="s">
        <v>1112</v>
      </c>
    </row>
    <row r="49" spans="1:12" x14ac:dyDescent="0.2">
      <c r="A49" s="1842">
        <v>44217</v>
      </c>
      <c r="B49" s="832">
        <f>'TR &amp; BSS, TLF'!C4*1000000</f>
        <v>1713174254.027025</v>
      </c>
      <c r="C49" s="832">
        <f t="shared" ref="C49:C54" si="6">B49*$B$19</f>
        <v>685269701.61081004</v>
      </c>
      <c r="D49" s="1844">
        <f t="shared" ref="D49:D54" si="7">C36</f>
        <v>0</v>
      </c>
      <c r="E49" s="1844">
        <f>D49*$B$13</f>
        <v>0</v>
      </c>
      <c r="F49" s="1844">
        <f t="shared" ref="F49:F54" si="8">D49-E49</f>
        <v>0</v>
      </c>
      <c r="G49" s="832" t="e">
        <f t="shared" ref="G49:G54" si="9">C49/F49</f>
        <v>#DIV/0!</v>
      </c>
      <c r="H49" s="423">
        <f t="shared" ref="H49:H54" si="10">G36</f>
        <v>16.625</v>
      </c>
      <c r="I49" s="1844">
        <f t="shared" ref="I49:I54" si="11">(F49-H49)*$B$14</f>
        <v>-0.16625000000000001</v>
      </c>
      <c r="J49" s="1844">
        <f t="shared" ref="J49:J54" si="12">F49-H49-I49</f>
        <v>-16.458749999999998</v>
      </c>
      <c r="K49" s="832">
        <f t="shared" ref="K49:K54" si="13">B49*(1-$B$19)</f>
        <v>1027904552.4162149</v>
      </c>
      <c r="L49" s="832" t="e">
        <f t="shared" ref="L49:L54" si="14">(C49-(G49*H49)+K49)/J49</f>
        <v>#DIV/0!</v>
      </c>
    </row>
    <row r="50" spans="1:12" x14ac:dyDescent="0.2">
      <c r="A50" s="1842">
        <v>44248</v>
      </c>
      <c r="B50" s="832">
        <f>'TR &amp; BSS, TLF'!D4*1000000</f>
        <v>1713174254.027025</v>
      </c>
      <c r="C50" s="832">
        <f t="shared" si="6"/>
        <v>685269701.61081004</v>
      </c>
      <c r="D50" s="1844">
        <f t="shared" si="7"/>
        <v>0</v>
      </c>
      <c r="E50" s="1844">
        <f>D50*0.02</f>
        <v>0</v>
      </c>
      <c r="F50" s="1844">
        <f t="shared" si="8"/>
        <v>0</v>
      </c>
      <c r="G50" s="832" t="e">
        <f t="shared" si="9"/>
        <v>#DIV/0!</v>
      </c>
      <c r="H50" s="423">
        <f t="shared" si="10"/>
        <v>16.242899999999999</v>
      </c>
      <c r="I50" s="1844">
        <f t="shared" si="11"/>
        <v>-0.16242899999999999</v>
      </c>
      <c r="J50" s="1844">
        <f t="shared" si="12"/>
        <v>-16.080470999999999</v>
      </c>
      <c r="K50" s="832">
        <f t="shared" si="13"/>
        <v>1027904552.4162149</v>
      </c>
      <c r="L50" s="832" t="e">
        <f t="shared" si="14"/>
        <v>#DIV/0!</v>
      </c>
    </row>
    <row r="51" spans="1:12" x14ac:dyDescent="0.2">
      <c r="A51" s="1842">
        <v>44276</v>
      </c>
      <c r="B51" s="832">
        <f>'TR &amp; BSS, TLF'!E4*1000000</f>
        <v>1713174254.027025</v>
      </c>
      <c r="C51" s="832">
        <f t="shared" si="6"/>
        <v>685269701.61081004</v>
      </c>
      <c r="D51" s="1844">
        <f t="shared" si="7"/>
        <v>0</v>
      </c>
      <c r="E51" s="1844">
        <f>D51*0.02</f>
        <v>0</v>
      </c>
      <c r="F51" s="1844">
        <f t="shared" si="8"/>
        <v>0</v>
      </c>
      <c r="G51" s="832" t="e">
        <f t="shared" si="9"/>
        <v>#DIV/0!</v>
      </c>
      <c r="H51" s="423">
        <f t="shared" si="10"/>
        <v>16.546900000000001</v>
      </c>
      <c r="I51" s="1844">
        <f t="shared" si="11"/>
        <v>-0.165469</v>
      </c>
      <c r="J51" s="1844">
        <f t="shared" si="12"/>
        <v>-16.381430999999999</v>
      </c>
      <c r="K51" s="832">
        <f t="shared" si="13"/>
        <v>1027904552.4162149</v>
      </c>
      <c r="L51" s="832" t="e">
        <f t="shared" si="14"/>
        <v>#DIV/0!</v>
      </c>
    </row>
    <row r="52" spans="1:12" x14ac:dyDescent="0.2">
      <c r="A52" s="1842">
        <v>44307</v>
      </c>
      <c r="B52" s="832">
        <f>'TR &amp; BSS, TLF'!F4*1000000</f>
        <v>1713174254.027025</v>
      </c>
      <c r="C52" s="832">
        <f t="shared" si="6"/>
        <v>685269701.61081004</v>
      </c>
      <c r="D52" s="1844">
        <f t="shared" si="7"/>
        <v>2834.8154617842506</v>
      </c>
      <c r="E52" s="1844">
        <f>D52*0.02</f>
        <v>56.696309235685014</v>
      </c>
      <c r="F52" s="1844">
        <f t="shared" si="8"/>
        <v>2778.1191525485656</v>
      </c>
      <c r="G52" s="832">
        <f t="shared" si="9"/>
        <v>246666.77848650358</v>
      </c>
      <c r="H52" s="423">
        <f t="shared" si="10"/>
        <v>17.335100000000001</v>
      </c>
      <c r="I52" s="1844">
        <f t="shared" si="11"/>
        <v>27.60784052548566</v>
      </c>
      <c r="J52" s="1844">
        <f t="shared" si="12"/>
        <v>2733.1762120230801</v>
      </c>
      <c r="K52" s="832">
        <f t="shared" si="13"/>
        <v>1027904552.4162149</v>
      </c>
      <c r="L52" s="832">
        <f t="shared" si="14"/>
        <v>625242.62183972681</v>
      </c>
    </row>
    <row r="53" spans="1:12" x14ac:dyDescent="0.2">
      <c r="A53" s="1842">
        <v>44337</v>
      </c>
      <c r="B53" s="832">
        <f>'TR &amp; BSS, TLF'!G4*1000000</f>
        <v>1713174254.027025</v>
      </c>
      <c r="C53" s="832">
        <f t="shared" si="6"/>
        <v>685269701.61081004</v>
      </c>
      <c r="D53" s="1844">
        <f t="shared" si="7"/>
        <v>2729.7789003212042</v>
      </c>
      <c r="E53" s="1844">
        <f>D53*0.02</f>
        <v>54.595578006424084</v>
      </c>
      <c r="F53" s="1844">
        <f t="shared" si="8"/>
        <v>2675.1833223147801</v>
      </c>
      <c r="G53" s="832">
        <f t="shared" si="9"/>
        <v>256158.03443999513</v>
      </c>
      <c r="H53" s="423">
        <f t="shared" si="10"/>
        <v>14.3452</v>
      </c>
      <c r="I53" s="1844">
        <f t="shared" si="11"/>
        <v>26.608381223147799</v>
      </c>
      <c r="J53" s="1844">
        <f t="shared" si="12"/>
        <v>2634.2297410916321</v>
      </c>
      <c r="K53" s="832">
        <f t="shared" si="13"/>
        <v>1027904552.4162149</v>
      </c>
      <c r="L53" s="832">
        <f t="shared" si="14"/>
        <v>648956.15941339836</v>
      </c>
    </row>
    <row r="54" spans="1:12" x14ac:dyDescent="0.2">
      <c r="A54" s="1842">
        <v>44368</v>
      </c>
      <c r="B54" s="832">
        <f>'TR &amp; BSS, TLF'!H4*1000000</f>
        <v>1713174254.027025</v>
      </c>
      <c r="C54" s="832">
        <f t="shared" si="6"/>
        <v>685269701.61081004</v>
      </c>
      <c r="D54" s="1844">
        <f t="shared" si="7"/>
        <v>2621.5090222564399</v>
      </c>
      <c r="E54" s="1844">
        <f>D54*0.02</f>
        <v>52.430180445128798</v>
      </c>
      <c r="F54" s="1844">
        <f t="shared" si="8"/>
        <v>2569.0788418113111</v>
      </c>
      <c r="G54" s="832">
        <f t="shared" si="9"/>
        <v>266737.51325111743</v>
      </c>
      <c r="H54" s="423">
        <f t="shared" si="10"/>
        <v>15.8498</v>
      </c>
      <c r="I54" s="1844">
        <f t="shared" si="11"/>
        <v>25.532290418113114</v>
      </c>
      <c r="J54" s="1844">
        <f t="shared" si="12"/>
        <v>2527.6967513931982</v>
      </c>
      <c r="K54" s="832">
        <f t="shared" si="13"/>
        <v>1027904552.4162149</v>
      </c>
      <c r="L54" s="832">
        <f t="shared" si="14"/>
        <v>676088.42589506519</v>
      </c>
    </row>
    <row r="57" spans="1:12" x14ac:dyDescent="0.2">
      <c r="A57" s="1843" t="s">
        <v>1111</v>
      </c>
    </row>
    <row r="59" spans="1:12" ht="12.75" customHeight="1" x14ac:dyDescent="0.2">
      <c r="A59" s="3089" t="s">
        <v>27</v>
      </c>
      <c r="B59" s="3089" t="s">
        <v>1110</v>
      </c>
      <c r="C59" s="3089" t="s">
        <v>1109</v>
      </c>
      <c r="D59" s="3089" t="s">
        <v>1108</v>
      </c>
      <c r="E59" s="3089" t="s">
        <v>1107</v>
      </c>
      <c r="F59" s="3091" t="s">
        <v>1106</v>
      </c>
      <c r="G59" s="3092"/>
      <c r="H59" s="3089" t="s">
        <v>1105</v>
      </c>
      <c r="I59" s="3089" t="s">
        <v>1104</v>
      </c>
      <c r="J59" s="3088" t="s">
        <v>1103</v>
      </c>
      <c r="K59" s="3088"/>
      <c r="L59" s="3088"/>
    </row>
    <row r="60" spans="1:12" s="1845" customFormat="1" ht="50.4" x14ac:dyDescent="0.2">
      <c r="A60" s="3090"/>
      <c r="B60" s="3090"/>
      <c r="C60" s="3090"/>
      <c r="D60" s="3090"/>
      <c r="E60" s="3090"/>
      <c r="F60" s="1846" t="s">
        <v>1101</v>
      </c>
      <c r="G60" s="1846" t="s">
        <v>1102</v>
      </c>
      <c r="H60" s="3090"/>
      <c r="I60" s="3090"/>
      <c r="J60" s="1846" t="s">
        <v>1101</v>
      </c>
      <c r="K60" s="1846" t="s">
        <v>1100</v>
      </c>
      <c r="L60" s="1846" t="s">
        <v>1099</v>
      </c>
    </row>
    <row r="61" spans="1:12" x14ac:dyDescent="0.2">
      <c r="A61" s="1842">
        <v>44217</v>
      </c>
      <c r="B61" s="832">
        <f>('TR &amp; BSS, TLF'!C5+'TR &amp; BSS, TLF'!C7)*1000000</f>
        <v>598944305.05133164</v>
      </c>
      <c r="C61" s="832">
        <f t="shared" ref="C61:C66" si="15">B61*$B$19</f>
        <v>239577722.02053267</v>
      </c>
      <c r="D61" s="1844">
        <f t="shared" ref="D61:D66" si="16">C36</f>
        <v>0</v>
      </c>
      <c r="E61" s="1844">
        <f t="shared" ref="E61:E66" si="17">D61*$B$13</f>
        <v>0</v>
      </c>
      <c r="F61" s="1844">
        <f t="shared" ref="F61:F66" si="18">D61-E61</f>
        <v>0</v>
      </c>
      <c r="G61" s="832" t="e">
        <f t="shared" ref="G61:G66" si="19">C61/F61</f>
        <v>#DIV/0!</v>
      </c>
      <c r="H61" s="423">
        <f t="shared" ref="H61:H66" si="20">G36</f>
        <v>16.625</v>
      </c>
      <c r="I61" s="1844">
        <f t="shared" ref="I61:I66" si="21">(F61-H61)*$B$14</f>
        <v>-0.16625000000000001</v>
      </c>
      <c r="J61" s="1844">
        <f t="shared" ref="J61:J66" si="22">F61-H61-I61</f>
        <v>-16.458749999999998</v>
      </c>
      <c r="K61" s="832">
        <f t="shared" ref="K61:K66" si="23">B61*(1-$B$19)</f>
        <v>359366583.03079897</v>
      </c>
      <c r="L61" s="832" t="e">
        <f t="shared" ref="L61:L66" si="24">(C61-(G61*H61)+K61)/J61</f>
        <v>#DIV/0!</v>
      </c>
    </row>
    <row r="62" spans="1:12" x14ac:dyDescent="0.2">
      <c r="A62" s="1842">
        <v>44248</v>
      </c>
      <c r="B62" s="832">
        <f>('TR &amp; BSS, TLF'!D5+'TR &amp; BSS, TLF'!D7)*1000000</f>
        <v>582660310.73734069</v>
      </c>
      <c r="C62" s="832">
        <f t="shared" si="15"/>
        <v>233064124.2949363</v>
      </c>
      <c r="D62" s="1844">
        <f t="shared" si="16"/>
        <v>0</v>
      </c>
      <c r="E62" s="1844">
        <f t="shared" si="17"/>
        <v>0</v>
      </c>
      <c r="F62" s="1844">
        <f t="shared" si="18"/>
        <v>0</v>
      </c>
      <c r="G62" s="832" t="e">
        <f t="shared" si="19"/>
        <v>#DIV/0!</v>
      </c>
      <c r="H62" s="423">
        <f t="shared" si="20"/>
        <v>16.242899999999999</v>
      </c>
      <c r="I62" s="1844">
        <f t="shared" si="21"/>
        <v>-0.16242899999999999</v>
      </c>
      <c r="J62" s="1844">
        <f t="shared" si="22"/>
        <v>-16.080470999999999</v>
      </c>
      <c r="K62" s="832">
        <f t="shared" si="23"/>
        <v>349596186.44240439</v>
      </c>
      <c r="L62" s="832" t="e">
        <f t="shared" si="24"/>
        <v>#DIV/0!</v>
      </c>
    </row>
    <row r="63" spans="1:12" x14ac:dyDescent="0.2">
      <c r="A63" s="1842">
        <v>44276</v>
      </c>
      <c r="B63" s="832">
        <f>('TR &amp; BSS, TLF'!E5+'TR &amp; BSS, TLF'!E7)*1000000</f>
        <v>583453919.20422363</v>
      </c>
      <c r="C63" s="832">
        <f t="shared" si="15"/>
        <v>233381567.68168947</v>
      </c>
      <c r="D63" s="1844">
        <f t="shared" si="16"/>
        <v>0</v>
      </c>
      <c r="E63" s="1844">
        <f t="shared" si="17"/>
        <v>0</v>
      </c>
      <c r="F63" s="1844">
        <f t="shared" si="18"/>
        <v>0</v>
      </c>
      <c r="G63" s="832" t="e">
        <f t="shared" si="19"/>
        <v>#DIV/0!</v>
      </c>
      <c r="H63" s="423">
        <f t="shared" si="20"/>
        <v>16.546900000000001</v>
      </c>
      <c r="I63" s="1844">
        <f t="shared" si="21"/>
        <v>-0.165469</v>
      </c>
      <c r="J63" s="1844">
        <f t="shared" si="22"/>
        <v>-16.381430999999999</v>
      </c>
      <c r="K63" s="832">
        <f t="shared" si="23"/>
        <v>350072351.52253419</v>
      </c>
      <c r="L63" s="832" t="e">
        <f t="shared" si="24"/>
        <v>#DIV/0!</v>
      </c>
    </row>
    <row r="64" spans="1:12" x14ac:dyDescent="0.2">
      <c r="A64" s="1842">
        <v>44307</v>
      </c>
      <c r="B64" s="832">
        <f>('TR &amp; BSS, TLF'!F5+'TR &amp; BSS, TLF'!F7)*1000000</f>
        <v>670663278.81776667</v>
      </c>
      <c r="C64" s="832">
        <f t="shared" si="15"/>
        <v>268265311.52710667</v>
      </c>
      <c r="D64" s="1844">
        <f t="shared" si="16"/>
        <v>2834.8154617842506</v>
      </c>
      <c r="E64" s="1844">
        <f t="shared" si="17"/>
        <v>56.696309235685014</v>
      </c>
      <c r="F64" s="1844">
        <f t="shared" si="18"/>
        <v>2778.1191525485656</v>
      </c>
      <c r="G64" s="832">
        <f t="shared" si="19"/>
        <v>96563.644968578068</v>
      </c>
      <c r="H64" s="423">
        <f t="shared" si="20"/>
        <v>17.335100000000001</v>
      </c>
      <c r="I64" s="1844">
        <f t="shared" si="21"/>
        <v>27.60784052548566</v>
      </c>
      <c r="J64" s="1844">
        <f t="shared" si="22"/>
        <v>2733.1762120230801</v>
      </c>
      <c r="K64" s="832">
        <f t="shared" si="23"/>
        <v>402397967.29065996</v>
      </c>
      <c r="L64" s="832">
        <f t="shared" si="24"/>
        <v>244766.26696552805</v>
      </c>
    </row>
    <row r="65" spans="1:12" x14ac:dyDescent="0.2">
      <c r="A65" s="1842">
        <v>44337</v>
      </c>
      <c r="B65" s="832">
        <f>('TR &amp; BSS, TLF'!G5+'TR &amp; BSS, TLF'!G7)*1000000</f>
        <v>669016831.00838864</v>
      </c>
      <c r="C65" s="832">
        <f t="shared" si="15"/>
        <v>267606732.40335548</v>
      </c>
      <c r="D65" s="1844">
        <f t="shared" si="16"/>
        <v>2729.7789003212042</v>
      </c>
      <c r="E65" s="1844">
        <f t="shared" si="17"/>
        <v>54.595578006424084</v>
      </c>
      <c r="F65" s="1844">
        <f t="shared" si="18"/>
        <v>2675.1833223147801</v>
      </c>
      <c r="G65" s="832">
        <f t="shared" si="19"/>
        <v>100033.04452862729</v>
      </c>
      <c r="H65" s="423">
        <f t="shared" si="20"/>
        <v>14.3452</v>
      </c>
      <c r="I65" s="1844">
        <f t="shared" si="21"/>
        <v>26.608381223147799</v>
      </c>
      <c r="J65" s="1844">
        <f t="shared" si="22"/>
        <v>2634.2297410916321</v>
      </c>
      <c r="K65" s="832">
        <f t="shared" si="23"/>
        <v>401410098.60503316</v>
      </c>
      <c r="L65" s="832">
        <f t="shared" si="24"/>
        <v>253425.82181209786</v>
      </c>
    </row>
    <row r="66" spans="1:12" x14ac:dyDescent="0.2">
      <c r="A66" s="1842">
        <v>44368</v>
      </c>
      <c r="B66" s="832">
        <f>('TR &amp; BSS, TLF'!H5+'TR &amp; BSS, TLF'!H7)*1000000</f>
        <v>808304937.97353065</v>
      </c>
      <c r="C66" s="832">
        <f t="shared" si="15"/>
        <v>323321975.1894123</v>
      </c>
      <c r="D66" s="1844">
        <f t="shared" si="16"/>
        <v>2621.5090222564399</v>
      </c>
      <c r="E66" s="1844">
        <f t="shared" si="17"/>
        <v>52.430180445128798</v>
      </c>
      <c r="F66" s="1844">
        <f t="shared" si="18"/>
        <v>2569.0788418113111</v>
      </c>
      <c r="G66" s="832">
        <f t="shared" si="19"/>
        <v>125851.3245788348</v>
      </c>
      <c r="H66" s="423">
        <f t="shared" si="20"/>
        <v>15.8498</v>
      </c>
      <c r="I66" s="1844">
        <f t="shared" si="21"/>
        <v>25.532290418113114</v>
      </c>
      <c r="J66" s="1844">
        <f t="shared" si="22"/>
        <v>2527.6967513931982</v>
      </c>
      <c r="K66" s="832">
        <f t="shared" si="23"/>
        <v>484982962.78411835</v>
      </c>
      <c r="L66" s="832">
        <f t="shared" si="24"/>
        <v>318990.09214804135</v>
      </c>
    </row>
    <row r="69" spans="1:12" x14ac:dyDescent="0.2">
      <c r="A69" s="1843" t="s">
        <v>1098</v>
      </c>
    </row>
    <row r="71" spans="1:12" x14ac:dyDescent="0.2">
      <c r="A71" s="3089" t="s">
        <v>27</v>
      </c>
      <c r="B71" s="3089" t="s">
        <v>1097</v>
      </c>
    </row>
    <row r="72" spans="1:12" x14ac:dyDescent="0.2">
      <c r="A72" s="3090"/>
      <c r="B72" s="3090"/>
    </row>
    <row r="73" spans="1:12" x14ac:dyDescent="0.2">
      <c r="A73" s="1842">
        <v>44217</v>
      </c>
      <c r="B73" s="1841" t="e">
        <f t="shared" ref="B73:B78" si="25">F36+G49+G61</f>
        <v>#DIV/0!</v>
      </c>
      <c r="C73" s="1467"/>
      <c r="D73" s="402"/>
    </row>
    <row r="74" spans="1:12" x14ac:dyDescent="0.2">
      <c r="A74" s="1842">
        <v>44248</v>
      </c>
      <c r="B74" s="1841" t="e">
        <f t="shared" si="25"/>
        <v>#DIV/0!</v>
      </c>
      <c r="C74" s="1467"/>
      <c r="D74" s="402"/>
    </row>
    <row r="75" spans="1:12" x14ac:dyDescent="0.2">
      <c r="A75" s="1842">
        <v>44276</v>
      </c>
      <c r="B75" s="1841" t="e">
        <f t="shared" si="25"/>
        <v>#DIV/0!</v>
      </c>
      <c r="C75" s="1467"/>
      <c r="D75" s="402"/>
    </row>
    <row r="76" spans="1:12" x14ac:dyDescent="0.2">
      <c r="A76" s="1842">
        <v>44307</v>
      </c>
      <c r="B76" s="1841">
        <f t="shared" si="25"/>
        <v>2526068.8105036216</v>
      </c>
      <c r="C76" s="1467"/>
      <c r="D76" s="402"/>
    </row>
    <row r="77" spans="1:12" x14ac:dyDescent="0.2">
      <c r="A77" s="1842">
        <v>44337</v>
      </c>
      <c r="B77" s="1841">
        <f t="shared" si="25"/>
        <v>2661612.033700028</v>
      </c>
      <c r="C77" s="1467"/>
      <c r="D77" s="402"/>
    </row>
    <row r="78" spans="1:12" x14ac:dyDescent="0.2">
      <c r="A78" s="1842">
        <v>44368</v>
      </c>
      <c r="B78" s="1841">
        <f t="shared" si="25"/>
        <v>2760022.4519071658</v>
      </c>
      <c r="C78" s="1467"/>
      <c r="D78" s="402"/>
    </row>
    <row r="80" spans="1:12" ht="25.2" x14ac:dyDescent="0.2">
      <c r="A80" s="1464" t="s">
        <v>1096</v>
      </c>
      <c r="B80" s="1850">
        <f>'tx consumer data'!H16</f>
        <v>0.88</v>
      </c>
    </row>
    <row r="82" spans="1:5" x14ac:dyDescent="0.2">
      <c r="B82" s="1840"/>
      <c r="E82" s="1837"/>
    </row>
    <row r="83" spans="1:5" x14ac:dyDescent="0.2">
      <c r="A83" s="3088" t="s">
        <v>1095</v>
      </c>
      <c r="B83" s="1839" t="s">
        <v>696</v>
      </c>
      <c r="C83" s="832" t="e">
        <f>AVERAGE(B73:B78)</f>
        <v>#DIV/0!</v>
      </c>
      <c r="D83" s="402"/>
      <c r="E83" s="402"/>
    </row>
    <row r="84" spans="1:5" ht="13.2" thickBot="1" x14ac:dyDescent="0.25">
      <c r="A84" s="3088"/>
      <c r="B84" s="1839" t="s">
        <v>1094</v>
      </c>
      <c r="C84" s="1838" t="e">
        <f>C83/(B80*1000)</f>
        <v>#DIV/0!</v>
      </c>
      <c r="D84" s="1837"/>
    </row>
    <row r="85" spans="1:5" ht="13.2" thickTop="1" x14ac:dyDescent="0.2">
      <c r="D85" s="1837"/>
    </row>
    <row r="88" spans="1:5" x14ac:dyDescent="0.2">
      <c r="D88" s="1837"/>
    </row>
  </sheetData>
  <mergeCells count="29">
    <mergeCell ref="G34:G35"/>
    <mergeCell ref="H34:H35"/>
    <mergeCell ref="I34:J34"/>
    <mergeCell ref="A47:A48"/>
    <mergeCell ref="B47:B48"/>
    <mergeCell ref="C47:C48"/>
    <mergeCell ref="D47:D48"/>
    <mergeCell ref="E47:E48"/>
    <mergeCell ref="F47:G47"/>
    <mergeCell ref="H47:H48"/>
    <mergeCell ref="I47:I48"/>
    <mergeCell ref="A34:A35"/>
    <mergeCell ref="B34:B35"/>
    <mergeCell ref="C34:C35"/>
    <mergeCell ref="D34:D35"/>
    <mergeCell ref="E34:F34"/>
    <mergeCell ref="A83:A84"/>
    <mergeCell ref="J47:L47"/>
    <mergeCell ref="A59:A60"/>
    <mergeCell ref="B59:B60"/>
    <mergeCell ref="C59:C60"/>
    <mergeCell ref="D59:D60"/>
    <mergeCell ref="E59:E60"/>
    <mergeCell ref="F59:G59"/>
    <mergeCell ref="H59:H60"/>
    <mergeCell ref="I59:I60"/>
    <mergeCell ref="J59:L59"/>
    <mergeCell ref="A71:A72"/>
    <mergeCell ref="B71:B72"/>
  </mergeCells>
  <pageMargins left="0.7" right="0.7" top="0.75" bottom="0.75" header="0.3" footer="0.3"/>
  <pageSetup paperSize="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FF00"/>
  </sheetPr>
  <dimension ref="A1:G28"/>
  <sheetViews>
    <sheetView workbookViewId="0">
      <selection activeCell="K22" sqref="K22"/>
    </sheetView>
  </sheetViews>
  <sheetFormatPr defaultRowHeight="12.6" x14ac:dyDescent="0.2"/>
  <cols>
    <col min="1" max="1" width="20.7265625" customWidth="1"/>
    <col min="2" max="2" width="11.453125" customWidth="1"/>
    <col min="3" max="3" width="12.36328125" customWidth="1"/>
    <col min="4" max="4" width="10.90625" customWidth="1"/>
    <col min="5" max="5" width="10.7265625" customWidth="1"/>
    <col min="6" max="6" width="10.6328125" bestFit="1" customWidth="1"/>
    <col min="7" max="7" width="10.90625" customWidth="1"/>
  </cols>
  <sheetData>
    <row r="1" spans="1:7" ht="15.6" x14ac:dyDescent="0.3">
      <c r="A1" s="679" t="s">
        <v>661</v>
      </c>
    </row>
    <row r="3" spans="1:7" ht="15" thickBot="1" x14ac:dyDescent="0.25">
      <c r="A3" s="781"/>
      <c r="B3" s="782">
        <f>DispatchSchedule!F3</f>
        <v>46023</v>
      </c>
      <c r="C3" s="782">
        <f>DispatchSchedule!G3</f>
        <v>46054</v>
      </c>
      <c r="D3" s="782">
        <f>DispatchSchedule!H3</f>
        <v>46082</v>
      </c>
      <c r="E3" s="782">
        <f>DispatchSchedule!I3</f>
        <v>46113</v>
      </c>
      <c r="F3" s="782">
        <f>DispatchSchedule!J3</f>
        <v>46143</v>
      </c>
      <c r="G3" s="782">
        <f>DispatchSchedule!K3</f>
        <v>46174</v>
      </c>
    </row>
    <row r="4" spans="1:7" ht="25.8" thickBot="1" x14ac:dyDescent="0.25">
      <c r="A4" s="783" t="s">
        <v>662</v>
      </c>
      <c r="B4" s="784">
        <f>DispatchSchedule!F66</f>
        <v>0</v>
      </c>
      <c r="C4" s="784">
        <f>DispatchSchedule!G66</f>
        <v>0</v>
      </c>
      <c r="D4" s="784">
        <f>DispatchSchedule!H66</f>
        <v>0</v>
      </c>
      <c r="E4" s="784">
        <f>DispatchSchedule!I66</f>
        <v>3002.9619753086417</v>
      </c>
      <c r="F4" s="784">
        <f>DispatchSchedule!J66</f>
        <v>2891.6951911589003</v>
      </c>
      <c r="G4" s="785">
        <f>DispatchSchedule!K66</f>
        <v>2807.8982583774241</v>
      </c>
    </row>
    <row r="6" spans="1:7" ht="13.2" thickBot="1" x14ac:dyDescent="0.25"/>
    <row r="7" spans="1:7" ht="15" thickBot="1" x14ac:dyDescent="0.35">
      <c r="A7" s="808" t="s">
        <v>390</v>
      </c>
      <c r="B7" s="870">
        <f>B3</f>
        <v>46023</v>
      </c>
      <c r="C7" s="870">
        <f t="shared" ref="C7:G7" si="0">C3</f>
        <v>46054</v>
      </c>
      <c r="D7" s="870">
        <f t="shared" si="0"/>
        <v>46082</v>
      </c>
      <c r="E7" s="870">
        <f t="shared" si="0"/>
        <v>46113</v>
      </c>
      <c r="F7" s="870">
        <f t="shared" si="0"/>
        <v>46143</v>
      </c>
      <c r="G7" s="870">
        <f t="shared" si="0"/>
        <v>46174</v>
      </c>
    </row>
    <row r="8" spans="1:7" ht="26.4" x14ac:dyDescent="0.3">
      <c r="A8" s="789" t="s">
        <v>663</v>
      </c>
      <c r="B8" s="816">
        <f>'Gen. Capacity'!C54</f>
        <v>6034.5670625324728</v>
      </c>
      <c r="C8" s="816">
        <f>'Gen. Capacity'!D54</f>
        <v>6215.7372524962138</v>
      </c>
      <c r="D8" s="816">
        <f>'Gen. Capacity'!E54</f>
        <v>6333.1511421898285</v>
      </c>
      <c r="E8" s="816">
        <f>'Gen. Capacity'!F54</f>
        <v>6064.1851299777672</v>
      </c>
      <c r="F8" s="816">
        <f>'Gen. Capacity'!G54</f>
        <v>6167.4236890124739</v>
      </c>
      <c r="G8" s="817">
        <f>'Gen. Capacity'!H54</f>
        <v>6082.1236073186537</v>
      </c>
    </row>
    <row r="9" spans="1:7" ht="27.6" x14ac:dyDescent="0.3">
      <c r="A9" s="787" t="s">
        <v>664</v>
      </c>
      <c r="B9" s="813">
        <f>'TR &amp; BSS, TLF'!C4</f>
        <v>1713.174254027025</v>
      </c>
      <c r="C9" s="813">
        <f>'TR &amp; BSS, TLF'!D4</f>
        <v>1713.174254027025</v>
      </c>
      <c r="D9" s="813">
        <f>'TR &amp; BSS, TLF'!E4</f>
        <v>1713.174254027025</v>
      </c>
      <c r="E9" s="813">
        <f>'TR &amp; BSS, TLF'!F4</f>
        <v>1713.174254027025</v>
      </c>
      <c r="F9" s="813">
        <f>'TR &amp; BSS, TLF'!G4</f>
        <v>1713.174254027025</v>
      </c>
      <c r="G9" s="813">
        <f>'TR &amp; BSS, TLF'!H4</f>
        <v>1713.174254027025</v>
      </c>
    </row>
    <row r="10" spans="1:7" ht="27" thickBot="1" x14ac:dyDescent="0.35">
      <c r="A10" s="788" t="s">
        <v>665</v>
      </c>
      <c r="B10" s="814">
        <f>B11+B12</f>
        <v>598.94430505133164</v>
      </c>
      <c r="C10" s="814">
        <f t="shared" ref="C10:G10" si="1">C11+C12</f>
        <v>582.66031073734064</v>
      </c>
      <c r="D10" s="814">
        <f t="shared" si="1"/>
        <v>583.45391920422367</v>
      </c>
      <c r="E10" s="814">
        <f t="shared" si="1"/>
        <v>670.6632788177667</v>
      </c>
      <c r="F10" s="814">
        <f t="shared" si="1"/>
        <v>669.01683100838864</v>
      </c>
      <c r="G10" s="815">
        <f t="shared" si="1"/>
        <v>808.30493797353063</v>
      </c>
    </row>
    <row r="11" spans="1:7" x14ac:dyDescent="0.2">
      <c r="A11" s="819" t="s">
        <v>709</v>
      </c>
      <c r="B11" s="786">
        <f>'TR &amp; BSS, TLF'!C5</f>
        <v>176.21274354923665</v>
      </c>
      <c r="C11" s="786">
        <f>'TR &amp; BSS, TLF'!D5</f>
        <v>176.21274354923665</v>
      </c>
      <c r="D11" s="786">
        <f>'TR &amp; BSS, TLF'!E5</f>
        <v>176.21274354923665</v>
      </c>
      <c r="E11" s="786">
        <f>'TR &amp; BSS, TLF'!F5</f>
        <v>176.21274354923665</v>
      </c>
      <c r="F11" s="786">
        <f>'TR &amp; BSS, TLF'!G5</f>
        <v>176.21274354923665</v>
      </c>
      <c r="G11" s="786">
        <f>'TR &amp; BSS, TLF'!H5</f>
        <v>176.21274354923665</v>
      </c>
    </row>
    <row r="12" spans="1:7" x14ac:dyDescent="0.2">
      <c r="A12" s="818" t="s">
        <v>710</v>
      </c>
      <c r="B12" s="708">
        <f>'TR &amp; BSS, TLF'!C7</f>
        <v>422.73156150209502</v>
      </c>
      <c r="C12" s="708">
        <f>'TR &amp; BSS, TLF'!D7</f>
        <v>406.44756718810402</v>
      </c>
      <c r="D12" s="708">
        <f>'TR &amp; BSS, TLF'!E7</f>
        <v>407.24117565498699</v>
      </c>
      <c r="E12" s="708">
        <f>'TR &amp; BSS, TLF'!F7</f>
        <v>494.45053526853002</v>
      </c>
      <c r="F12" s="708">
        <f>'TR &amp; BSS, TLF'!G7</f>
        <v>492.80408745915202</v>
      </c>
      <c r="G12" s="708">
        <f>'TR &amp; BSS, TLF'!H7</f>
        <v>632.09219442429401</v>
      </c>
    </row>
    <row r="13" spans="1:7" x14ac:dyDescent="0.2">
      <c r="B13" s="70"/>
    </row>
    <row r="14" spans="1:7" ht="16.2" thickBot="1" x14ac:dyDescent="0.35">
      <c r="A14" s="680" t="s">
        <v>666</v>
      </c>
    </row>
    <row r="15" spans="1:7" ht="29.4" thickBot="1" x14ac:dyDescent="0.35">
      <c r="A15" s="809" t="s">
        <v>667</v>
      </c>
      <c r="B15" s="871">
        <f>(B16*B24+B17*B25+B18*B26+B19*B27+B20*B28)/1000</f>
        <v>8.8964000000000016</v>
      </c>
      <c r="C15" s="871">
        <f t="shared" ref="C15:G15" si="2">(C16*C24+C17*C25+C18*C26+C19*C27+C20*C28)/1000</f>
        <v>8.3468999999999998</v>
      </c>
      <c r="D15" s="871">
        <f t="shared" si="2"/>
        <v>10.706</v>
      </c>
      <c r="E15" s="871">
        <f t="shared" si="2"/>
        <v>10.2525</v>
      </c>
      <c r="F15" s="871">
        <f t="shared" si="2"/>
        <v>14.135299999999997</v>
      </c>
      <c r="G15" s="872">
        <f t="shared" si="2"/>
        <v>13.073599999999999</v>
      </c>
    </row>
    <row r="16" spans="1:7" ht="14.4" x14ac:dyDescent="0.3">
      <c r="A16" s="810" t="s">
        <v>668</v>
      </c>
      <c r="B16" s="873">
        <v>7256</v>
      </c>
      <c r="C16" s="873">
        <v>4259</v>
      </c>
      <c r="D16" s="873">
        <v>6669</v>
      </c>
      <c r="E16" s="873">
        <v>6202</v>
      </c>
      <c r="F16" s="873">
        <v>10031</v>
      </c>
      <c r="G16" s="874">
        <v>8015</v>
      </c>
    </row>
    <row r="17" spans="1:7" ht="14.4" x14ac:dyDescent="0.3">
      <c r="A17" s="811" t="s">
        <v>669</v>
      </c>
      <c r="B17" s="875">
        <v>203</v>
      </c>
      <c r="C17" s="875">
        <v>199</v>
      </c>
      <c r="D17" s="875">
        <v>189</v>
      </c>
      <c r="E17" s="875">
        <v>188</v>
      </c>
      <c r="F17" s="875">
        <v>222</v>
      </c>
      <c r="G17" s="876">
        <v>280</v>
      </c>
    </row>
    <row r="18" spans="1:7" ht="14.4" x14ac:dyDescent="0.3">
      <c r="A18" s="811" t="s">
        <v>670</v>
      </c>
      <c r="B18" s="875">
        <v>1192</v>
      </c>
      <c r="C18" s="875">
        <v>734</v>
      </c>
      <c r="D18" s="875">
        <v>843</v>
      </c>
      <c r="E18" s="875">
        <v>859</v>
      </c>
      <c r="F18" s="875">
        <v>1337</v>
      </c>
      <c r="G18" s="876">
        <v>1511</v>
      </c>
    </row>
    <row r="19" spans="1:7" ht="14.4" x14ac:dyDescent="0.3">
      <c r="A19" s="811" t="s">
        <v>671</v>
      </c>
      <c r="B19" s="875">
        <v>316</v>
      </c>
      <c r="C19" s="875">
        <v>393</v>
      </c>
      <c r="D19" s="875">
        <v>373</v>
      </c>
      <c r="E19" s="875">
        <v>336</v>
      </c>
      <c r="F19" s="875">
        <v>316</v>
      </c>
      <c r="G19" s="876">
        <v>421</v>
      </c>
    </row>
    <row r="20" spans="1:7" ht="15" thickBot="1" x14ac:dyDescent="0.35">
      <c r="A20" s="812" t="s">
        <v>672</v>
      </c>
      <c r="B20" s="877">
        <v>953</v>
      </c>
      <c r="C20" s="877">
        <v>3733</v>
      </c>
      <c r="D20" s="877">
        <v>3863</v>
      </c>
      <c r="E20" s="877">
        <v>3844</v>
      </c>
      <c r="F20" s="877">
        <v>3835</v>
      </c>
      <c r="G20" s="878">
        <v>4346</v>
      </c>
    </row>
    <row r="21" spans="1:7" x14ac:dyDescent="0.2">
      <c r="B21" s="879"/>
      <c r="C21" s="879"/>
      <c r="D21" s="879"/>
      <c r="E21" s="879"/>
      <c r="F21" s="879"/>
      <c r="G21" s="879"/>
    </row>
    <row r="22" spans="1:7" ht="13.2" thickBot="1" x14ac:dyDescent="0.25">
      <c r="B22" s="879"/>
      <c r="C22" s="879"/>
      <c r="D22" s="879"/>
      <c r="E22" s="879"/>
      <c r="F22" s="879"/>
      <c r="G22" s="879"/>
    </row>
    <row r="23" spans="1:7" ht="15" thickBot="1" x14ac:dyDescent="0.35">
      <c r="A23" s="809" t="s">
        <v>673</v>
      </c>
      <c r="B23" s="871">
        <f>AVERAGE(B24:B28)</f>
        <v>0.88000000000000012</v>
      </c>
      <c r="C23" s="871">
        <f t="shared" ref="C23:G23" si="3">AVERAGE(C24:C28)</f>
        <v>0.88000000000000012</v>
      </c>
      <c r="D23" s="871">
        <f t="shared" si="3"/>
        <v>0.88000000000000012</v>
      </c>
      <c r="E23" s="871">
        <f t="shared" si="3"/>
        <v>0.88000000000000012</v>
      </c>
      <c r="F23" s="871">
        <f t="shared" si="3"/>
        <v>0.88000000000000012</v>
      </c>
      <c r="G23" s="872">
        <f t="shared" si="3"/>
        <v>0.88000000000000012</v>
      </c>
    </row>
    <row r="24" spans="1:7" ht="14.4" x14ac:dyDescent="0.3">
      <c r="A24" s="810" t="s">
        <v>674</v>
      </c>
      <c r="B24" s="873">
        <v>0.9</v>
      </c>
      <c r="C24" s="873">
        <v>0.9</v>
      </c>
      <c r="D24" s="873">
        <v>0.9</v>
      </c>
      <c r="E24" s="873">
        <v>0.9</v>
      </c>
      <c r="F24" s="873">
        <v>0.9</v>
      </c>
      <c r="G24" s="874">
        <v>0.9</v>
      </c>
    </row>
    <row r="25" spans="1:7" ht="14.4" x14ac:dyDescent="0.3">
      <c r="A25" s="811" t="s">
        <v>675</v>
      </c>
      <c r="B25" s="880">
        <v>0.9</v>
      </c>
      <c r="C25" s="880">
        <v>0.9</v>
      </c>
      <c r="D25" s="880">
        <v>0.9</v>
      </c>
      <c r="E25" s="880">
        <v>0.9</v>
      </c>
      <c r="F25" s="880">
        <v>0.9</v>
      </c>
      <c r="G25" s="881">
        <v>0.9</v>
      </c>
    </row>
    <row r="26" spans="1:7" ht="14.4" x14ac:dyDescent="0.3">
      <c r="A26" s="811" t="s">
        <v>676</v>
      </c>
      <c r="B26" s="880">
        <v>0.9</v>
      </c>
      <c r="C26" s="880">
        <v>0.9</v>
      </c>
      <c r="D26" s="880">
        <v>0.9</v>
      </c>
      <c r="E26" s="880">
        <v>0.9</v>
      </c>
      <c r="F26" s="880">
        <v>0.9</v>
      </c>
      <c r="G26" s="881">
        <v>0.9</v>
      </c>
    </row>
    <row r="27" spans="1:7" ht="14.4" x14ac:dyDescent="0.3">
      <c r="A27" s="811" t="s">
        <v>677</v>
      </c>
      <c r="B27" s="880">
        <v>0.8</v>
      </c>
      <c r="C27" s="880">
        <v>0.8</v>
      </c>
      <c r="D27" s="880">
        <v>0.8</v>
      </c>
      <c r="E27" s="880">
        <v>0.8</v>
      </c>
      <c r="F27" s="880">
        <v>0.8</v>
      </c>
      <c r="G27" s="881">
        <v>0.8</v>
      </c>
    </row>
    <row r="28" spans="1:7" ht="15" thickBot="1" x14ac:dyDescent="0.35">
      <c r="A28" s="812" t="s">
        <v>678</v>
      </c>
      <c r="B28" s="882">
        <v>0.9</v>
      </c>
      <c r="C28" s="882">
        <v>0.9</v>
      </c>
      <c r="D28" s="882">
        <v>0.9</v>
      </c>
      <c r="E28" s="882">
        <v>0.9</v>
      </c>
      <c r="F28" s="882">
        <v>0.9</v>
      </c>
      <c r="G28" s="883">
        <v>0.9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6">
    <tabColor rgb="FF00B050"/>
  </sheetPr>
  <dimension ref="A1:O119"/>
  <sheetViews>
    <sheetView workbookViewId="0">
      <selection activeCell="F122" sqref="F122"/>
    </sheetView>
  </sheetViews>
  <sheetFormatPr defaultRowHeight="12.6" x14ac:dyDescent="0.2"/>
  <cols>
    <col min="1" max="1" width="35.453125" customWidth="1"/>
    <col min="2" max="2" width="22.7265625" bestFit="1" customWidth="1"/>
    <col min="3" max="7" width="16.26953125" bestFit="1" customWidth="1"/>
    <col min="8" max="8" width="9.90625" bestFit="1" customWidth="1"/>
    <col min="15" max="15" width="20" customWidth="1"/>
  </cols>
  <sheetData>
    <row r="1" spans="1:9" x14ac:dyDescent="0.2">
      <c r="B1" s="70"/>
    </row>
    <row r="2" spans="1:9" ht="15.6" x14ac:dyDescent="0.3">
      <c r="A2" s="680" t="s">
        <v>666</v>
      </c>
    </row>
    <row r="3" spans="1:9" ht="16.2" thickBot="1" x14ac:dyDescent="0.35">
      <c r="A3" s="680"/>
      <c r="B3" s="1683">
        <v>44197</v>
      </c>
      <c r="C3" s="1683">
        <v>44228</v>
      </c>
      <c r="D3" s="1683">
        <v>44256</v>
      </c>
      <c r="E3" s="1683">
        <v>44287</v>
      </c>
      <c r="F3" s="1683">
        <v>44317</v>
      </c>
      <c r="G3" s="1683">
        <v>44348</v>
      </c>
      <c r="H3" s="123"/>
    </row>
    <row r="4" spans="1:9" ht="15" thickBot="1" x14ac:dyDescent="0.35">
      <c r="A4" s="1853" t="s">
        <v>1136</v>
      </c>
      <c r="B4" s="1587">
        <f>B5+B6</f>
        <v>16.625</v>
      </c>
      <c r="C4" s="1587">
        <f t="shared" ref="C4:G4" si="0">C5+C6</f>
        <v>16.242899999999999</v>
      </c>
      <c r="D4" s="1587">
        <f t="shared" si="0"/>
        <v>16.546900000000001</v>
      </c>
      <c r="E4" s="1587">
        <f t="shared" si="0"/>
        <v>17.335100000000001</v>
      </c>
      <c r="F4" s="1587">
        <f t="shared" si="0"/>
        <v>14.3452</v>
      </c>
      <c r="G4" s="1589">
        <f t="shared" si="0"/>
        <v>15.8498</v>
      </c>
    </row>
    <row r="5" spans="1:9" ht="15" thickBot="1" x14ac:dyDescent="0.35">
      <c r="A5" s="1853" t="s">
        <v>917</v>
      </c>
      <c r="B5" s="1587">
        <f t="shared" ref="B5:G5" si="1">(B7*B19+B11*B21)/1000</f>
        <v>11.157300000000001</v>
      </c>
      <c r="C5" s="1587">
        <f t="shared" si="1"/>
        <v>10.341900000000001</v>
      </c>
      <c r="D5" s="1587">
        <f t="shared" si="1"/>
        <v>10.656000000000001</v>
      </c>
      <c r="E5" s="1587">
        <f t="shared" si="1"/>
        <v>11.3355</v>
      </c>
      <c r="F5" s="1587">
        <f t="shared" si="1"/>
        <v>9.1134000000000004</v>
      </c>
      <c r="G5" s="1589">
        <f t="shared" si="1"/>
        <v>10.6218</v>
      </c>
    </row>
    <row r="6" spans="1:9" ht="15" thickBot="1" x14ac:dyDescent="0.35">
      <c r="A6" s="1853" t="s">
        <v>918</v>
      </c>
      <c r="B6" s="1587">
        <f t="shared" ref="B6:G6" si="2">(B8*B20+B12*B22+B13*B23)/1000</f>
        <v>5.4676999999999998</v>
      </c>
      <c r="C6" s="1587">
        <f t="shared" si="2"/>
        <v>5.9009999999999998</v>
      </c>
      <c r="D6" s="1587">
        <f t="shared" si="2"/>
        <v>5.8908999999999994</v>
      </c>
      <c r="E6" s="1587">
        <f t="shared" si="2"/>
        <v>5.9996</v>
      </c>
      <c r="F6" s="1587">
        <f t="shared" si="2"/>
        <v>5.2317999999999998</v>
      </c>
      <c r="G6" s="1589">
        <f t="shared" si="2"/>
        <v>5.2279999999999998</v>
      </c>
      <c r="I6" s="1688"/>
    </row>
    <row r="7" spans="1:9" ht="14.4" x14ac:dyDescent="0.3">
      <c r="A7" s="1854" t="s">
        <v>668</v>
      </c>
      <c r="B7" s="1686">
        <v>10927</v>
      </c>
      <c r="C7" s="1686">
        <v>10287</v>
      </c>
      <c r="D7" s="1686">
        <v>10713</v>
      </c>
      <c r="E7" s="1686">
        <v>11121</v>
      </c>
      <c r="F7" s="1686">
        <v>9249</v>
      </c>
      <c r="G7" s="1687">
        <v>10943</v>
      </c>
      <c r="H7" s="70"/>
      <c r="I7" s="70"/>
    </row>
    <row r="8" spans="1:9" ht="14.4" x14ac:dyDescent="0.3">
      <c r="A8" s="1855" t="s">
        <v>669</v>
      </c>
      <c r="B8" s="1599">
        <f>B9+B10</f>
        <v>481</v>
      </c>
      <c r="C8" s="1599">
        <f t="shared" ref="C8:G8" si="3">C9+C10</f>
        <v>458</v>
      </c>
      <c r="D8" s="1599">
        <f t="shared" si="3"/>
        <v>430</v>
      </c>
      <c r="E8" s="1599">
        <f t="shared" si="3"/>
        <v>633</v>
      </c>
      <c r="F8" s="1599">
        <f t="shared" si="3"/>
        <v>454</v>
      </c>
      <c r="G8" s="1613">
        <f t="shared" si="3"/>
        <v>437</v>
      </c>
    </row>
    <row r="9" spans="1:9" ht="14.4" x14ac:dyDescent="0.3">
      <c r="A9" s="1856" t="s">
        <v>1137</v>
      </c>
      <c r="B9" s="875">
        <v>191</v>
      </c>
      <c r="C9" s="875">
        <v>177</v>
      </c>
      <c r="D9" s="875">
        <v>164</v>
      </c>
      <c r="E9" s="875">
        <v>333</v>
      </c>
      <c r="F9" s="875">
        <v>191</v>
      </c>
      <c r="G9" s="876">
        <v>175</v>
      </c>
    </row>
    <row r="10" spans="1:9" ht="14.4" x14ac:dyDescent="0.3">
      <c r="A10" s="1856" t="s">
        <v>1138</v>
      </c>
      <c r="B10" s="875">
        <v>290</v>
      </c>
      <c r="C10" s="875">
        <v>281</v>
      </c>
      <c r="D10" s="875">
        <v>266</v>
      </c>
      <c r="E10" s="875">
        <v>300</v>
      </c>
      <c r="F10" s="875">
        <v>263</v>
      </c>
      <c r="G10" s="876">
        <v>262</v>
      </c>
    </row>
    <row r="11" spans="1:9" ht="14.4" x14ac:dyDescent="0.3">
      <c r="A11" s="1855" t="s">
        <v>1015</v>
      </c>
      <c r="B11" s="875">
        <v>1470</v>
      </c>
      <c r="C11" s="875">
        <v>1204</v>
      </c>
      <c r="D11" s="875">
        <v>1127</v>
      </c>
      <c r="E11" s="875">
        <v>1474</v>
      </c>
      <c r="F11" s="875">
        <v>877</v>
      </c>
      <c r="G11" s="876">
        <v>859</v>
      </c>
    </row>
    <row r="12" spans="1:9" ht="14.4" x14ac:dyDescent="0.3">
      <c r="A12" s="1855" t="s">
        <v>671</v>
      </c>
      <c r="B12" s="1572">
        <v>412</v>
      </c>
      <c r="C12" s="875">
        <v>354</v>
      </c>
      <c r="D12" s="875">
        <v>374</v>
      </c>
      <c r="E12" s="875">
        <v>268</v>
      </c>
      <c r="F12" s="875">
        <v>287</v>
      </c>
      <c r="G12" s="876">
        <v>325</v>
      </c>
    </row>
    <row r="13" spans="1:9" ht="15" thickBot="1" x14ac:dyDescent="0.35">
      <c r="A13" s="1857" t="s">
        <v>672</v>
      </c>
      <c r="B13" s="877">
        <v>5228</v>
      </c>
      <c r="C13" s="877">
        <v>5784</v>
      </c>
      <c r="D13" s="877">
        <v>5783</v>
      </c>
      <c r="E13" s="877">
        <v>5795</v>
      </c>
      <c r="F13" s="877">
        <v>5104</v>
      </c>
      <c r="G13" s="878">
        <v>5083</v>
      </c>
    </row>
    <row r="14" spans="1:9" x14ac:dyDescent="0.2">
      <c r="B14" s="183"/>
      <c r="C14" s="183"/>
      <c r="D14" s="183"/>
      <c r="E14" s="183"/>
      <c r="F14" s="183"/>
      <c r="G14" s="183"/>
    </row>
    <row r="15" spans="1:9" ht="13.2" thickBot="1" x14ac:dyDescent="0.25">
      <c r="B15" s="1590">
        <f>B3</f>
        <v>44197</v>
      </c>
      <c r="C15" s="1590">
        <f t="shared" ref="C15:G15" si="4">C3</f>
        <v>44228</v>
      </c>
      <c r="D15" s="1590">
        <f t="shared" si="4"/>
        <v>44256</v>
      </c>
      <c r="E15" s="1590">
        <f t="shared" si="4"/>
        <v>44287</v>
      </c>
      <c r="F15" s="1590">
        <f t="shared" si="4"/>
        <v>44317</v>
      </c>
      <c r="G15" s="1590">
        <f t="shared" si="4"/>
        <v>44348</v>
      </c>
      <c r="H15" s="183" t="s">
        <v>1139</v>
      </c>
    </row>
    <row r="16" spans="1:9" ht="15" thickBot="1" x14ac:dyDescent="0.35">
      <c r="A16" s="1853" t="s">
        <v>1140</v>
      </c>
      <c r="B16" s="1587">
        <f>AVERAGE(B19:B23)</f>
        <v>0.88000000000000012</v>
      </c>
      <c r="C16" s="1587">
        <f t="shared" ref="C16:G16" si="5">AVERAGE(C19:C23)</f>
        <v>0.88000000000000012</v>
      </c>
      <c r="D16" s="1587">
        <f t="shared" si="5"/>
        <v>0.88000000000000012</v>
      </c>
      <c r="E16" s="1587">
        <f t="shared" si="5"/>
        <v>0.88000000000000012</v>
      </c>
      <c r="F16" s="1587">
        <f t="shared" si="5"/>
        <v>0.88000000000000012</v>
      </c>
      <c r="G16" s="1587">
        <f t="shared" si="5"/>
        <v>0.88000000000000012</v>
      </c>
      <c r="H16" s="1858">
        <f>AVERAGE(B16:G16)</f>
        <v>0.88</v>
      </c>
    </row>
    <row r="17" spans="1:8" ht="15" thickBot="1" x14ac:dyDescent="0.35">
      <c r="A17" s="1853" t="s">
        <v>919</v>
      </c>
      <c r="B17" s="1588">
        <f t="shared" ref="B17:G17" si="6">AVERAGE(B19,B21)</f>
        <v>0.9</v>
      </c>
      <c r="C17" s="1588">
        <f t="shared" si="6"/>
        <v>0.9</v>
      </c>
      <c r="D17" s="1588">
        <f t="shared" si="6"/>
        <v>0.9</v>
      </c>
      <c r="E17" s="1588">
        <f t="shared" si="6"/>
        <v>0.9</v>
      </c>
      <c r="F17" s="1588">
        <f t="shared" si="6"/>
        <v>0.9</v>
      </c>
      <c r="G17" s="1591">
        <f t="shared" si="6"/>
        <v>0.9</v>
      </c>
    </row>
    <row r="18" spans="1:8" ht="15" thickBot="1" x14ac:dyDescent="0.35">
      <c r="A18" s="1853" t="s">
        <v>920</v>
      </c>
      <c r="B18" s="1588">
        <f t="shared" ref="B18:G18" si="7">AVERAGE(B20,B22,B23)</f>
        <v>0.8666666666666667</v>
      </c>
      <c r="C18" s="1588">
        <f t="shared" si="7"/>
        <v>0.8666666666666667</v>
      </c>
      <c r="D18" s="1588">
        <f t="shared" si="7"/>
        <v>0.8666666666666667</v>
      </c>
      <c r="E18" s="1588">
        <f t="shared" si="7"/>
        <v>0.8666666666666667</v>
      </c>
      <c r="F18" s="1588">
        <f t="shared" si="7"/>
        <v>0.8666666666666667</v>
      </c>
      <c r="G18" s="1591">
        <f t="shared" si="7"/>
        <v>0.8666666666666667</v>
      </c>
    </row>
    <row r="19" spans="1:8" ht="14.4" x14ac:dyDescent="0.3">
      <c r="A19" s="1854" t="s">
        <v>674</v>
      </c>
      <c r="B19" s="873">
        <v>0.9</v>
      </c>
      <c r="C19" s="873">
        <v>0.9</v>
      </c>
      <c r="D19" s="873">
        <v>0.9</v>
      </c>
      <c r="E19" s="873">
        <v>0.9</v>
      </c>
      <c r="F19" s="873">
        <v>0.9</v>
      </c>
      <c r="G19" s="874">
        <v>0.9</v>
      </c>
      <c r="H19" s="1609"/>
    </row>
    <row r="20" spans="1:8" ht="14.4" x14ac:dyDescent="0.3">
      <c r="A20" s="1855" t="s">
        <v>675</v>
      </c>
      <c r="B20" s="880">
        <v>0.9</v>
      </c>
      <c r="C20" s="880">
        <v>0.9</v>
      </c>
      <c r="D20" s="880">
        <v>0.9</v>
      </c>
      <c r="E20" s="880">
        <v>0.9</v>
      </c>
      <c r="F20" s="880">
        <v>0.9</v>
      </c>
      <c r="G20" s="881">
        <v>0.9</v>
      </c>
      <c r="H20" s="1610"/>
    </row>
    <row r="21" spans="1:8" ht="14.4" x14ac:dyDescent="0.3">
      <c r="A21" s="1855" t="s">
        <v>1015</v>
      </c>
      <c r="B21" s="880">
        <v>0.9</v>
      </c>
      <c r="C21" s="880">
        <v>0.9</v>
      </c>
      <c r="D21" s="880">
        <v>0.9</v>
      </c>
      <c r="E21" s="880">
        <v>0.9</v>
      </c>
      <c r="F21" s="880">
        <v>0.9</v>
      </c>
      <c r="G21" s="881">
        <v>0.9</v>
      </c>
      <c r="H21" s="1610"/>
    </row>
    <row r="22" spans="1:8" ht="14.4" x14ac:dyDescent="0.3">
      <c r="A22" s="1855" t="s">
        <v>677</v>
      </c>
      <c r="B22" s="880">
        <v>0.8</v>
      </c>
      <c r="C22" s="880">
        <v>0.8</v>
      </c>
      <c r="D22" s="880">
        <v>0.8</v>
      </c>
      <c r="E22" s="880">
        <v>0.8</v>
      </c>
      <c r="F22" s="880">
        <v>0.8</v>
      </c>
      <c r="G22" s="881">
        <v>0.8</v>
      </c>
      <c r="H22" s="1610"/>
    </row>
    <row r="23" spans="1:8" ht="15" thickBot="1" x14ac:dyDescent="0.35">
      <c r="A23" s="1857" t="s">
        <v>678</v>
      </c>
      <c r="B23" s="882">
        <v>0.9</v>
      </c>
      <c r="C23" s="882">
        <v>0.9</v>
      </c>
      <c r="D23" s="882">
        <v>0.9</v>
      </c>
      <c r="E23" s="882">
        <v>0.9</v>
      </c>
      <c r="F23" s="882">
        <v>0.9</v>
      </c>
      <c r="G23" s="883">
        <v>0.9</v>
      </c>
      <c r="H23" s="1610"/>
    </row>
    <row r="24" spans="1:8" ht="15" hidden="1" thickBot="1" x14ac:dyDescent="0.35">
      <c r="A24" s="1586" t="s">
        <v>921</v>
      </c>
      <c r="B24" s="1601">
        <f>(B26+B28)/1000000</f>
        <v>0.53479100000000002</v>
      </c>
      <c r="C24" s="1601">
        <f t="shared" ref="C24:G24" si="8">(C26+C28)/1000000</f>
        <v>0.30712099999999998</v>
      </c>
      <c r="D24" s="1601">
        <f t="shared" si="8"/>
        <v>0.642069</v>
      </c>
      <c r="E24" s="1601">
        <f t="shared" si="8"/>
        <v>1.6733499999999999</v>
      </c>
      <c r="F24" s="1601">
        <f t="shared" si="8"/>
        <v>1.5084409999999999</v>
      </c>
      <c r="G24" s="1601">
        <f t="shared" si="8"/>
        <v>0.94209500000000002</v>
      </c>
    </row>
    <row r="25" spans="1:8" ht="15" hidden="1" thickBot="1" x14ac:dyDescent="0.35">
      <c r="A25" s="1586" t="s">
        <v>922</v>
      </c>
      <c r="B25" s="1601">
        <f>(B27+B29+B30)/1000000</f>
        <v>2.2031360000000002</v>
      </c>
      <c r="C25" s="1601">
        <f t="shared" ref="C25:G25" si="9">(C27+C29+C30)/1000000</f>
        <v>2.152107</v>
      </c>
      <c r="D25" s="1601">
        <f t="shared" si="9"/>
        <v>1.589378</v>
      </c>
      <c r="E25" s="1601">
        <f t="shared" si="9"/>
        <v>0.22325800000000001</v>
      </c>
      <c r="F25" s="1601">
        <f t="shared" si="9"/>
        <v>0.45465800000000001</v>
      </c>
      <c r="G25" s="1601">
        <f t="shared" si="9"/>
        <v>1.918987</v>
      </c>
    </row>
    <row r="26" spans="1:8" ht="14.4" hidden="1" x14ac:dyDescent="0.3">
      <c r="A26" s="1604" t="s">
        <v>923</v>
      </c>
      <c r="B26" s="1598">
        <f t="shared" ref="B26:F26" si="10">B38+B42</f>
        <v>447722</v>
      </c>
      <c r="C26" s="1598">
        <f t="shared" si="10"/>
        <v>295288</v>
      </c>
      <c r="D26" s="1598">
        <f t="shared" si="10"/>
        <v>492388</v>
      </c>
      <c r="E26" s="1598">
        <f t="shared" si="10"/>
        <v>1406301</v>
      </c>
      <c r="F26" s="1598">
        <f t="shared" si="10"/>
        <v>1227050</v>
      </c>
      <c r="G26" s="1612">
        <f t="shared" ref="G26" si="11">G38+G42</f>
        <v>675874</v>
      </c>
    </row>
    <row r="27" spans="1:8" ht="14.4" hidden="1" x14ac:dyDescent="0.3">
      <c r="A27" s="1605" t="s">
        <v>924</v>
      </c>
      <c r="B27" s="1599">
        <f t="shared" ref="B27:F27" si="12">B47</f>
        <v>13358</v>
      </c>
      <c r="C27" s="1599">
        <f t="shared" si="12"/>
        <v>8290</v>
      </c>
      <c r="D27" s="1599">
        <f t="shared" si="12"/>
        <v>162</v>
      </c>
      <c r="E27" s="1599">
        <f t="shared" si="12"/>
        <v>1370</v>
      </c>
      <c r="F27" s="1599">
        <f t="shared" si="12"/>
        <v>125493</v>
      </c>
      <c r="G27" s="1613">
        <f t="shared" ref="G27" si="13">G47</f>
        <v>93088</v>
      </c>
    </row>
    <row r="28" spans="1:8" ht="14.4" hidden="1" x14ac:dyDescent="0.3">
      <c r="A28" s="1605" t="s">
        <v>1015</v>
      </c>
      <c r="B28" s="1599">
        <f t="shared" ref="B28:F28" si="14">B52</f>
        <v>87069</v>
      </c>
      <c r="C28" s="1599">
        <f t="shared" si="14"/>
        <v>11833</v>
      </c>
      <c r="D28" s="1599">
        <f t="shared" si="14"/>
        <v>149681</v>
      </c>
      <c r="E28" s="1599">
        <f t="shared" si="14"/>
        <v>267049</v>
      </c>
      <c r="F28" s="1599">
        <f t="shared" si="14"/>
        <v>281391</v>
      </c>
      <c r="G28" s="1613">
        <f t="shared" ref="G28" si="15">G52</f>
        <v>266221</v>
      </c>
    </row>
    <row r="29" spans="1:8" ht="14.4" hidden="1" x14ac:dyDescent="0.3">
      <c r="A29" s="1605" t="s">
        <v>925</v>
      </c>
      <c r="B29" s="1599">
        <f t="shared" ref="B29:F29" si="16">B58+B62</f>
        <v>5700</v>
      </c>
      <c r="C29" s="1599">
        <f t="shared" si="16"/>
        <v>11900</v>
      </c>
      <c r="D29" s="1599">
        <f t="shared" si="16"/>
        <v>38200</v>
      </c>
      <c r="E29" s="1599">
        <f t="shared" si="16"/>
        <v>38100</v>
      </c>
      <c r="F29" s="1599">
        <f t="shared" si="16"/>
        <v>53200</v>
      </c>
      <c r="G29" s="1613">
        <f t="shared" ref="G29" si="17">G58+G62</f>
        <v>43500</v>
      </c>
    </row>
    <row r="30" spans="1:8" ht="15" hidden="1" thickBot="1" x14ac:dyDescent="0.35">
      <c r="A30" s="1606" t="s">
        <v>926</v>
      </c>
      <c r="B30" s="1600">
        <f t="shared" ref="B30:G30" si="18">B67</f>
        <v>2184078</v>
      </c>
      <c r="C30" s="1600">
        <f t="shared" si="18"/>
        <v>2131917</v>
      </c>
      <c r="D30" s="1600">
        <f t="shared" si="18"/>
        <v>1551016</v>
      </c>
      <c r="E30" s="1600">
        <f t="shared" si="18"/>
        <v>183788</v>
      </c>
      <c r="F30" s="1600">
        <f t="shared" si="18"/>
        <v>275965</v>
      </c>
      <c r="G30" s="1614">
        <f t="shared" si="18"/>
        <v>1782399</v>
      </c>
    </row>
    <row r="31" spans="1:8" hidden="1" x14ac:dyDescent="0.2">
      <c r="B31" s="1573"/>
      <c r="C31" s="1573"/>
      <c r="D31" s="1573"/>
      <c r="E31" s="1573"/>
      <c r="F31" s="1573"/>
      <c r="G31" s="1573"/>
    </row>
    <row r="32" spans="1:8" ht="14.4" hidden="1" x14ac:dyDescent="0.3">
      <c r="A32" s="1608" t="s">
        <v>951</v>
      </c>
      <c r="B32" s="1573"/>
      <c r="C32" s="1573"/>
      <c r="D32" s="1573"/>
      <c r="E32" s="1573"/>
      <c r="F32" s="1573"/>
      <c r="G32" s="1573"/>
    </row>
    <row r="33" spans="1:14" hidden="1" x14ac:dyDescent="0.2">
      <c r="B33" s="123">
        <f>B23</f>
        <v>0.9</v>
      </c>
      <c r="C33" s="123">
        <f t="shared" ref="C33:G33" si="19">C23</f>
        <v>0.9</v>
      </c>
      <c r="D33" s="123">
        <f t="shared" si="19"/>
        <v>0.9</v>
      </c>
      <c r="E33" s="123">
        <f t="shared" si="19"/>
        <v>0.9</v>
      </c>
      <c r="F33" s="123">
        <f t="shared" si="19"/>
        <v>0.9</v>
      </c>
      <c r="G33" s="123">
        <f t="shared" si="19"/>
        <v>0.9</v>
      </c>
    </row>
    <row r="34" spans="1:14" ht="14.4" hidden="1" x14ac:dyDescent="0.3">
      <c r="A34" s="1592" t="s">
        <v>923</v>
      </c>
    </row>
    <row r="35" spans="1:14" ht="14.4" hidden="1" x14ac:dyDescent="0.3">
      <c r="A35" s="1593" t="s">
        <v>915</v>
      </c>
      <c r="B35" s="1685">
        <v>186556</v>
      </c>
      <c r="C35" s="1685">
        <v>125818</v>
      </c>
      <c r="D35" s="1685">
        <v>239313</v>
      </c>
      <c r="E35" s="1685">
        <v>567645</v>
      </c>
      <c r="F35" s="1594">
        <v>448842</v>
      </c>
      <c r="G35" s="1594">
        <v>181644</v>
      </c>
      <c r="I35" t="s">
        <v>997</v>
      </c>
      <c r="J35" t="s">
        <v>998</v>
      </c>
      <c r="K35" t="s">
        <v>999</v>
      </c>
      <c r="L35" t="s">
        <v>1000</v>
      </c>
      <c r="M35" t="s">
        <v>1001</v>
      </c>
      <c r="N35" t="s">
        <v>1002</v>
      </c>
    </row>
    <row r="36" spans="1:14" ht="14.4" hidden="1" x14ac:dyDescent="0.3">
      <c r="A36" s="1593" t="s">
        <v>916</v>
      </c>
      <c r="B36" s="1685">
        <v>53004</v>
      </c>
      <c r="C36" s="1685">
        <v>33084</v>
      </c>
      <c r="D36" s="1685">
        <v>59490</v>
      </c>
      <c r="E36" s="1685">
        <v>225764</v>
      </c>
      <c r="F36" s="1594">
        <v>152871</v>
      </c>
      <c r="G36" s="1594">
        <v>55375</v>
      </c>
      <c r="I36" t="s">
        <v>1003</v>
      </c>
      <c r="J36" t="s">
        <v>1004</v>
      </c>
      <c r="K36" t="s">
        <v>1005</v>
      </c>
      <c r="L36" t="s">
        <v>1006</v>
      </c>
      <c r="M36" t="s">
        <v>1007</v>
      </c>
      <c r="N36" t="s">
        <v>1008</v>
      </c>
    </row>
    <row r="37" spans="1:14" ht="14.4" hidden="1" x14ac:dyDescent="0.3">
      <c r="A37" s="1593" t="s">
        <v>927</v>
      </c>
      <c r="B37" s="1685">
        <v>111181</v>
      </c>
      <c r="C37" s="1685">
        <v>81321</v>
      </c>
      <c r="D37" s="1685">
        <v>151516</v>
      </c>
      <c r="E37" s="1685">
        <v>349866</v>
      </c>
      <c r="F37" s="1594">
        <v>285000</v>
      </c>
      <c r="G37" s="1594">
        <v>191777</v>
      </c>
      <c r="I37" t="s">
        <v>1009</v>
      </c>
      <c r="J37" t="s">
        <v>1010</v>
      </c>
      <c r="K37" t="s">
        <v>1011</v>
      </c>
      <c r="L37" t="s">
        <v>1012</v>
      </c>
      <c r="M37" t="s">
        <v>1013</v>
      </c>
      <c r="N37" t="s">
        <v>1014</v>
      </c>
    </row>
    <row r="38" spans="1:14" hidden="1" x14ac:dyDescent="0.2">
      <c r="B38">
        <f t="shared" ref="B38:F38" si="20">B35+B36+B37</f>
        <v>350741</v>
      </c>
      <c r="C38">
        <f t="shared" si="20"/>
        <v>240223</v>
      </c>
      <c r="D38">
        <f t="shared" si="20"/>
        <v>450319</v>
      </c>
      <c r="E38">
        <f t="shared" si="20"/>
        <v>1143275</v>
      </c>
      <c r="F38">
        <f t="shared" si="20"/>
        <v>886713</v>
      </c>
      <c r="G38">
        <f t="shared" ref="G38" si="21">G35+G36+G37</f>
        <v>428796</v>
      </c>
      <c r="I38" s="70"/>
      <c r="J38" s="70"/>
      <c r="K38" s="70"/>
      <c r="L38" s="70"/>
      <c r="M38" s="70"/>
      <c r="N38" s="70"/>
    </row>
    <row r="39" spans="1:14" ht="14.4" hidden="1" x14ac:dyDescent="0.3">
      <c r="A39" s="1593" t="s">
        <v>915</v>
      </c>
      <c r="B39" s="1451">
        <v>50538</v>
      </c>
      <c r="C39" s="1451">
        <v>22993</v>
      </c>
      <c r="D39" s="1451">
        <v>18504</v>
      </c>
      <c r="E39" s="1451">
        <v>153002</v>
      </c>
      <c r="F39" s="1594">
        <v>130661</v>
      </c>
      <c r="G39" s="1594">
        <v>106808</v>
      </c>
      <c r="I39" s="70">
        <v>302991</v>
      </c>
      <c r="J39" s="70">
        <v>167936</v>
      </c>
      <c r="K39" s="70">
        <v>254125</v>
      </c>
      <c r="L39" s="70">
        <v>137824</v>
      </c>
      <c r="M39" s="70">
        <v>126642</v>
      </c>
      <c r="N39" s="70">
        <v>128354</v>
      </c>
    </row>
    <row r="40" spans="1:14" ht="14.4" hidden="1" x14ac:dyDescent="0.3">
      <c r="A40" s="1593" t="s">
        <v>916</v>
      </c>
      <c r="B40" s="1451">
        <v>17003</v>
      </c>
      <c r="C40" s="1451">
        <v>1832</v>
      </c>
      <c r="D40" s="1451">
        <v>3776</v>
      </c>
      <c r="E40" s="1451">
        <v>11948</v>
      </c>
      <c r="F40" s="1594">
        <v>48706</v>
      </c>
      <c r="G40" s="1594">
        <v>31021</v>
      </c>
      <c r="I40" s="70">
        <v>83499</v>
      </c>
      <c r="J40" s="70">
        <v>49293</v>
      </c>
      <c r="K40" s="70">
        <v>92598</v>
      </c>
      <c r="L40" s="70">
        <v>39153</v>
      </c>
      <c r="M40" s="70">
        <v>43036</v>
      </c>
      <c r="N40" s="70">
        <v>32869</v>
      </c>
    </row>
    <row r="41" spans="1:14" ht="14.4" hidden="1" x14ac:dyDescent="0.3">
      <c r="A41" s="1593" t="s">
        <v>927</v>
      </c>
      <c r="B41" s="1451">
        <v>29440</v>
      </c>
      <c r="C41" s="1451">
        <v>30240</v>
      </c>
      <c r="D41" s="1451">
        <v>19789</v>
      </c>
      <c r="E41" s="1451">
        <v>98076</v>
      </c>
      <c r="F41" s="1594">
        <v>160970</v>
      </c>
      <c r="G41" s="1594">
        <v>109249</v>
      </c>
      <c r="I41" s="70">
        <v>283413</v>
      </c>
      <c r="J41" s="70">
        <v>152146</v>
      </c>
      <c r="K41" s="70">
        <v>239854</v>
      </c>
      <c r="L41" s="70">
        <v>177181</v>
      </c>
      <c r="M41" s="70">
        <v>151526</v>
      </c>
      <c r="N41" s="70">
        <v>135159</v>
      </c>
    </row>
    <row r="42" spans="1:14" hidden="1" x14ac:dyDescent="0.2">
      <c r="B42">
        <f t="shared" ref="B42:F42" si="22">B39+B40+B41</f>
        <v>96981</v>
      </c>
      <c r="C42">
        <f t="shared" si="22"/>
        <v>55065</v>
      </c>
      <c r="D42">
        <f t="shared" si="22"/>
        <v>42069</v>
      </c>
      <c r="E42">
        <f t="shared" si="22"/>
        <v>263026</v>
      </c>
      <c r="F42">
        <f t="shared" si="22"/>
        <v>340337</v>
      </c>
      <c r="G42">
        <f t="shared" ref="G42" si="23">G39+G40+G41</f>
        <v>247078</v>
      </c>
    </row>
    <row r="43" spans="1:14" ht="14.4" hidden="1" x14ac:dyDescent="0.3">
      <c r="A43" s="1592" t="s">
        <v>924</v>
      </c>
    </row>
    <row r="44" spans="1:14" ht="14.4" hidden="1" x14ac:dyDescent="0.3">
      <c r="A44" s="1593" t="s">
        <v>915</v>
      </c>
      <c r="B44" s="1451">
        <v>13358</v>
      </c>
      <c r="C44" s="1451">
        <v>8290</v>
      </c>
      <c r="D44" s="1451">
        <v>162</v>
      </c>
      <c r="E44" s="1451">
        <v>1370</v>
      </c>
      <c r="F44" s="1451">
        <v>125493</v>
      </c>
      <c r="G44" s="1451">
        <v>93088</v>
      </c>
      <c r="I44">
        <v>182090</v>
      </c>
      <c r="J44">
        <v>136162</v>
      </c>
      <c r="K44">
        <v>216044</v>
      </c>
      <c r="L44">
        <v>99788</v>
      </c>
      <c r="M44">
        <v>62622</v>
      </c>
      <c r="N44">
        <v>23098</v>
      </c>
    </row>
    <row r="45" spans="1:14" ht="14.4" hidden="1" x14ac:dyDescent="0.3">
      <c r="A45" s="1593" t="s">
        <v>916</v>
      </c>
      <c r="B45" s="1451"/>
      <c r="C45" s="1451"/>
      <c r="D45" s="1451"/>
      <c r="E45" s="1451"/>
      <c r="F45" s="1451">
        <v>0</v>
      </c>
      <c r="G45" s="1451">
        <v>0</v>
      </c>
    </row>
    <row r="46" spans="1:14" ht="14.4" hidden="1" x14ac:dyDescent="0.3">
      <c r="A46" s="1593" t="s">
        <v>927</v>
      </c>
      <c r="B46" s="1451"/>
      <c r="C46" s="1451"/>
      <c r="D46" s="1451"/>
      <c r="E46" s="1451"/>
      <c r="F46" s="1451">
        <v>0</v>
      </c>
      <c r="G46" s="1451">
        <v>0</v>
      </c>
    </row>
    <row r="47" spans="1:14" hidden="1" x14ac:dyDescent="0.2">
      <c r="B47">
        <f t="shared" ref="B47:F47" si="24">B44+B45+B46</f>
        <v>13358</v>
      </c>
      <c r="C47">
        <f t="shared" si="24"/>
        <v>8290</v>
      </c>
      <c r="D47">
        <f t="shared" si="24"/>
        <v>162</v>
      </c>
      <c r="E47">
        <f t="shared" si="24"/>
        <v>1370</v>
      </c>
      <c r="F47">
        <f t="shared" si="24"/>
        <v>125493</v>
      </c>
      <c r="G47">
        <f t="shared" ref="G47" si="25">G44+G45+G46</f>
        <v>93088</v>
      </c>
      <c r="I47">
        <v>106405</v>
      </c>
      <c r="J47">
        <v>117036</v>
      </c>
      <c r="K47">
        <v>132077</v>
      </c>
      <c r="L47">
        <v>47855</v>
      </c>
      <c r="M47">
        <v>1265</v>
      </c>
      <c r="N47">
        <v>10512</v>
      </c>
    </row>
    <row r="48" spans="1:14" ht="14.4" hidden="1" x14ac:dyDescent="0.3">
      <c r="A48" s="1605" t="s">
        <v>1015</v>
      </c>
      <c r="I48">
        <v>35089</v>
      </c>
      <c r="J48">
        <v>35812</v>
      </c>
      <c r="K48">
        <v>55955</v>
      </c>
      <c r="L48">
        <v>16809</v>
      </c>
      <c r="M48">
        <v>193</v>
      </c>
      <c r="N48">
        <v>4581</v>
      </c>
    </row>
    <row r="49" spans="1:14" ht="14.4" hidden="1" x14ac:dyDescent="0.3">
      <c r="A49" s="1593" t="s">
        <v>915</v>
      </c>
      <c r="B49" s="1451">
        <v>45303</v>
      </c>
      <c r="C49" s="1451">
        <v>8213</v>
      </c>
      <c r="D49" s="1451">
        <v>74980</v>
      </c>
      <c r="E49" s="1451">
        <v>43654</v>
      </c>
      <c r="F49" s="1451">
        <v>152430</v>
      </c>
      <c r="G49" s="1451">
        <v>133785</v>
      </c>
      <c r="I49">
        <v>75892</v>
      </c>
      <c r="J49">
        <v>86155</v>
      </c>
      <c r="K49">
        <v>104449</v>
      </c>
      <c r="L49">
        <v>76391</v>
      </c>
      <c r="M49">
        <v>8445</v>
      </c>
      <c r="N49">
        <v>19579</v>
      </c>
    </row>
    <row r="50" spans="1:14" ht="14.4" hidden="1" x14ac:dyDescent="0.3">
      <c r="A50" s="1593" t="s">
        <v>916</v>
      </c>
      <c r="B50" s="1451">
        <v>13827</v>
      </c>
      <c r="C50" s="1451"/>
      <c r="D50" s="1451">
        <v>26273</v>
      </c>
      <c r="E50" s="1451">
        <v>140842</v>
      </c>
      <c r="F50" s="1451">
        <v>44716</v>
      </c>
      <c r="G50" s="1451">
        <v>39739</v>
      </c>
    </row>
    <row r="51" spans="1:14" ht="14.4" hidden="1" x14ac:dyDescent="0.3">
      <c r="A51" s="1593" t="s">
        <v>927</v>
      </c>
      <c r="B51" s="1451">
        <v>27939</v>
      </c>
      <c r="C51" s="1451">
        <v>3620</v>
      </c>
      <c r="D51" s="1451">
        <v>48428</v>
      </c>
      <c r="E51" s="1451">
        <v>82553</v>
      </c>
      <c r="F51" s="1451">
        <v>84245</v>
      </c>
      <c r="G51" s="1451">
        <v>92697</v>
      </c>
    </row>
    <row r="52" spans="1:14" hidden="1" x14ac:dyDescent="0.2">
      <c r="B52">
        <f t="shared" ref="B52:F52" si="26">B49+B50+B51</f>
        <v>87069</v>
      </c>
      <c r="C52">
        <f t="shared" si="26"/>
        <v>11833</v>
      </c>
      <c r="D52">
        <f t="shared" si="26"/>
        <v>149681</v>
      </c>
      <c r="E52">
        <f t="shared" si="26"/>
        <v>267049</v>
      </c>
      <c r="F52">
        <f t="shared" si="26"/>
        <v>281391</v>
      </c>
      <c r="G52">
        <f t="shared" ref="G52" si="27">G49+G50+G51</f>
        <v>266221</v>
      </c>
    </row>
    <row r="53" spans="1:14" hidden="1" x14ac:dyDescent="0.2"/>
    <row r="54" spans="1:14" ht="14.4" hidden="1" x14ac:dyDescent="0.3">
      <c r="A54" s="1592" t="s">
        <v>925</v>
      </c>
    </row>
    <row r="55" spans="1:14" ht="14.4" hidden="1" x14ac:dyDescent="0.3">
      <c r="A55" s="1593" t="s">
        <v>915</v>
      </c>
      <c r="B55" s="1451">
        <v>1600</v>
      </c>
      <c r="C55" s="1451">
        <v>3800</v>
      </c>
      <c r="D55" s="1451">
        <v>17000</v>
      </c>
      <c r="E55" s="1451">
        <v>20400</v>
      </c>
      <c r="F55" s="1451">
        <v>26900</v>
      </c>
      <c r="G55" s="1451">
        <v>18700</v>
      </c>
      <c r="I55" s="70">
        <v>30300</v>
      </c>
      <c r="J55" s="70">
        <v>30200</v>
      </c>
      <c r="K55" s="70">
        <v>11200</v>
      </c>
      <c r="L55" s="70">
        <v>21300</v>
      </c>
      <c r="M55" s="70">
        <v>19600</v>
      </c>
      <c r="N55" s="70">
        <v>8900</v>
      </c>
    </row>
    <row r="56" spans="1:14" ht="14.4" hidden="1" x14ac:dyDescent="0.3">
      <c r="A56" s="1593" t="s">
        <v>916</v>
      </c>
      <c r="B56" s="1451">
        <v>800</v>
      </c>
      <c r="C56" s="1451">
        <v>1200</v>
      </c>
      <c r="D56" s="1451">
        <v>5300</v>
      </c>
      <c r="E56" s="1451">
        <v>5200</v>
      </c>
      <c r="F56" s="1451">
        <v>8500</v>
      </c>
      <c r="G56" s="1451">
        <v>7000</v>
      </c>
      <c r="I56" s="70">
        <v>9100</v>
      </c>
      <c r="J56" s="70">
        <v>8400</v>
      </c>
      <c r="K56" s="70">
        <v>38600</v>
      </c>
      <c r="L56" s="70">
        <v>6500</v>
      </c>
      <c r="M56" s="70">
        <v>4900</v>
      </c>
      <c r="N56" s="70">
        <v>2200</v>
      </c>
    </row>
    <row r="57" spans="1:14" ht="14.4" hidden="1" x14ac:dyDescent="0.3">
      <c r="A57" s="1593" t="s">
        <v>927</v>
      </c>
      <c r="B57" s="1451">
        <v>3300</v>
      </c>
      <c r="C57" s="1451">
        <v>6900</v>
      </c>
      <c r="D57" s="1451">
        <v>15700</v>
      </c>
      <c r="E57" s="1451">
        <v>12500</v>
      </c>
      <c r="F57" s="1451">
        <v>17800</v>
      </c>
      <c r="G57" s="1451">
        <v>15300</v>
      </c>
      <c r="I57" s="70">
        <v>18800</v>
      </c>
      <c r="J57" s="70">
        <v>18600</v>
      </c>
      <c r="K57" s="70">
        <v>20100</v>
      </c>
      <c r="L57" s="70">
        <v>18300</v>
      </c>
      <c r="M57" s="70">
        <v>14280</v>
      </c>
      <c r="N57" s="70">
        <v>14200</v>
      </c>
    </row>
    <row r="58" spans="1:14" hidden="1" x14ac:dyDescent="0.2">
      <c r="B58">
        <f t="shared" ref="B58:F58" si="28">B55+B56+B57</f>
        <v>5700</v>
      </c>
      <c r="C58">
        <f t="shared" si="28"/>
        <v>11900</v>
      </c>
      <c r="D58">
        <f t="shared" si="28"/>
        <v>38000</v>
      </c>
      <c r="E58">
        <f t="shared" si="28"/>
        <v>38100</v>
      </c>
      <c r="F58">
        <f t="shared" si="28"/>
        <v>53200</v>
      </c>
      <c r="G58">
        <f t="shared" ref="G58" si="29">G55+G56+G57</f>
        <v>41000</v>
      </c>
    </row>
    <row r="59" spans="1:14" ht="14.4" hidden="1" x14ac:dyDescent="0.3">
      <c r="A59" s="1593" t="s">
        <v>915</v>
      </c>
      <c r="B59" s="1451">
        <v>0</v>
      </c>
      <c r="C59" s="1451">
        <v>0</v>
      </c>
      <c r="D59" s="1451">
        <v>0</v>
      </c>
      <c r="E59" s="1451">
        <v>0</v>
      </c>
      <c r="F59" s="1451">
        <v>0</v>
      </c>
      <c r="G59" s="1451">
        <v>2200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ht="14.4" hidden="1" x14ac:dyDescent="0.3">
      <c r="A60" s="1593" t="s">
        <v>916</v>
      </c>
      <c r="B60" s="1451">
        <v>0</v>
      </c>
      <c r="C60" s="1451">
        <v>0</v>
      </c>
      <c r="D60" s="1451">
        <v>0</v>
      </c>
      <c r="E60" s="1451">
        <v>0</v>
      </c>
      <c r="F60" s="1451">
        <v>0</v>
      </c>
      <c r="G60" s="1451"/>
      <c r="I60">
        <v>0</v>
      </c>
      <c r="J60">
        <v>0</v>
      </c>
      <c r="K60">
        <v>0</v>
      </c>
      <c r="L60">
        <v>18</v>
      </c>
      <c r="M60">
        <v>0</v>
      </c>
      <c r="N60">
        <v>0</v>
      </c>
    </row>
    <row r="61" spans="1:14" ht="14.4" hidden="1" x14ac:dyDescent="0.3">
      <c r="A61" s="1593" t="s">
        <v>927</v>
      </c>
      <c r="B61" s="1451">
        <v>0</v>
      </c>
      <c r="C61" s="1451">
        <v>0</v>
      </c>
      <c r="D61" s="1451">
        <v>200</v>
      </c>
      <c r="E61" s="1451">
        <v>0</v>
      </c>
      <c r="F61" s="1451">
        <v>0</v>
      </c>
      <c r="G61" s="1451">
        <v>300</v>
      </c>
      <c r="I61">
        <v>0</v>
      </c>
      <c r="J61">
        <v>0</v>
      </c>
      <c r="K61">
        <v>0</v>
      </c>
      <c r="L61">
        <v>60</v>
      </c>
      <c r="M61">
        <v>0</v>
      </c>
      <c r="N61">
        <v>0</v>
      </c>
    </row>
    <row r="62" spans="1:14" hidden="1" x14ac:dyDescent="0.2">
      <c r="B62">
        <f t="shared" ref="B62:F62" si="30">B59+B60+B61</f>
        <v>0</v>
      </c>
      <c r="C62">
        <f t="shared" si="30"/>
        <v>0</v>
      </c>
      <c r="D62">
        <f t="shared" si="30"/>
        <v>200</v>
      </c>
      <c r="E62">
        <f t="shared" si="30"/>
        <v>0</v>
      </c>
      <c r="F62">
        <f t="shared" si="30"/>
        <v>0</v>
      </c>
      <c r="G62">
        <f t="shared" ref="G62" si="31">G59+G60+G61</f>
        <v>2500</v>
      </c>
    </row>
    <row r="63" spans="1:14" ht="14.4" hidden="1" x14ac:dyDescent="0.3">
      <c r="A63" s="1593" t="s">
        <v>926</v>
      </c>
    </row>
    <row r="64" spans="1:14" ht="14.4" hidden="1" x14ac:dyDescent="0.3">
      <c r="A64" s="1593" t="s">
        <v>915</v>
      </c>
      <c r="B64" s="1451">
        <v>1228128</v>
      </c>
      <c r="C64" s="1451">
        <v>1185338</v>
      </c>
      <c r="D64" s="1451">
        <v>843243</v>
      </c>
      <c r="E64" s="1451">
        <v>108681</v>
      </c>
      <c r="F64" s="1451">
        <v>187070</v>
      </c>
      <c r="G64" s="1451">
        <v>1039537</v>
      </c>
      <c r="I64">
        <v>1138158</v>
      </c>
      <c r="J64">
        <v>884673</v>
      </c>
      <c r="K64">
        <v>1187801</v>
      </c>
      <c r="L64">
        <v>1205352</v>
      </c>
      <c r="M64">
        <v>1228984</v>
      </c>
      <c r="N64">
        <v>1170511</v>
      </c>
    </row>
    <row r="65" spans="1:15" ht="14.4" hidden="1" x14ac:dyDescent="0.3">
      <c r="A65" s="1593" t="s">
        <v>916</v>
      </c>
      <c r="B65" s="1451">
        <v>342468</v>
      </c>
      <c r="C65" s="1451">
        <v>339046</v>
      </c>
      <c r="D65" s="1451">
        <v>225770</v>
      </c>
      <c r="E65" s="1451">
        <v>28465</v>
      </c>
      <c r="F65" s="1451">
        <v>33549</v>
      </c>
      <c r="G65" s="1451">
        <v>262430</v>
      </c>
      <c r="I65">
        <v>309091</v>
      </c>
      <c r="J65">
        <v>424068</v>
      </c>
      <c r="K65">
        <v>573416</v>
      </c>
      <c r="L65">
        <v>352396</v>
      </c>
      <c r="M65">
        <v>342033</v>
      </c>
      <c r="N65">
        <v>310669</v>
      </c>
    </row>
    <row r="66" spans="1:15" ht="14.4" hidden="1" x14ac:dyDescent="0.3">
      <c r="A66" s="1593" t="s">
        <v>927</v>
      </c>
      <c r="B66" s="1451">
        <v>613482</v>
      </c>
      <c r="C66" s="1451">
        <v>607533</v>
      </c>
      <c r="D66" s="1451">
        <v>482003</v>
      </c>
      <c r="E66" s="1451">
        <v>46642</v>
      </c>
      <c r="F66" s="1451">
        <v>55346</v>
      </c>
      <c r="G66" s="1451">
        <v>480432</v>
      </c>
      <c r="I66">
        <v>583460</v>
      </c>
      <c r="J66">
        <v>245814</v>
      </c>
      <c r="K66">
        <v>319056</v>
      </c>
      <c r="L66">
        <v>623895</v>
      </c>
      <c r="M66">
        <v>602578</v>
      </c>
      <c r="N66">
        <v>549086</v>
      </c>
    </row>
    <row r="67" spans="1:15" hidden="1" x14ac:dyDescent="0.2">
      <c r="B67">
        <f t="shared" ref="B67:F67" si="32">B64+B65+B66</f>
        <v>2184078</v>
      </c>
      <c r="C67">
        <f t="shared" si="32"/>
        <v>2131917</v>
      </c>
      <c r="D67">
        <f t="shared" si="32"/>
        <v>1551016</v>
      </c>
      <c r="E67">
        <f t="shared" si="32"/>
        <v>183788</v>
      </c>
      <c r="F67">
        <f t="shared" si="32"/>
        <v>275965</v>
      </c>
      <c r="G67">
        <f t="shared" ref="G67" si="33">G64+G65+G66</f>
        <v>1782399</v>
      </c>
    </row>
    <row r="68" spans="1:15" hidden="1" x14ac:dyDescent="0.2"/>
    <row r="69" spans="1:15" hidden="1" x14ac:dyDescent="0.2"/>
    <row r="70" spans="1:15" hidden="1" x14ac:dyDescent="0.2">
      <c r="A70" s="1607" t="s">
        <v>952</v>
      </c>
    </row>
    <row r="71" spans="1:15" hidden="1" x14ac:dyDescent="0.2">
      <c r="A71" s="415"/>
      <c r="B71" s="123">
        <f>B33</f>
        <v>0.9</v>
      </c>
      <c r="C71" s="123">
        <f t="shared" ref="C71:G71" si="34">C33</f>
        <v>0.9</v>
      </c>
      <c r="D71" s="123">
        <f t="shared" si="34"/>
        <v>0.9</v>
      </c>
      <c r="E71" s="123">
        <f t="shared" si="34"/>
        <v>0.9</v>
      </c>
      <c r="F71" s="123">
        <f t="shared" si="34"/>
        <v>0.9</v>
      </c>
      <c r="G71" s="123">
        <f t="shared" si="34"/>
        <v>0.9</v>
      </c>
      <c r="I71" s="123">
        <f>B71</f>
        <v>0.9</v>
      </c>
      <c r="J71" s="123">
        <f t="shared" ref="J71:N71" si="35">C71</f>
        <v>0.9</v>
      </c>
      <c r="K71" s="123">
        <f t="shared" si="35"/>
        <v>0.9</v>
      </c>
      <c r="L71" s="123">
        <f t="shared" si="35"/>
        <v>0.9</v>
      </c>
      <c r="M71" s="123">
        <f t="shared" si="35"/>
        <v>0.9</v>
      </c>
      <c r="N71" s="123">
        <f t="shared" si="35"/>
        <v>0.9</v>
      </c>
      <c r="O71" s="415"/>
    </row>
    <row r="72" spans="1:15" hidden="1" x14ac:dyDescent="0.2">
      <c r="A72" s="415" t="s">
        <v>955</v>
      </c>
      <c r="B72" s="1573"/>
      <c r="C72" s="123"/>
      <c r="D72" s="123"/>
      <c r="E72" s="123"/>
      <c r="F72" s="123"/>
      <c r="G72" s="123"/>
      <c r="H72" s="415"/>
      <c r="O72" s="415" t="s">
        <v>957</v>
      </c>
    </row>
    <row r="73" spans="1:15" ht="14.4" hidden="1" x14ac:dyDescent="0.3">
      <c r="A73" s="1593" t="s">
        <v>915</v>
      </c>
      <c r="B73" s="402">
        <f t="shared" ref="B73:G73" si="36">B44+B55+B59+B64</f>
        <v>1243086</v>
      </c>
      <c r="C73" s="402">
        <f t="shared" si="36"/>
        <v>1197428</v>
      </c>
      <c r="D73" s="402">
        <f t="shared" si="36"/>
        <v>860405</v>
      </c>
      <c r="E73" s="402">
        <f t="shared" si="36"/>
        <v>130451</v>
      </c>
      <c r="F73" s="402">
        <f t="shared" si="36"/>
        <v>339463</v>
      </c>
      <c r="G73" s="402">
        <f t="shared" si="36"/>
        <v>1153525</v>
      </c>
      <c r="I73" s="314">
        <f>B73/$B$76</f>
        <v>0.56423479984894265</v>
      </c>
      <c r="J73" s="314">
        <f>C73/$C$76</f>
        <v>0.55639798578788136</v>
      </c>
      <c r="K73" s="314">
        <f>D73/$D$76</f>
        <v>0.54134699234543326</v>
      </c>
      <c r="L73" s="314">
        <f>E73/$E$76</f>
        <v>0.58430604950326526</v>
      </c>
      <c r="M73" s="1574">
        <f>F73/$F$76</f>
        <v>0.74663373348758844</v>
      </c>
      <c r="N73" s="1574">
        <f>G73/$G$76</f>
        <v>0.60111141972301008</v>
      </c>
      <c r="O73" s="314">
        <f>AVERAGE(I73:M73)</f>
        <v>0.59858391219462226</v>
      </c>
    </row>
    <row r="74" spans="1:15" ht="14.4" hidden="1" x14ac:dyDescent="0.3">
      <c r="A74" s="1593" t="s">
        <v>916</v>
      </c>
      <c r="B74" s="402">
        <f t="shared" ref="B74:E75" si="37">B45+B56+B60+B65</f>
        <v>343268</v>
      </c>
      <c r="C74" s="402">
        <f t="shared" si="37"/>
        <v>340246</v>
      </c>
      <c r="D74" s="402">
        <f t="shared" si="37"/>
        <v>231070</v>
      </c>
      <c r="E74" s="402">
        <f t="shared" si="37"/>
        <v>33665</v>
      </c>
      <c r="F74" s="402">
        <f>F45+F56+F60+F65</f>
        <v>42049</v>
      </c>
      <c r="G74" s="402">
        <f>G45+G56+G60+G65</f>
        <v>269430</v>
      </c>
      <c r="I74" s="314">
        <f>B74/$B$76</f>
        <v>0.15580881071345573</v>
      </c>
      <c r="J74" s="314">
        <f>C74/$C$76</f>
        <v>0.15809901645224889</v>
      </c>
      <c r="K74" s="314">
        <f>D74/$D$76</f>
        <v>0.14538391748218485</v>
      </c>
      <c r="L74" s="314">
        <f>E74/$E$76</f>
        <v>0.15078966935115426</v>
      </c>
      <c r="M74" s="1574">
        <f>F74/$F$76</f>
        <v>9.2484900738577125E-2</v>
      </c>
      <c r="N74" s="1574">
        <f>G74/$G$76</f>
        <v>0.14040220178667182</v>
      </c>
      <c r="O74" s="314">
        <f>AVERAGE(I74:M74)</f>
        <v>0.14051326294752417</v>
      </c>
    </row>
    <row r="75" spans="1:15" ht="14.4" hidden="1" x14ac:dyDescent="0.3">
      <c r="A75" s="1593" t="s">
        <v>927</v>
      </c>
      <c r="B75" s="402">
        <f t="shared" si="37"/>
        <v>616782</v>
      </c>
      <c r="C75" s="402">
        <f t="shared" si="37"/>
        <v>614433</v>
      </c>
      <c r="D75" s="402">
        <f t="shared" si="37"/>
        <v>497903</v>
      </c>
      <c r="E75" s="402">
        <f t="shared" si="37"/>
        <v>59142</v>
      </c>
      <c r="F75" s="402">
        <f>F46+F57+F61+F66</f>
        <v>73146</v>
      </c>
      <c r="G75" s="402">
        <f>G46+G57+G61+G66</f>
        <v>496032</v>
      </c>
      <c r="I75" s="314">
        <f>B75/$B$76</f>
        <v>0.27995638943760165</v>
      </c>
      <c r="J75" s="314">
        <f>C75/$C$76</f>
        <v>0.28550299775986976</v>
      </c>
      <c r="K75" s="314">
        <f>D75/$D$76</f>
        <v>0.31326909017238191</v>
      </c>
      <c r="L75" s="314">
        <f>E75/$E$76</f>
        <v>0.26490428114558046</v>
      </c>
      <c r="M75" s="1574">
        <f>F75/$F$76</f>
        <v>0.16088136577383441</v>
      </c>
      <c r="N75" s="1574">
        <f>G75/$G$76</f>
        <v>0.25848637849031808</v>
      </c>
      <c r="O75" s="314">
        <f>AVERAGE(I75:M75)</f>
        <v>0.26090282485785365</v>
      </c>
    </row>
    <row r="76" spans="1:15" hidden="1" x14ac:dyDescent="0.2">
      <c r="B76" s="241">
        <f t="shared" ref="B76:F76" si="38">B73+B74+B75</f>
        <v>2203136</v>
      </c>
      <c r="C76" s="241">
        <f t="shared" si="38"/>
        <v>2152107</v>
      </c>
      <c r="D76" s="241">
        <f t="shared" si="38"/>
        <v>1589378</v>
      </c>
      <c r="E76" s="241">
        <f t="shared" si="38"/>
        <v>223258</v>
      </c>
      <c r="F76" s="241">
        <f t="shared" si="38"/>
        <v>454658</v>
      </c>
      <c r="G76" s="241">
        <f t="shared" ref="G76" si="39">G73+G74+G75</f>
        <v>1918987</v>
      </c>
      <c r="I76" s="314"/>
      <c r="J76" s="314"/>
      <c r="K76" s="314"/>
      <c r="L76" s="314"/>
      <c r="M76" s="314"/>
      <c r="N76" s="1574"/>
    </row>
    <row r="77" spans="1:15" hidden="1" x14ac:dyDescent="0.2">
      <c r="A77" s="415" t="s">
        <v>956</v>
      </c>
      <c r="I77" s="314"/>
      <c r="J77" s="314"/>
      <c r="K77" s="314"/>
      <c r="L77" s="314"/>
      <c r="M77" s="314"/>
      <c r="N77" s="1574"/>
      <c r="O77" s="415" t="s">
        <v>958</v>
      </c>
    </row>
    <row r="78" spans="1:15" ht="14.4" hidden="1" x14ac:dyDescent="0.3">
      <c r="A78" s="1593" t="s">
        <v>915</v>
      </c>
      <c r="B78">
        <f t="shared" ref="B78:G80" si="40">B35+B39+B49</f>
        <v>282397</v>
      </c>
      <c r="C78">
        <f t="shared" si="40"/>
        <v>157024</v>
      </c>
      <c r="D78">
        <f t="shared" si="40"/>
        <v>332797</v>
      </c>
      <c r="E78">
        <f t="shared" si="40"/>
        <v>764301</v>
      </c>
      <c r="F78">
        <f t="shared" si="40"/>
        <v>731933</v>
      </c>
      <c r="G78">
        <f t="shared" si="40"/>
        <v>422237</v>
      </c>
      <c r="I78" s="314">
        <f>B78/$B$81</f>
        <v>0.52805114521373775</v>
      </c>
      <c r="J78" s="314">
        <f>C78/$C$81</f>
        <v>0.51127731415305366</v>
      </c>
      <c r="K78" s="314">
        <f>D78/$D$81</f>
        <v>0.51831968215254121</v>
      </c>
      <c r="L78" s="314">
        <f>E78/$E$81</f>
        <v>0.45674903636417963</v>
      </c>
      <c r="M78" s="1574">
        <f>F78/$F$81</f>
        <v>0.48522481157698577</v>
      </c>
      <c r="N78" s="1574">
        <f>G78/$G$81</f>
        <v>0.44818940764997162</v>
      </c>
      <c r="O78" s="1117">
        <f>AVERAGE(I78:M78)</f>
        <v>0.49992439789209958</v>
      </c>
    </row>
    <row r="79" spans="1:15" ht="14.4" hidden="1" x14ac:dyDescent="0.3">
      <c r="A79" s="1593" t="s">
        <v>916</v>
      </c>
      <c r="B79">
        <f t="shared" si="40"/>
        <v>83834</v>
      </c>
      <c r="C79">
        <f t="shared" si="40"/>
        <v>34916</v>
      </c>
      <c r="D79">
        <f t="shared" si="40"/>
        <v>89539</v>
      </c>
      <c r="E79">
        <f t="shared" si="40"/>
        <v>378554</v>
      </c>
      <c r="F79">
        <f t="shared" si="40"/>
        <v>246293</v>
      </c>
      <c r="G79">
        <f t="shared" si="40"/>
        <v>126135</v>
      </c>
      <c r="I79" s="314">
        <f>B79/$B$81</f>
        <v>0.15676030449278316</v>
      </c>
      <c r="J79" s="314">
        <f>C79/$C$81</f>
        <v>0.11368809036177924</v>
      </c>
      <c r="K79" s="314">
        <f>D79/$D$81</f>
        <v>0.13945385932041571</v>
      </c>
      <c r="L79" s="314">
        <f>E79/$E$81</f>
        <v>0.22622523680043027</v>
      </c>
      <c r="M79" s="1574">
        <f>F79/$F$81</f>
        <v>0.16327652191898789</v>
      </c>
      <c r="N79" s="1574">
        <f>G79/$G$81</f>
        <v>0.1338877714030963</v>
      </c>
      <c r="O79" s="1117">
        <f>AVERAGE(I79:M79)</f>
        <v>0.15988080257887927</v>
      </c>
    </row>
    <row r="80" spans="1:15" ht="14.4" hidden="1" x14ac:dyDescent="0.3">
      <c r="A80" s="1593" t="s">
        <v>927</v>
      </c>
      <c r="B80">
        <f t="shared" si="40"/>
        <v>168560</v>
      </c>
      <c r="C80">
        <f t="shared" si="40"/>
        <v>115181</v>
      </c>
      <c r="D80">
        <f t="shared" si="40"/>
        <v>219733</v>
      </c>
      <c r="E80">
        <f t="shared" si="40"/>
        <v>530495</v>
      </c>
      <c r="F80">
        <f t="shared" si="40"/>
        <v>530215</v>
      </c>
      <c r="G80">
        <f t="shared" si="40"/>
        <v>393723</v>
      </c>
      <c r="I80" s="314">
        <f>B80/$B$81</f>
        <v>0.31518855029347914</v>
      </c>
      <c r="J80" s="314">
        <f>C80/$C$81</f>
        <v>0.3750345954851671</v>
      </c>
      <c r="K80" s="314">
        <f>D80/$D$81</f>
        <v>0.34222645852704303</v>
      </c>
      <c r="L80" s="314">
        <f>E80/$E$81</f>
        <v>0.3170257268353901</v>
      </c>
      <c r="M80" s="1574">
        <f>F80/$F$81</f>
        <v>0.35149866650402634</v>
      </c>
      <c r="N80" s="1574">
        <f>G80/$G$81</f>
        <v>0.41792282094693212</v>
      </c>
      <c r="O80" s="1117">
        <f>AVERAGE(I80:M80)</f>
        <v>0.34019479952902115</v>
      </c>
    </row>
    <row r="81" spans="1:13" hidden="1" x14ac:dyDescent="0.2">
      <c r="B81">
        <f t="shared" ref="B81:F81" si="41">B78+B79+B80</f>
        <v>534791</v>
      </c>
      <c r="C81">
        <f t="shared" si="41"/>
        <v>307121</v>
      </c>
      <c r="D81">
        <f t="shared" si="41"/>
        <v>642069</v>
      </c>
      <c r="E81">
        <f t="shared" si="41"/>
        <v>1673350</v>
      </c>
      <c r="F81">
        <f t="shared" si="41"/>
        <v>1508441</v>
      </c>
      <c r="G81">
        <f t="shared" ref="G81" si="42">G78+G79+G80</f>
        <v>942095</v>
      </c>
    </row>
    <row r="82" spans="1:13" ht="14.4" hidden="1" x14ac:dyDescent="0.3">
      <c r="A82" s="1575" t="s">
        <v>445</v>
      </c>
    </row>
    <row r="83" spans="1:13" ht="14.4" hidden="1" x14ac:dyDescent="0.3">
      <c r="A83" s="1593" t="s">
        <v>915</v>
      </c>
      <c r="B83" s="414">
        <f t="shared" ref="B83:F85" si="43">B73+B78</f>
        <v>1525483</v>
      </c>
      <c r="C83" s="414">
        <f t="shared" si="43"/>
        <v>1354452</v>
      </c>
      <c r="D83" s="414">
        <f t="shared" si="43"/>
        <v>1193202</v>
      </c>
      <c r="E83" s="414">
        <f t="shared" si="43"/>
        <v>894752</v>
      </c>
      <c r="F83" s="414">
        <f t="shared" si="43"/>
        <v>1071396</v>
      </c>
      <c r="G83" s="414">
        <f t="shared" ref="G83" si="44">G73+G78</f>
        <v>1575762</v>
      </c>
      <c r="I83" s="1576">
        <f>B83/$B$86</f>
        <v>0.55716715602716949</v>
      </c>
      <c r="J83" s="1576">
        <f>C83/$C$86</f>
        <v>0.55076308500065874</v>
      </c>
      <c r="K83" s="1576">
        <f>D83/$D$86</f>
        <v>0.53472119212331726</v>
      </c>
      <c r="L83" s="1576">
        <f>E83/$E$86</f>
        <v>0.47176432873846363</v>
      </c>
      <c r="M83" s="1576">
        <f>F83/$F$86</f>
        <v>0.54576768670352338</v>
      </c>
    </row>
    <row r="84" spans="1:13" ht="14.4" hidden="1" x14ac:dyDescent="0.3">
      <c r="A84" s="1593" t="s">
        <v>916</v>
      </c>
      <c r="B84" s="414">
        <f t="shared" si="43"/>
        <v>427102</v>
      </c>
      <c r="C84" s="414">
        <f t="shared" si="43"/>
        <v>375162</v>
      </c>
      <c r="D84" s="414">
        <f t="shared" si="43"/>
        <v>320609</v>
      </c>
      <c r="E84" s="414">
        <f t="shared" si="43"/>
        <v>412219</v>
      </c>
      <c r="F84" s="414">
        <f t="shared" si="43"/>
        <v>288342</v>
      </c>
      <c r="G84" s="414">
        <f t="shared" ref="G84" si="45">G74+G79</f>
        <v>395565</v>
      </c>
      <c r="I84" s="1576">
        <f>B84/$B$86</f>
        <v>0.15599466311556151</v>
      </c>
      <c r="J84" s="1576">
        <f>C84/$C$86</f>
        <v>0.15255275232715307</v>
      </c>
      <c r="K84" s="1576">
        <f>D84/$D$86</f>
        <v>0.14367762263679129</v>
      </c>
      <c r="L84" s="1576">
        <f>E84/$E$86</f>
        <v>0.21734538713323998</v>
      </c>
      <c r="M84" s="1576">
        <f>F84/$F$86</f>
        <v>0.14688102841476666</v>
      </c>
    </row>
    <row r="85" spans="1:13" ht="14.4" hidden="1" x14ac:dyDescent="0.3">
      <c r="A85" s="1593" t="s">
        <v>927</v>
      </c>
      <c r="B85" s="414">
        <f t="shared" si="43"/>
        <v>785342</v>
      </c>
      <c r="C85" s="414">
        <f t="shared" si="43"/>
        <v>729614</v>
      </c>
      <c r="D85" s="414">
        <f t="shared" si="43"/>
        <v>717636</v>
      </c>
      <c r="E85" s="414">
        <f t="shared" si="43"/>
        <v>589637</v>
      </c>
      <c r="F85" s="414">
        <f t="shared" si="43"/>
        <v>603361</v>
      </c>
      <c r="G85" s="414">
        <f t="shared" ref="G85" si="46">G75+G80</f>
        <v>889755</v>
      </c>
      <c r="I85" s="1576">
        <f>B85/$B$86</f>
        <v>0.28683818085726903</v>
      </c>
      <c r="J85" s="1576">
        <f>C85/$C$86</f>
        <v>0.29668416267218817</v>
      </c>
      <c r="K85" s="1576">
        <f>D85/$D$86</f>
        <v>0.32160118523989145</v>
      </c>
      <c r="L85" s="1576">
        <f>E85/$E$86</f>
        <v>0.31089028412829639</v>
      </c>
      <c r="M85" s="1576">
        <f>F85/$F$86</f>
        <v>0.30735128488170999</v>
      </c>
    </row>
    <row r="86" spans="1:13" hidden="1" x14ac:dyDescent="0.2">
      <c r="B86" s="414">
        <f t="shared" ref="B86:G86" si="47">B83+B84+B85</f>
        <v>2737927</v>
      </c>
      <c r="C86" s="414">
        <f t="shared" si="47"/>
        <v>2459228</v>
      </c>
      <c r="D86" s="414">
        <f t="shared" si="47"/>
        <v>2231447</v>
      </c>
      <c r="E86" s="414">
        <f t="shared" si="47"/>
        <v>1896608</v>
      </c>
      <c r="F86" s="414">
        <f t="shared" si="47"/>
        <v>1963099</v>
      </c>
      <c r="G86" s="414">
        <f t="shared" si="47"/>
        <v>2861082</v>
      </c>
    </row>
    <row r="87" spans="1:13" hidden="1" x14ac:dyDescent="0.2"/>
    <row r="88" spans="1:13" hidden="1" x14ac:dyDescent="0.2"/>
    <row r="89" spans="1:13" hidden="1" x14ac:dyDescent="0.2">
      <c r="A89" s="1607" t="s">
        <v>959</v>
      </c>
    </row>
    <row r="90" spans="1:13" hidden="1" x14ac:dyDescent="0.2">
      <c r="A90" s="1607"/>
      <c r="B90" s="123">
        <f>B71</f>
        <v>0.9</v>
      </c>
      <c r="C90" s="123">
        <f t="shared" ref="C90:G90" si="48">C71</f>
        <v>0.9</v>
      </c>
      <c r="D90" s="123">
        <f t="shared" si="48"/>
        <v>0.9</v>
      </c>
      <c r="E90" s="123">
        <f t="shared" si="48"/>
        <v>0.9</v>
      </c>
      <c r="F90" s="123">
        <f t="shared" si="48"/>
        <v>0.9</v>
      </c>
      <c r="G90" s="123">
        <f t="shared" si="48"/>
        <v>0.9</v>
      </c>
    </row>
    <row r="91" spans="1:13" hidden="1" x14ac:dyDescent="0.2">
      <c r="A91" s="415" t="s">
        <v>960</v>
      </c>
      <c r="I91" s="415" t="s">
        <v>928</v>
      </c>
    </row>
    <row r="92" spans="1:13" ht="14.4" hidden="1" x14ac:dyDescent="0.3">
      <c r="A92" s="1593" t="s">
        <v>915</v>
      </c>
      <c r="B92" s="402" t="e">
        <f>B73*$I$92</f>
        <v>#REF!</v>
      </c>
      <c r="C92" s="402" t="e">
        <f>C73*$I$92</f>
        <v>#REF!</v>
      </c>
      <c r="D92" s="402" t="e">
        <f>D73*$I$92</f>
        <v>#REF!</v>
      </c>
      <c r="E92" s="402" t="e">
        <f>E73*$I$92</f>
        <v>#REF!</v>
      </c>
      <c r="F92" s="402" t="e">
        <f>F73*$I$92</f>
        <v>#REF!</v>
      </c>
      <c r="G92" s="1327" t="e">
        <f>AVERAGE(B92:F92)</f>
        <v>#REF!</v>
      </c>
      <c r="I92" s="165" t="e">
        <f>'Tr Bulk Supply Tariffs'!C142</f>
        <v>#REF!</v>
      </c>
    </row>
    <row r="93" spans="1:13" ht="14.4" hidden="1" x14ac:dyDescent="0.3">
      <c r="A93" s="1593" t="s">
        <v>916</v>
      </c>
      <c r="B93" s="402" t="e">
        <f>B74*$I$93</f>
        <v>#REF!</v>
      </c>
      <c r="C93" s="402" t="e">
        <f>C74*$I$93</f>
        <v>#REF!</v>
      </c>
      <c r="D93" s="402" t="e">
        <f>D74*$I$93</f>
        <v>#REF!</v>
      </c>
      <c r="E93" s="402" t="e">
        <f>E74*$I$93</f>
        <v>#REF!</v>
      </c>
      <c r="F93" s="402" t="e">
        <f>F74*$I$93</f>
        <v>#REF!</v>
      </c>
      <c r="G93" s="1327" t="e">
        <f>AVERAGE(B93:F93)</f>
        <v>#REF!</v>
      </c>
      <c r="I93" s="165" t="e">
        <f>'Tr Bulk Supply Tariffs'!C143</f>
        <v>#REF!</v>
      </c>
    </row>
    <row r="94" spans="1:13" ht="14.4" hidden="1" x14ac:dyDescent="0.3">
      <c r="A94" s="1593" t="s">
        <v>927</v>
      </c>
      <c r="B94" s="402" t="e">
        <f>B75*$I$94</f>
        <v>#REF!</v>
      </c>
      <c r="C94" s="402" t="e">
        <f>C75*$I$94</f>
        <v>#REF!</v>
      </c>
      <c r="D94" s="402" t="e">
        <f>D75*$I$94</f>
        <v>#REF!</v>
      </c>
      <c r="E94" s="402" t="e">
        <f>E75*$I$94</f>
        <v>#REF!</v>
      </c>
      <c r="F94" s="402" t="e">
        <f>F75*$I$94</f>
        <v>#REF!</v>
      </c>
      <c r="G94" s="1327" t="e">
        <f>AVERAGE(B94:F94)</f>
        <v>#REF!</v>
      </c>
      <c r="I94" s="165" t="e">
        <f>'Tr Bulk Supply Tariffs'!C144</f>
        <v>#REF!</v>
      </c>
    </row>
    <row r="95" spans="1:13" hidden="1" x14ac:dyDescent="0.2">
      <c r="B95" s="241" t="e">
        <f t="shared" ref="B95:G95" si="49">B92+B93+B94</f>
        <v>#REF!</v>
      </c>
      <c r="C95" s="241" t="e">
        <f t="shared" si="49"/>
        <v>#REF!</v>
      </c>
      <c r="D95" s="241" t="e">
        <f t="shared" si="49"/>
        <v>#REF!</v>
      </c>
      <c r="E95" s="241" t="e">
        <f t="shared" si="49"/>
        <v>#REF!</v>
      </c>
      <c r="F95" s="241" t="e">
        <f t="shared" si="49"/>
        <v>#REF!</v>
      </c>
      <c r="G95" s="241" t="e">
        <f t="shared" si="49"/>
        <v>#REF!</v>
      </c>
    </row>
    <row r="96" spans="1:13" hidden="1" x14ac:dyDescent="0.2">
      <c r="A96" s="415" t="s">
        <v>961</v>
      </c>
      <c r="I96" s="415" t="s">
        <v>929</v>
      </c>
    </row>
    <row r="97" spans="1:9" ht="14.4" hidden="1" x14ac:dyDescent="0.3">
      <c r="A97" s="1593" t="s">
        <v>915</v>
      </c>
      <c r="B97" s="402" t="e">
        <f>B78*$I$97</f>
        <v>#REF!</v>
      </c>
      <c r="C97" s="402" t="e">
        <f>C78*$I$97</f>
        <v>#REF!</v>
      </c>
      <c r="D97" s="402" t="e">
        <f>D78*$I$97</f>
        <v>#REF!</v>
      </c>
      <c r="E97" s="402" t="e">
        <f>E78*$I$97</f>
        <v>#REF!</v>
      </c>
      <c r="F97" s="402" t="e">
        <f>F78*$I$97</f>
        <v>#REF!</v>
      </c>
      <c r="G97" s="1327" t="e">
        <f>AVERAGE(B97:F97)</f>
        <v>#REF!</v>
      </c>
      <c r="I97" s="165" t="e">
        <f>'Tr Bulk Supply Tariffs'!C168</f>
        <v>#REF!</v>
      </c>
    </row>
    <row r="98" spans="1:9" ht="14.4" hidden="1" x14ac:dyDescent="0.3">
      <c r="A98" s="1593" t="s">
        <v>916</v>
      </c>
      <c r="B98" s="402" t="e">
        <f>B79*$I$98</f>
        <v>#REF!</v>
      </c>
      <c r="C98" s="402" t="e">
        <f>C79*$I$98</f>
        <v>#REF!</v>
      </c>
      <c r="D98" s="402" t="e">
        <f>D79*$I$98</f>
        <v>#REF!</v>
      </c>
      <c r="E98" s="402" t="e">
        <f>E79*$I$98</f>
        <v>#REF!</v>
      </c>
      <c r="F98" s="402" t="e">
        <f>F79*$I$98</f>
        <v>#REF!</v>
      </c>
      <c r="G98" s="1327" t="e">
        <f>AVERAGE(B98:F98)</f>
        <v>#REF!</v>
      </c>
      <c r="I98" s="165" t="e">
        <f>'Tr Bulk Supply Tariffs'!C169</f>
        <v>#REF!</v>
      </c>
    </row>
    <row r="99" spans="1:9" ht="14.4" hidden="1" x14ac:dyDescent="0.3">
      <c r="A99" s="1593" t="s">
        <v>927</v>
      </c>
      <c r="B99" s="402" t="e">
        <f>B80*$I$99</f>
        <v>#REF!</v>
      </c>
      <c r="C99" s="402" t="e">
        <f>C80*$I$99</f>
        <v>#REF!</v>
      </c>
      <c r="D99" s="402" t="e">
        <f>D80*$I$99</f>
        <v>#REF!</v>
      </c>
      <c r="E99" s="402" t="e">
        <f>E80*$I$99</f>
        <v>#REF!</v>
      </c>
      <c r="F99" s="402" t="e">
        <f>F80*$I$99</f>
        <v>#REF!</v>
      </c>
      <c r="G99" s="1327" t="e">
        <f>AVERAGE(B99:F99)</f>
        <v>#REF!</v>
      </c>
      <c r="I99" s="165" t="e">
        <f>'Tr Bulk Supply Tariffs'!C170</f>
        <v>#REF!</v>
      </c>
    </row>
    <row r="100" spans="1:9" hidden="1" x14ac:dyDescent="0.2">
      <c r="B100" s="402" t="e">
        <f t="shared" ref="B100:G100" si="50">B97+B98+B99</f>
        <v>#REF!</v>
      </c>
      <c r="C100" s="402" t="e">
        <f t="shared" si="50"/>
        <v>#REF!</v>
      </c>
      <c r="D100" s="402" t="e">
        <f t="shared" si="50"/>
        <v>#REF!</v>
      </c>
      <c r="E100" s="402" t="e">
        <f t="shared" si="50"/>
        <v>#REF!</v>
      </c>
      <c r="F100" s="402" t="e">
        <f t="shared" si="50"/>
        <v>#REF!</v>
      </c>
      <c r="G100" s="1327" t="e">
        <f t="shared" si="50"/>
        <v>#REF!</v>
      </c>
      <c r="I100" s="165"/>
    </row>
    <row r="101" spans="1:9" hidden="1" x14ac:dyDescent="0.2"/>
    <row r="102" spans="1:9" hidden="1" x14ac:dyDescent="0.2"/>
    <row r="103" spans="1:9" hidden="1" x14ac:dyDescent="0.2"/>
    <row r="104" spans="1:9" hidden="1" x14ac:dyDescent="0.2">
      <c r="B104">
        <v>248</v>
      </c>
      <c r="C104">
        <v>271</v>
      </c>
      <c r="D104">
        <v>404</v>
      </c>
      <c r="E104">
        <v>286</v>
      </c>
      <c r="F104">
        <v>199</v>
      </c>
      <c r="G104">
        <v>193</v>
      </c>
    </row>
    <row r="105" spans="1:9" hidden="1" x14ac:dyDescent="0.2">
      <c r="B105">
        <v>391</v>
      </c>
      <c r="C105">
        <v>370</v>
      </c>
      <c r="D105">
        <v>347</v>
      </c>
      <c r="E105">
        <v>360</v>
      </c>
      <c r="F105">
        <v>354</v>
      </c>
      <c r="G105">
        <v>308</v>
      </c>
    </row>
    <row r="106" spans="1:9" hidden="1" x14ac:dyDescent="0.2">
      <c r="B106">
        <f>B104+B105</f>
        <v>639</v>
      </c>
      <c r="C106">
        <f t="shared" ref="C106:G106" si="51">C104+C105</f>
        <v>641</v>
      </c>
      <c r="D106">
        <f t="shared" si="51"/>
        <v>751</v>
      </c>
      <c r="E106">
        <f t="shared" si="51"/>
        <v>646</v>
      </c>
      <c r="F106">
        <f t="shared" si="51"/>
        <v>553</v>
      </c>
      <c r="G106">
        <f t="shared" si="51"/>
        <v>501</v>
      </c>
    </row>
    <row r="107" spans="1:9" hidden="1" x14ac:dyDescent="0.2"/>
    <row r="108" spans="1:9" hidden="1" x14ac:dyDescent="0.2"/>
    <row r="109" spans="1:9" hidden="1" x14ac:dyDescent="0.2"/>
    <row r="110" spans="1:9" hidden="1" x14ac:dyDescent="0.2"/>
    <row r="111" spans="1:9" hidden="1" x14ac:dyDescent="0.2"/>
    <row r="112" spans="1:9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</sheetData>
  <pageMargins left="0.7" right="0.7" top="0.75" bottom="0.75" header="0.3" footer="0.3"/>
  <pageSetup orientation="portrait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7">
    <tabColor rgb="FF00B050"/>
  </sheetPr>
  <dimension ref="C1:T65"/>
  <sheetViews>
    <sheetView workbookViewId="0">
      <selection activeCell="B2" sqref="B2"/>
    </sheetView>
  </sheetViews>
  <sheetFormatPr defaultColWidth="9" defaultRowHeight="12.6" x14ac:dyDescent="0.2"/>
  <cols>
    <col min="1" max="1" width="5.36328125" style="415" customWidth="1"/>
    <col min="2" max="2" width="4.7265625" style="415" customWidth="1"/>
    <col min="3" max="3" width="30.08984375" style="415" customWidth="1"/>
    <col min="4" max="4" width="10.08984375" style="415" bestFit="1" customWidth="1"/>
    <col min="5" max="5" width="17.36328125" style="415" bestFit="1" customWidth="1"/>
    <col min="6" max="6" width="23.26953125" style="415" bestFit="1" customWidth="1"/>
    <col min="7" max="10" width="17.36328125" style="415" bestFit="1" customWidth="1"/>
    <col min="11" max="11" width="11.90625" style="415" bestFit="1" customWidth="1"/>
    <col min="12" max="12" width="8.36328125" style="415" bestFit="1" customWidth="1"/>
    <col min="13" max="13" width="8.36328125" style="415" customWidth="1"/>
    <col min="14" max="14" width="28.7265625" style="415" customWidth="1"/>
    <col min="15" max="16" width="11.453125" style="415" bestFit="1" customWidth="1"/>
    <col min="17" max="16384" width="9" style="415"/>
  </cols>
  <sheetData>
    <row r="1" spans="3:20" ht="13.2" thickBot="1" x14ac:dyDescent="0.25">
      <c r="C1" s="1583" t="s">
        <v>941</v>
      </c>
    </row>
    <row r="2" spans="3:20" x14ac:dyDescent="0.2">
      <c r="E2" s="841">
        <f>'20MW-Mathugama'!C3</f>
        <v>46023</v>
      </c>
      <c r="F2" s="841">
        <f>'20MW-Mathugama'!D3</f>
        <v>46054</v>
      </c>
      <c r="G2" s="841">
        <f>'20MW-Mathugama'!E3</f>
        <v>46082</v>
      </c>
      <c r="H2" s="841">
        <f>'20MW-Mathugama'!F3</f>
        <v>46113</v>
      </c>
      <c r="I2" s="841">
        <f>'20MW-Mathugama'!G3</f>
        <v>46143</v>
      </c>
      <c r="J2" s="841">
        <f>'20MW-Mathugama'!H3</f>
        <v>46174</v>
      </c>
      <c r="K2" s="401"/>
      <c r="L2" s="401"/>
      <c r="M2" s="400"/>
      <c r="N2" s="400"/>
      <c r="O2" s="400"/>
      <c r="P2" s="400"/>
      <c r="Q2" s="400"/>
      <c r="R2" s="400"/>
      <c r="S2" s="400"/>
      <c r="T2" s="400"/>
    </row>
    <row r="3" spans="3:20" x14ac:dyDescent="0.2">
      <c r="C3" s="484" t="s">
        <v>457</v>
      </c>
      <c r="D3" s="484" t="s">
        <v>56</v>
      </c>
      <c r="E3" s="1095">
        <f>DispatchSchedule!F28</f>
        <v>0</v>
      </c>
      <c r="F3" s="1095">
        <f>DispatchSchedule!G28</f>
        <v>0</v>
      </c>
      <c r="G3" s="1095">
        <f>DispatchSchedule!H28</f>
        <v>0</v>
      </c>
      <c r="H3" s="1095">
        <f>DispatchSchedule!I28</f>
        <v>287.8</v>
      </c>
      <c r="I3" s="1095">
        <f>DispatchSchedule!J28</f>
        <v>332.3</v>
      </c>
      <c r="J3" s="1095">
        <f>DispatchSchedule!K28</f>
        <v>348.4</v>
      </c>
      <c r="K3" s="401"/>
      <c r="L3" s="401"/>
      <c r="M3" s="183"/>
      <c r="N3" s="400"/>
      <c r="O3" s="400"/>
      <c r="P3" s="400"/>
      <c r="Q3" s="400"/>
      <c r="R3" s="400"/>
      <c r="S3" s="400"/>
      <c r="T3" s="400"/>
    </row>
    <row r="4" spans="3:20" x14ac:dyDescent="0.2">
      <c r="C4" s="484"/>
      <c r="D4" s="484"/>
      <c r="E4" s="1095"/>
      <c r="F4" s="1095"/>
      <c r="G4" s="1095"/>
      <c r="H4" s="1095"/>
      <c r="I4" s="1095"/>
      <c r="J4" s="1095"/>
      <c r="K4" s="401"/>
      <c r="L4" s="401"/>
      <c r="M4" s="183"/>
      <c r="N4" s="400"/>
      <c r="O4" s="400"/>
      <c r="P4" s="400"/>
      <c r="Q4" s="400"/>
      <c r="R4" s="400"/>
      <c r="S4" s="400"/>
      <c r="T4" s="400"/>
    </row>
    <row r="5" spans="3:20" x14ac:dyDescent="0.2">
      <c r="C5" s="484" t="s">
        <v>1077</v>
      </c>
      <c r="D5" s="484"/>
      <c r="E5" s="1095"/>
      <c r="F5" s="1095"/>
      <c r="G5" s="1095"/>
      <c r="H5" s="1095"/>
      <c r="I5" s="1095"/>
      <c r="J5" s="1095"/>
      <c r="K5" s="401"/>
      <c r="L5" s="401"/>
      <c r="M5" s="183"/>
      <c r="N5" s="400"/>
      <c r="O5" s="400"/>
      <c r="P5" s="400"/>
      <c r="Q5" s="400"/>
      <c r="R5" s="400"/>
      <c r="S5" s="400"/>
      <c r="T5" s="400"/>
    </row>
    <row r="6" spans="3:20" x14ac:dyDescent="0.2">
      <c r="C6" s="484">
        <v>220</v>
      </c>
      <c r="D6" s="484" t="s">
        <v>56</v>
      </c>
      <c r="E6" s="1582">
        <v>79.757999999999996</v>
      </c>
      <c r="F6" s="1582">
        <v>221.96</v>
      </c>
      <c r="G6" s="1582">
        <v>202.90870000000001</v>
      </c>
      <c r="H6" s="1582">
        <v>200.92770000000002</v>
      </c>
      <c r="I6" s="1582">
        <v>130.798</v>
      </c>
      <c r="J6" s="1582">
        <v>125.714</v>
      </c>
      <c r="K6" s="401"/>
      <c r="L6" s="401"/>
      <c r="M6" s="183"/>
      <c r="N6" s="400"/>
      <c r="O6" s="400"/>
      <c r="P6" s="400"/>
      <c r="Q6" s="400"/>
      <c r="R6" s="400"/>
      <c r="S6" s="400"/>
      <c r="T6" s="400"/>
    </row>
    <row r="7" spans="3:20" x14ac:dyDescent="0.2">
      <c r="C7" s="484">
        <v>132</v>
      </c>
      <c r="D7" s="484" t="s">
        <v>56</v>
      </c>
      <c r="E7" s="1582">
        <v>170.90100000000001</v>
      </c>
      <c r="F7" s="1582">
        <v>245.15779999999998</v>
      </c>
      <c r="G7" s="1582">
        <v>241.87289999999999</v>
      </c>
      <c r="H7" s="1582">
        <v>286.02070000000003</v>
      </c>
      <c r="I7" s="1582">
        <v>233.785</v>
      </c>
      <c r="J7" s="1582">
        <v>162.613</v>
      </c>
      <c r="K7" s="401"/>
      <c r="L7" s="401"/>
      <c r="M7" s="183"/>
      <c r="N7" s="400"/>
      <c r="O7" s="400"/>
      <c r="P7" s="400"/>
      <c r="Q7" s="400"/>
      <c r="R7" s="400"/>
      <c r="S7" s="400"/>
      <c r="T7" s="400"/>
    </row>
    <row r="8" spans="3:20" x14ac:dyDescent="0.2">
      <c r="C8" s="484">
        <v>33</v>
      </c>
      <c r="D8" s="484" t="s">
        <v>56</v>
      </c>
      <c r="E8" s="1582">
        <v>1.7030000000000001</v>
      </c>
      <c r="F8" s="1582">
        <v>2.7494000000000001</v>
      </c>
      <c r="G8" s="1582">
        <v>1.7902</v>
      </c>
      <c r="H8" s="1582">
        <v>2.9337</v>
      </c>
      <c r="I8" s="1582">
        <v>3.3090000000000002</v>
      </c>
      <c r="J8" s="1582">
        <v>3.03</v>
      </c>
      <c r="K8" s="401"/>
      <c r="L8" s="401"/>
      <c r="M8" s="183"/>
      <c r="N8" s="400"/>
      <c r="O8" s="400"/>
      <c r="P8" s="400"/>
      <c r="Q8" s="400"/>
      <c r="R8" s="400"/>
      <c r="S8" s="400"/>
      <c r="T8" s="400"/>
    </row>
    <row r="9" spans="3:20" x14ac:dyDescent="0.2">
      <c r="C9" s="484"/>
      <c r="D9" s="484"/>
      <c r="E9" s="1095">
        <f t="shared" ref="E9:J9" si="0">E6+E7+E8</f>
        <v>252.36199999999999</v>
      </c>
      <c r="F9" s="1095">
        <f t="shared" si="0"/>
        <v>469.86719999999997</v>
      </c>
      <c r="G9" s="1095">
        <f t="shared" si="0"/>
        <v>446.57180000000005</v>
      </c>
      <c r="H9" s="1095">
        <f t="shared" si="0"/>
        <v>489.88210000000004</v>
      </c>
      <c r="I9" s="1095">
        <f t="shared" si="0"/>
        <v>367.892</v>
      </c>
      <c r="J9" s="1095">
        <f t="shared" si="0"/>
        <v>291.35699999999997</v>
      </c>
      <c r="K9" s="401"/>
      <c r="L9" s="401"/>
      <c r="M9" s="183"/>
      <c r="N9" s="400"/>
      <c r="O9" s="400"/>
      <c r="P9" s="400"/>
      <c r="Q9" s="400"/>
      <c r="R9" s="400"/>
      <c r="S9" s="400"/>
      <c r="T9" s="400"/>
    </row>
    <row r="10" spans="3:20" x14ac:dyDescent="0.2">
      <c r="C10" s="484" t="s">
        <v>1078</v>
      </c>
      <c r="D10" s="484"/>
      <c r="E10" s="1095"/>
      <c r="F10" s="1095"/>
      <c r="G10" s="1095"/>
      <c r="H10" s="1095"/>
      <c r="I10" s="1095"/>
      <c r="J10" s="1095"/>
      <c r="K10" s="401"/>
      <c r="L10" s="401"/>
      <c r="M10" s="183"/>
      <c r="N10" s="400"/>
      <c r="O10" s="400"/>
      <c r="P10" s="400"/>
      <c r="Q10" s="400"/>
      <c r="R10" s="400"/>
      <c r="S10" s="400"/>
      <c r="T10" s="400"/>
    </row>
    <row r="11" spans="3:20" x14ac:dyDescent="0.2">
      <c r="C11" s="484">
        <v>220</v>
      </c>
      <c r="D11" s="484" t="s">
        <v>56</v>
      </c>
      <c r="E11" s="1095">
        <f t="shared" ref="E11:J11" si="1">E3*E6/E9</f>
        <v>0</v>
      </c>
      <c r="F11" s="1095">
        <f t="shared" si="1"/>
        <v>0</v>
      </c>
      <c r="G11" s="1095">
        <f t="shared" si="1"/>
        <v>0</v>
      </c>
      <c r="H11" s="1095">
        <f t="shared" si="1"/>
        <v>118.04267202251317</v>
      </c>
      <c r="I11" s="1095">
        <f t="shared" si="1"/>
        <v>118.143844932752</v>
      </c>
      <c r="J11" s="1095">
        <f t="shared" si="1"/>
        <v>150.32677299670164</v>
      </c>
      <c r="K11" s="401"/>
      <c r="L11" s="401"/>
      <c r="M11" s="183"/>
      <c r="N11" s="400"/>
      <c r="O11" s="400"/>
      <c r="P11" s="400"/>
      <c r="Q11" s="400"/>
      <c r="R11" s="400"/>
      <c r="S11" s="400"/>
      <c r="T11" s="400"/>
    </row>
    <row r="12" spans="3:20" x14ac:dyDescent="0.2">
      <c r="C12" s="484">
        <v>132</v>
      </c>
      <c r="D12" s="484" t="s">
        <v>56</v>
      </c>
      <c r="E12" s="1095">
        <f t="shared" ref="E12:J12" si="2">E3*E7/E9</f>
        <v>0</v>
      </c>
      <c r="F12" s="1095">
        <f t="shared" si="2"/>
        <v>0</v>
      </c>
      <c r="G12" s="1095">
        <f t="shared" si="2"/>
        <v>0</v>
      </c>
      <c r="H12" s="1095">
        <f t="shared" si="2"/>
        <v>168.03381356452911</v>
      </c>
      <c r="I12" s="1095">
        <f t="shared" si="2"/>
        <v>211.16728686679787</v>
      </c>
      <c r="J12" s="1095">
        <f t="shared" si="2"/>
        <v>194.45000188771851</v>
      </c>
      <c r="K12" s="401"/>
      <c r="L12" s="401"/>
      <c r="M12" s="183"/>
      <c r="N12" s="400"/>
      <c r="O12" s="400"/>
      <c r="P12" s="400"/>
      <c r="Q12" s="400"/>
      <c r="R12" s="400"/>
      <c r="S12" s="400"/>
      <c r="T12" s="400"/>
    </row>
    <row r="13" spans="3:20" x14ac:dyDescent="0.2">
      <c r="C13" s="484">
        <v>33</v>
      </c>
      <c r="D13" s="484" t="s">
        <v>56</v>
      </c>
      <c r="E13" s="1095">
        <f t="shared" ref="E13:J13" si="3">E3*E8/E9</f>
        <v>0</v>
      </c>
      <c r="F13" s="1095">
        <f t="shared" si="3"/>
        <v>0</v>
      </c>
      <c r="G13" s="1095">
        <f t="shared" si="3"/>
        <v>0</v>
      </c>
      <c r="H13" s="1095">
        <f t="shared" si="3"/>
        <v>1.7235144129577298</v>
      </c>
      <c r="I13" s="1095">
        <f t="shared" si="3"/>
        <v>2.9888682004501321</v>
      </c>
      <c r="J13" s="1095">
        <f t="shared" si="3"/>
        <v>3.6232251155798552</v>
      </c>
      <c r="K13" s="401"/>
      <c r="L13" s="401"/>
      <c r="M13" s="183"/>
      <c r="N13" s="400"/>
      <c r="O13" s="400"/>
      <c r="P13" s="400"/>
      <c r="Q13" s="400"/>
      <c r="R13" s="400"/>
      <c r="S13" s="400"/>
      <c r="T13" s="400"/>
    </row>
    <row r="14" spans="3:20" x14ac:dyDescent="0.2">
      <c r="C14" s="484"/>
      <c r="D14" s="484"/>
      <c r="E14" s="1095">
        <f t="shared" ref="E14:J14" si="4">E11+E12+E13</f>
        <v>0</v>
      </c>
      <c r="F14" s="1095">
        <f t="shared" si="4"/>
        <v>0</v>
      </c>
      <c r="G14" s="1095">
        <f t="shared" si="4"/>
        <v>0</v>
      </c>
      <c r="H14" s="1095">
        <f t="shared" si="4"/>
        <v>287.8</v>
      </c>
      <c r="I14" s="1095">
        <f t="shared" si="4"/>
        <v>332.3</v>
      </c>
      <c r="J14" s="1095">
        <f t="shared" si="4"/>
        <v>348.4</v>
      </c>
      <c r="K14" s="401"/>
      <c r="L14" s="401"/>
      <c r="M14" s="183"/>
      <c r="N14" s="400"/>
      <c r="O14" s="400"/>
      <c r="P14" s="400"/>
      <c r="Q14" s="400"/>
      <c r="R14" s="400"/>
      <c r="S14" s="400"/>
      <c r="T14" s="400"/>
    </row>
    <row r="16" spans="3:20" hidden="1" x14ac:dyDescent="0.2">
      <c r="E16" s="841">
        <f>E2</f>
        <v>46023</v>
      </c>
      <c r="F16" s="841">
        <f t="shared" ref="F16:J16" si="5">F2</f>
        <v>46054</v>
      </c>
      <c r="G16" s="841">
        <f t="shared" si="5"/>
        <v>46082</v>
      </c>
      <c r="H16" s="841">
        <f t="shared" si="5"/>
        <v>46113</v>
      </c>
      <c r="I16" s="841">
        <f t="shared" si="5"/>
        <v>46143</v>
      </c>
      <c r="J16" s="841">
        <f t="shared" si="5"/>
        <v>46174</v>
      </c>
    </row>
    <row r="17" spans="3:13" hidden="1" x14ac:dyDescent="0.2">
      <c r="C17" s="484" t="s">
        <v>457</v>
      </c>
      <c r="D17" s="484" t="s">
        <v>56</v>
      </c>
      <c r="E17" s="1095">
        <f>E3</f>
        <v>0</v>
      </c>
      <c r="F17" s="1095">
        <f t="shared" ref="F17:J17" si="6">F3</f>
        <v>0</v>
      </c>
      <c r="G17" s="1095">
        <f t="shared" si="6"/>
        <v>0</v>
      </c>
      <c r="H17" s="1095">
        <f t="shared" si="6"/>
        <v>287.8</v>
      </c>
      <c r="I17" s="1095">
        <f t="shared" si="6"/>
        <v>332.3</v>
      </c>
      <c r="J17" s="1095">
        <f t="shared" si="6"/>
        <v>348.4</v>
      </c>
    </row>
    <row r="18" spans="3:13" hidden="1" x14ac:dyDescent="0.2">
      <c r="C18" s="484" t="s">
        <v>1029</v>
      </c>
      <c r="D18" s="484" t="s">
        <v>56</v>
      </c>
      <c r="E18" s="1095">
        <f>E13</f>
        <v>0</v>
      </c>
      <c r="F18" s="1095">
        <f t="shared" ref="F18:J18" si="7">F13</f>
        <v>0</v>
      </c>
      <c r="G18" s="1095">
        <f t="shared" si="7"/>
        <v>0</v>
      </c>
      <c r="H18" s="1095">
        <f t="shared" si="7"/>
        <v>1.7235144129577298</v>
      </c>
      <c r="I18" s="1095">
        <f t="shared" si="7"/>
        <v>2.9888682004501321</v>
      </c>
      <c r="J18" s="1095">
        <f t="shared" si="7"/>
        <v>3.6232251155798552</v>
      </c>
    </row>
    <row r="19" spans="3:13" hidden="1" x14ac:dyDescent="0.2">
      <c r="C19" s="484" t="s">
        <v>1030</v>
      </c>
      <c r="D19" s="484" t="s">
        <v>56</v>
      </c>
      <c r="E19" s="1095">
        <f>E17-E18</f>
        <v>0</v>
      </c>
      <c r="F19" s="1095">
        <f t="shared" ref="F19:J19" si="8">F17-F18</f>
        <v>0</v>
      </c>
      <c r="G19" s="1095">
        <f t="shared" si="8"/>
        <v>0</v>
      </c>
      <c r="H19" s="1095">
        <f t="shared" si="8"/>
        <v>286.07648558704227</v>
      </c>
      <c r="I19" s="1095">
        <f t="shared" si="8"/>
        <v>329.31113179954986</v>
      </c>
      <c r="J19" s="1095">
        <f t="shared" si="8"/>
        <v>344.77677488442015</v>
      </c>
    </row>
    <row r="24" spans="3:13" ht="14.4" x14ac:dyDescent="0.3">
      <c r="C24" s="1583" t="s">
        <v>942</v>
      </c>
      <c r="D24" s="1577"/>
      <c r="E24" s="1577"/>
      <c r="F24" s="1577"/>
      <c r="G24" s="1577"/>
      <c r="H24" s="1580"/>
      <c r="I24" s="1580"/>
      <c r="J24" s="1580"/>
      <c r="K24" s="1580"/>
      <c r="L24" s="1580"/>
      <c r="M24" s="1580"/>
    </row>
    <row r="25" spans="3:13" ht="14.4" x14ac:dyDescent="0.3">
      <c r="C25" s="1577"/>
      <c r="D25" s="1577"/>
      <c r="E25" s="1577"/>
      <c r="F25" s="1577"/>
      <c r="G25" s="1577"/>
    </row>
    <row r="26" spans="3:13" ht="14.4" x14ac:dyDescent="0.3">
      <c r="C26" s="1577" t="s">
        <v>57</v>
      </c>
      <c r="D26" s="1577"/>
      <c r="E26" s="1585">
        <f>E2</f>
        <v>46023</v>
      </c>
      <c r="F26" s="1585">
        <f t="shared" ref="F26:J26" si="9">F2</f>
        <v>46054</v>
      </c>
      <c r="G26" s="1585">
        <f t="shared" si="9"/>
        <v>46082</v>
      </c>
      <c r="H26" s="1585">
        <f t="shared" si="9"/>
        <v>46113</v>
      </c>
      <c r="I26" s="1585">
        <f t="shared" si="9"/>
        <v>46143</v>
      </c>
      <c r="J26" s="1585">
        <f t="shared" si="9"/>
        <v>46174</v>
      </c>
      <c r="K26" s="1580"/>
      <c r="L26" s="1580"/>
      <c r="M26" s="1580"/>
    </row>
    <row r="27" spans="3:13" x14ac:dyDescent="0.2">
      <c r="C27" s="3097" t="s">
        <v>963</v>
      </c>
      <c r="D27" s="3098"/>
      <c r="E27" s="3098"/>
      <c r="F27" s="3098"/>
      <c r="G27" s="3098"/>
      <c r="H27" s="3098"/>
      <c r="I27" s="3098"/>
      <c r="J27" s="3099"/>
    </row>
    <row r="28" spans="3:13" x14ac:dyDescent="0.2">
      <c r="C28" s="832" t="s">
        <v>931</v>
      </c>
      <c r="D28" s="832">
        <v>210</v>
      </c>
      <c r="E28" s="145">
        <f>MAHAWELI!C25</f>
        <v>70817905.939999998</v>
      </c>
      <c r="F28" s="145">
        <f>MAHAWELI!D25</f>
        <v>113505381.05</v>
      </c>
      <c r="G28" s="145">
        <f>MAHAWELI!E25</f>
        <v>102532938.94</v>
      </c>
      <c r="H28" s="145">
        <f>MAHAWELI!F25</f>
        <v>112390916.58690846</v>
      </c>
      <c r="I28" s="145">
        <f>MAHAWELI!G25</f>
        <v>112104076.58690846</v>
      </c>
      <c r="J28" s="145">
        <f>MAHAWELI!H25</f>
        <v>111815929.58690846</v>
      </c>
    </row>
    <row r="29" spans="3:13" x14ac:dyDescent="0.2">
      <c r="C29" s="832" t="s">
        <v>934</v>
      </c>
      <c r="D29" s="832">
        <v>201</v>
      </c>
      <c r="E29" s="832">
        <f>MAHAWELI!C79</f>
        <v>51743117.030000001</v>
      </c>
      <c r="F29" s="832">
        <f>MAHAWELI!D79</f>
        <v>70769752.25</v>
      </c>
      <c r="G29" s="832">
        <f>MAHAWELI!E79</f>
        <v>51743117.030000001</v>
      </c>
      <c r="H29" s="832">
        <f>MAHAWELI!F79</f>
        <v>59733473.986231431</v>
      </c>
      <c r="I29" s="832">
        <f>MAHAWELI!G79</f>
        <v>59733473.986231431</v>
      </c>
      <c r="J29" s="832">
        <f>MAHAWELI!H79</f>
        <v>59733473.986231431</v>
      </c>
    </row>
    <row r="30" spans="3:13" x14ac:dyDescent="0.2">
      <c r="C30" s="832" t="s">
        <v>936</v>
      </c>
      <c r="D30" s="832">
        <v>122</v>
      </c>
      <c r="E30" s="832">
        <f>(MAHAWELI!C107/MAHAWELI!C108)*'hydro en &amp; capcost voltage wise'!$D$30</f>
        <v>37458207.758720927</v>
      </c>
      <c r="F30" s="832">
        <f>(MAHAWELI!D107/MAHAWELI!D108)*'hydro en &amp; capcost voltage wise'!$D$30</f>
        <v>49006712.721511625</v>
      </c>
      <c r="G30" s="832">
        <f>(MAHAWELI!E107/MAHAWELI!E108)*'hydro en &amp; capcost voltage wise'!$D$30</f>
        <v>37458207.758720927</v>
      </c>
      <c r="H30" s="832">
        <f>(MAHAWELI!F107/MAHAWELI!F108)*'hydro en &amp; capcost voltage wise'!$D$30</f>
        <v>46889229.872398868</v>
      </c>
      <c r="I30" s="832">
        <f>(MAHAWELI!G107/MAHAWELI!G108)*'hydro en &amp; capcost voltage wise'!$D$30</f>
        <v>46889229.872398868</v>
      </c>
      <c r="J30" s="832">
        <f>(MAHAWELI!H107/MAHAWELI!H108)*'hydro en &amp; capcost voltage wise'!$D$30</f>
        <v>46889229.872398868</v>
      </c>
    </row>
    <row r="31" spans="3:13" x14ac:dyDescent="0.2">
      <c r="C31" s="832" t="s">
        <v>938</v>
      </c>
      <c r="D31" s="832">
        <v>150</v>
      </c>
      <c r="E31" s="832">
        <f>MAHAWELI!C188</f>
        <v>65144109.130000003</v>
      </c>
      <c r="F31" s="832">
        <f>MAHAWELI!D188</f>
        <v>79343090.640000001</v>
      </c>
      <c r="G31" s="832">
        <f>MAHAWELI!E188</f>
        <v>65144109.130000003</v>
      </c>
      <c r="H31" s="832">
        <f>MAHAWELI!F188</f>
        <v>71916798.970172718</v>
      </c>
      <c r="I31" s="832">
        <f>MAHAWELI!G188</f>
        <v>71916798.970172718</v>
      </c>
      <c r="J31" s="832">
        <f>MAHAWELI!H188</f>
        <v>71916798.970172718</v>
      </c>
    </row>
    <row r="32" spans="3:13" x14ac:dyDescent="0.2">
      <c r="C32" s="832"/>
      <c r="D32" s="832">
        <f>D28+D29+D30+D31</f>
        <v>683</v>
      </c>
      <c r="E32" s="832">
        <f t="shared" ref="E32:J32" si="10">E28+E29+E30+E31</f>
        <v>225163339.85872093</v>
      </c>
      <c r="F32" s="832">
        <f t="shared" si="10"/>
        <v>312624936.66151166</v>
      </c>
      <c r="G32" s="832">
        <f t="shared" si="10"/>
        <v>256878372.85872093</v>
      </c>
      <c r="H32" s="832">
        <f t="shared" si="10"/>
        <v>290930419.41571146</v>
      </c>
      <c r="I32" s="832">
        <f t="shared" si="10"/>
        <v>290643579.41571146</v>
      </c>
      <c r="J32" s="832">
        <f t="shared" si="10"/>
        <v>290355432.41571146</v>
      </c>
    </row>
    <row r="33" spans="3:10" x14ac:dyDescent="0.2">
      <c r="C33" s="832"/>
      <c r="D33" s="832"/>
      <c r="E33" s="832">
        <f t="shared" ref="E33:J33" si="11">E32/1000000</f>
        <v>225.16333985872092</v>
      </c>
      <c r="F33" s="832">
        <f t="shared" si="11"/>
        <v>312.62493666151164</v>
      </c>
      <c r="G33" s="832">
        <f t="shared" si="11"/>
        <v>256.87837285872092</v>
      </c>
      <c r="H33" s="832">
        <f t="shared" si="11"/>
        <v>290.93041941571147</v>
      </c>
      <c r="I33" s="832">
        <f t="shared" si="11"/>
        <v>290.64357941571149</v>
      </c>
      <c r="J33" s="832">
        <f t="shared" si="11"/>
        <v>290.35543241571145</v>
      </c>
    </row>
    <row r="34" spans="3:10" x14ac:dyDescent="0.2">
      <c r="C34" s="3093" t="s">
        <v>964</v>
      </c>
      <c r="D34" s="3094"/>
      <c r="E34" s="3094"/>
      <c r="F34" s="3094"/>
      <c r="G34" s="3094"/>
      <c r="H34" s="3094"/>
      <c r="I34" s="3094"/>
      <c r="J34" s="3095"/>
    </row>
    <row r="35" spans="3:10" x14ac:dyDescent="0.2">
      <c r="C35" s="832" t="s">
        <v>932</v>
      </c>
      <c r="D35" s="832">
        <v>40</v>
      </c>
      <c r="E35" s="832">
        <f>MAHAWELI!C52</f>
        <v>25501693.34</v>
      </c>
      <c r="F35" s="832">
        <f>MAHAWELI!D52</f>
        <v>29286961.41</v>
      </c>
      <c r="G35" s="832">
        <f>MAHAWELI!E52</f>
        <v>25499438.34</v>
      </c>
      <c r="H35" s="832">
        <f>MAHAWELI!F52</f>
        <v>29018862.148934938</v>
      </c>
      <c r="I35" s="832">
        <f>MAHAWELI!G52</f>
        <v>29017734.148934938</v>
      </c>
      <c r="J35" s="832">
        <f>MAHAWELI!H52</f>
        <v>29016607.148934938</v>
      </c>
    </row>
    <row r="36" spans="3:10" x14ac:dyDescent="0.2">
      <c r="C36" s="832" t="s">
        <v>935</v>
      </c>
      <c r="D36" s="832">
        <v>40</v>
      </c>
      <c r="E36" s="832">
        <f>MAHAWELI!C161</f>
        <v>18811582.140000001</v>
      </c>
      <c r="F36" s="832">
        <f>MAHAWELI!D161</f>
        <v>22597977.210000001</v>
      </c>
      <c r="G36" s="832">
        <f>MAHAWELI!E161</f>
        <v>18811582.140000001</v>
      </c>
      <c r="H36" s="832">
        <f>MAHAWELI!F161</f>
        <v>22025529.365601607</v>
      </c>
      <c r="I36" s="832">
        <f>MAHAWELI!G161</f>
        <v>22025529.365601607</v>
      </c>
      <c r="J36" s="832">
        <f>MAHAWELI!H161</f>
        <v>22025529.365601607</v>
      </c>
    </row>
    <row r="37" spans="3:10" x14ac:dyDescent="0.2">
      <c r="C37" s="832" t="s">
        <v>937</v>
      </c>
      <c r="D37" s="832">
        <v>50</v>
      </c>
      <c r="E37" s="832">
        <f>(MAHAWELI!C107/MAHAWELI!C108)*$D$37</f>
        <v>15351724.491279069</v>
      </c>
      <c r="F37" s="832">
        <f>(MAHAWELI!D107/MAHAWELI!D108)*$D$37</f>
        <v>20084718.328488372</v>
      </c>
      <c r="G37" s="832">
        <f>(MAHAWELI!E107/MAHAWELI!E108)*$D$37</f>
        <v>15351724.491279069</v>
      </c>
      <c r="H37" s="832">
        <f>(MAHAWELI!F107/MAHAWELI!F108)*$D$37</f>
        <v>19216897.488688059</v>
      </c>
      <c r="I37" s="832">
        <f>(MAHAWELI!G107/MAHAWELI!G108)*$D$37</f>
        <v>19216897.488688059</v>
      </c>
      <c r="J37" s="832">
        <f>(MAHAWELI!H107/MAHAWELI!H108)*$D$37</f>
        <v>19216897.488688059</v>
      </c>
    </row>
    <row r="38" spans="3:10" x14ac:dyDescent="0.2">
      <c r="C38" s="832"/>
      <c r="D38" s="832">
        <f>D35+D36+D37</f>
        <v>130</v>
      </c>
      <c r="E38" s="832">
        <f t="shared" ref="E38:J38" si="12">E35+E36+E37</f>
        <v>59664999.97127907</v>
      </c>
      <c r="F38" s="832">
        <f t="shared" si="12"/>
        <v>71969656.948488384</v>
      </c>
      <c r="G38" s="832">
        <f t="shared" si="12"/>
        <v>59662744.97127907</v>
      </c>
      <c r="H38" s="832">
        <f t="shared" si="12"/>
        <v>70261289.003224611</v>
      </c>
      <c r="I38" s="832">
        <f t="shared" si="12"/>
        <v>70260161.003224611</v>
      </c>
      <c r="J38" s="832">
        <f t="shared" si="12"/>
        <v>70259034.003224611</v>
      </c>
    </row>
    <row r="39" spans="3:10" x14ac:dyDescent="0.2">
      <c r="C39" s="832"/>
      <c r="D39" s="832"/>
      <c r="E39" s="832">
        <f t="shared" ref="E39:J39" si="13">E38/1000000</f>
        <v>59.664999971279073</v>
      </c>
      <c r="F39" s="832">
        <f t="shared" si="13"/>
        <v>71.969656948488378</v>
      </c>
      <c r="G39" s="832">
        <f t="shared" si="13"/>
        <v>59.662744971279068</v>
      </c>
      <c r="H39" s="832">
        <f t="shared" si="13"/>
        <v>70.261289003224604</v>
      </c>
      <c r="I39" s="832">
        <f t="shared" si="13"/>
        <v>70.26016100322461</v>
      </c>
      <c r="J39" s="832">
        <f t="shared" si="13"/>
        <v>70.259034003224613</v>
      </c>
    </row>
    <row r="40" spans="3:10" x14ac:dyDescent="0.2">
      <c r="C40" s="3093" t="s">
        <v>965</v>
      </c>
      <c r="D40" s="3094"/>
      <c r="E40" s="3094"/>
      <c r="F40" s="3094"/>
      <c r="G40" s="3094"/>
      <c r="H40" s="3094"/>
      <c r="I40" s="3094"/>
      <c r="J40" s="3095"/>
    </row>
    <row r="41" spans="3:10" x14ac:dyDescent="0.2">
      <c r="C41" s="832" t="s">
        <v>933</v>
      </c>
      <c r="D41" s="832">
        <v>3</v>
      </c>
      <c r="E41" s="832">
        <f>MAHAWELI!C134</f>
        <v>7283861</v>
      </c>
      <c r="F41" s="832">
        <f>MAHAWELI!D134</f>
        <v>7586772.6100000003</v>
      </c>
      <c r="G41" s="832">
        <f>MAHAWELI!E134</f>
        <v>7283861</v>
      </c>
      <c r="H41" s="832">
        <f>MAHAWELI!F134</f>
        <v>9565395.482314799</v>
      </c>
      <c r="I41" s="832">
        <f>MAHAWELI!G134</f>
        <v>9565395.482314799</v>
      </c>
      <c r="J41" s="832">
        <f>MAHAWELI!H134</f>
        <v>9565395.482314799</v>
      </c>
    </row>
    <row r="42" spans="3:10" x14ac:dyDescent="0.2">
      <c r="C42" s="832"/>
      <c r="D42" s="832"/>
      <c r="E42" s="832">
        <f t="shared" ref="E42:J42" si="14">E41/1000000</f>
        <v>7.2838609999999999</v>
      </c>
      <c r="F42" s="832">
        <f t="shared" si="14"/>
        <v>7.5867726100000006</v>
      </c>
      <c r="G42" s="832">
        <f t="shared" si="14"/>
        <v>7.2838609999999999</v>
      </c>
      <c r="H42" s="832">
        <f t="shared" si="14"/>
        <v>9.5653954823147984</v>
      </c>
      <c r="I42" s="832">
        <f t="shared" si="14"/>
        <v>9.5653954823147984</v>
      </c>
      <c r="J42" s="832">
        <f t="shared" si="14"/>
        <v>9.5653954823147984</v>
      </c>
    </row>
    <row r="43" spans="3:10" x14ac:dyDescent="0.2">
      <c r="C43"/>
      <c r="D43" s="1584"/>
      <c r="E43" s="241"/>
      <c r="F43" s="241"/>
      <c r="G43" s="241"/>
      <c r="H43" s="241"/>
      <c r="I43" s="241"/>
      <c r="J43" s="241"/>
    </row>
    <row r="48" spans="3:10" x14ac:dyDescent="0.2">
      <c r="C48" s="415" t="s">
        <v>58</v>
      </c>
      <c r="E48" s="1573">
        <f t="shared" ref="E48:J48" si="15">E26</f>
        <v>46023</v>
      </c>
      <c r="F48" s="1573">
        <f t="shared" si="15"/>
        <v>46054</v>
      </c>
      <c r="G48" s="1573">
        <f t="shared" si="15"/>
        <v>46082</v>
      </c>
      <c r="H48" s="1573">
        <f t="shared" si="15"/>
        <v>46113</v>
      </c>
      <c r="I48" s="1573">
        <f t="shared" si="15"/>
        <v>46143</v>
      </c>
      <c r="J48" s="1573">
        <f t="shared" si="15"/>
        <v>46174</v>
      </c>
    </row>
    <row r="49" spans="3:10" x14ac:dyDescent="0.2">
      <c r="C49" s="3096" t="s">
        <v>964</v>
      </c>
      <c r="D49" s="3096"/>
      <c r="E49" s="3096"/>
      <c r="F49" s="3096"/>
      <c r="G49" s="3096"/>
      <c r="H49" s="3096"/>
      <c r="I49" s="3096"/>
      <c r="J49" s="3096"/>
    </row>
    <row r="50" spans="3:10" x14ac:dyDescent="0.2">
      <c r="C50" s="1596" t="s">
        <v>945</v>
      </c>
      <c r="D50" s="1597">
        <f>LAXAPANA!C26+LAXAPANA!C53+LAXAPANA!C79+LAXAPANA!C106</f>
        <v>353.8</v>
      </c>
      <c r="E50" s="1597">
        <f>LAXAPANA!C141*1000000</f>
        <v>423973430.92853475</v>
      </c>
      <c r="F50" s="1597">
        <f>LAXAPANA!D141*1000000</f>
        <v>465028082.67520136</v>
      </c>
      <c r="G50" s="1597">
        <f>LAXAPANA!E141*1000000</f>
        <v>431614994.81742358</v>
      </c>
      <c r="H50" s="1597">
        <f>LAXAPANA!F141*1000000</f>
        <v>462464025.58183366</v>
      </c>
      <c r="I50" s="1597">
        <f>LAXAPANA!G141*1000000</f>
        <v>462386362.58183366</v>
      </c>
      <c r="J50" s="1597">
        <f>LAXAPANA!H141*1000000</f>
        <v>462308278.58183366</v>
      </c>
    </row>
    <row r="51" spans="3:10" x14ac:dyDescent="0.2">
      <c r="C51" s="484"/>
      <c r="D51" s="484"/>
      <c r="E51" s="1581">
        <f>E50/1000000</f>
        <v>423.97343092853475</v>
      </c>
      <c r="F51" s="1581">
        <f t="shared" ref="F51:J51" si="16">F50/1000000</f>
        <v>465.02808267520135</v>
      </c>
      <c r="G51" s="1581">
        <f t="shared" si="16"/>
        <v>431.61499481742356</v>
      </c>
      <c r="H51" s="1581">
        <f t="shared" si="16"/>
        <v>462.46402558183365</v>
      </c>
      <c r="I51" s="1581">
        <f t="shared" si="16"/>
        <v>462.38636258183368</v>
      </c>
      <c r="J51" s="1581">
        <f t="shared" si="16"/>
        <v>462.30827858183363</v>
      </c>
    </row>
    <row r="54" spans="3:10" x14ac:dyDescent="0.2">
      <c r="C54" s="415" t="s">
        <v>59</v>
      </c>
      <c r="E54" s="1573">
        <f t="shared" ref="E54:J54" si="17">E26</f>
        <v>46023</v>
      </c>
      <c r="F54" s="1573">
        <f t="shared" si="17"/>
        <v>46054</v>
      </c>
      <c r="G54" s="1573">
        <f t="shared" si="17"/>
        <v>46082</v>
      </c>
      <c r="H54" s="1573">
        <f t="shared" si="17"/>
        <v>46113</v>
      </c>
      <c r="I54" s="1573">
        <f t="shared" si="17"/>
        <v>46143</v>
      </c>
      <c r="J54" s="1573">
        <f t="shared" si="17"/>
        <v>46174</v>
      </c>
    </row>
    <row r="55" spans="3:10" x14ac:dyDescent="0.2">
      <c r="C55" s="3093" t="s">
        <v>964</v>
      </c>
      <c r="D55" s="3094"/>
      <c r="E55" s="3094"/>
      <c r="F55" s="3094"/>
      <c r="G55" s="3094"/>
      <c r="H55" s="3094"/>
      <c r="I55" s="3094"/>
      <c r="J55" s="3095"/>
    </row>
    <row r="56" spans="3:10" x14ac:dyDescent="0.2">
      <c r="C56" s="832" t="s">
        <v>939</v>
      </c>
      <c r="D56" s="832">
        <v>70</v>
      </c>
      <c r="E56" s="832">
        <f>Samanala!C52</f>
        <v>58398115.959411755</v>
      </c>
      <c r="F56" s="832">
        <f>Samanala!D52</f>
        <v>58398115.959411755</v>
      </c>
      <c r="G56" s="832">
        <f>Samanala!E52</f>
        <v>58398115.959411755</v>
      </c>
      <c r="H56" s="832">
        <f>Samanala!F52</f>
        <v>62326347.781659395</v>
      </c>
      <c r="I56" s="832">
        <f>Samanala!G52</f>
        <v>62326347.781659395</v>
      </c>
      <c r="J56" s="832">
        <f>Samanala!H52</f>
        <v>62326347.781659395</v>
      </c>
    </row>
    <row r="57" spans="3:10" x14ac:dyDescent="0.2">
      <c r="C57" s="832" t="s">
        <v>943</v>
      </c>
      <c r="D57" s="832">
        <v>120</v>
      </c>
      <c r="E57" s="832">
        <f>Samanala!C25</f>
        <v>87409137.417058811</v>
      </c>
      <c r="F57" s="832">
        <f>Samanala!D25</f>
        <v>110869198.41705881</v>
      </c>
      <c r="G57" s="832">
        <f>Samanala!E25</f>
        <v>120231499.41705881</v>
      </c>
      <c r="H57" s="832">
        <f>Samanala!F25</f>
        <v>128709996.66398837</v>
      </c>
      <c r="I57" s="832">
        <f>Samanala!G25</f>
        <v>128504100.66398837</v>
      </c>
      <c r="J57" s="832">
        <f>Samanala!H25</f>
        <v>128296845.66398837</v>
      </c>
    </row>
    <row r="58" spans="3:10" x14ac:dyDescent="0.2">
      <c r="C58" s="832"/>
      <c r="D58" s="832">
        <f>D56+D57</f>
        <v>190</v>
      </c>
      <c r="E58" s="832">
        <f t="shared" ref="E58:J58" si="18">E56+E57</f>
        <v>145807253.37647057</v>
      </c>
      <c r="F58" s="832">
        <f t="shared" si="18"/>
        <v>169267314.37647057</v>
      </c>
      <c r="G58" s="832">
        <f t="shared" si="18"/>
        <v>178629615.37647057</v>
      </c>
      <c r="H58" s="832">
        <f t="shared" si="18"/>
        <v>191036344.44564778</v>
      </c>
      <c r="I58" s="832">
        <f t="shared" si="18"/>
        <v>190830448.44564778</v>
      </c>
      <c r="J58" s="832">
        <f t="shared" si="18"/>
        <v>190623193.44564778</v>
      </c>
    </row>
    <row r="59" spans="3:10" x14ac:dyDescent="0.2">
      <c r="C59" s="832"/>
      <c r="D59" s="832"/>
      <c r="E59" s="832">
        <f t="shared" ref="E59:J59" si="19">E58/1000000</f>
        <v>145.80725337647056</v>
      </c>
      <c r="F59" s="832">
        <f t="shared" si="19"/>
        <v>169.26731437647058</v>
      </c>
      <c r="G59" s="832">
        <f t="shared" si="19"/>
        <v>178.62961537647055</v>
      </c>
      <c r="H59" s="832">
        <f t="shared" si="19"/>
        <v>191.03634444564779</v>
      </c>
      <c r="I59" s="832">
        <f t="shared" si="19"/>
        <v>190.83044844564779</v>
      </c>
      <c r="J59" s="832">
        <f t="shared" si="19"/>
        <v>190.62319344564779</v>
      </c>
    </row>
    <row r="60" spans="3:10" x14ac:dyDescent="0.2">
      <c r="C60" s="3093" t="s">
        <v>965</v>
      </c>
      <c r="D60" s="3094"/>
      <c r="E60" s="3094"/>
      <c r="F60" s="3094"/>
      <c r="G60" s="3094"/>
      <c r="H60" s="3094"/>
      <c r="I60" s="3094"/>
      <c r="J60" s="3095"/>
    </row>
    <row r="61" spans="3:10" x14ac:dyDescent="0.2">
      <c r="C61" s="832" t="s">
        <v>944</v>
      </c>
      <c r="D61" s="832">
        <v>11</v>
      </c>
      <c r="E61" s="832">
        <f>Samanala!C107</f>
        <v>20908142.365294114</v>
      </c>
      <c r="F61" s="832">
        <f>Samanala!D107</f>
        <v>20908142.365294114</v>
      </c>
      <c r="G61" s="832">
        <f>Samanala!E107</f>
        <v>20908142.365294114</v>
      </c>
      <c r="H61" s="832">
        <f>Samanala!F107</f>
        <v>22538327.960118648</v>
      </c>
      <c r="I61" s="832">
        <f>Samanala!G107</f>
        <v>22538327.960118648</v>
      </c>
      <c r="J61" s="832">
        <f>Samanala!H107</f>
        <v>22538327.960118648</v>
      </c>
    </row>
    <row r="62" spans="3:10" x14ac:dyDescent="0.2">
      <c r="C62" s="832" t="s">
        <v>940</v>
      </c>
      <c r="D62" s="832">
        <v>4</v>
      </c>
      <c r="E62" s="832">
        <f>Samanala!C134</f>
        <v>16899956.595294118</v>
      </c>
      <c r="F62" s="832">
        <f>Samanala!D134</f>
        <v>16899956.595294118</v>
      </c>
      <c r="G62" s="832">
        <f>Samanala!E134</f>
        <v>16899956.595294118</v>
      </c>
      <c r="H62" s="832">
        <f>Samanala!F134</f>
        <v>18449469.082969546</v>
      </c>
      <c r="I62" s="832">
        <f>Samanala!G134</f>
        <v>18449469.082969546</v>
      </c>
      <c r="J62" s="832">
        <f>Samanala!H134</f>
        <v>18449469.082969546</v>
      </c>
    </row>
    <row r="63" spans="3:10" x14ac:dyDescent="0.2">
      <c r="C63" s="832"/>
      <c r="D63" s="832">
        <f>D61+D62</f>
        <v>15</v>
      </c>
      <c r="E63" s="832">
        <f t="shared" ref="E63:J63" si="20">E61+E62</f>
        <v>37808098.960588232</v>
      </c>
      <c r="F63" s="832">
        <f t="shared" si="20"/>
        <v>37808098.960588232</v>
      </c>
      <c r="G63" s="832">
        <f t="shared" si="20"/>
        <v>37808098.960588232</v>
      </c>
      <c r="H63" s="832">
        <f t="shared" si="20"/>
        <v>40987797.043088198</v>
      </c>
      <c r="I63" s="832">
        <f t="shared" si="20"/>
        <v>40987797.043088198</v>
      </c>
      <c r="J63" s="832">
        <f t="shared" si="20"/>
        <v>40987797.043088198</v>
      </c>
    </row>
    <row r="64" spans="3:10" x14ac:dyDescent="0.2">
      <c r="C64" s="832"/>
      <c r="D64" s="832"/>
      <c r="E64" s="832">
        <f t="shared" ref="E64:J64" si="21">E63/1000000</f>
        <v>37.808098960588232</v>
      </c>
      <c r="F64" s="832">
        <f t="shared" si="21"/>
        <v>37.808098960588232</v>
      </c>
      <c r="G64" s="832">
        <f t="shared" si="21"/>
        <v>37.808098960588232</v>
      </c>
      <c r="H64" s="832">
        <f t="shared" si="21"/>
        <v>40.9877970430882</v>
      </c>
      <c r="I64" s="832">
        <f t="shared" si="21"/>
        <v>40.9877970430882</v>
      </c>
      <c r="J64" s="832">
        <f t="shared" si="21"/>
        <v>40.9877970430882</v>
      </c>
    </row>
    <row r="65" spans="3:10" x14ac:dyDescent="0.2">
      <c r="C65"/>
      <c r="D65" s="1584"/>
      <c r="E65" s="414"/>
      <c r="F65" s="414"/>
      <c r="G65" s="414"/>
      <c r="H65" s="414"/>
      <c r="I65" s="414"/>
      <c r="J65" s="414"/>
    </row>
  </sheetData>
  <mergeCells count="6">
    <mergeCell ref="C60:J60"/>
    <mergeCell ref="C49:J49"/>
    <mergeCell ref="C27:J27"/>
    <mergeCell ref="C34:J34"/>
    <mergeCell ref="C40:J40"/>
    <mergeCell ref="C55:J55"/>
  </mergeCells>
  <pageMargins left="0.7" right="0.7" top="0.75" bottom="0.75" header="0.3" footer="0.3"/>
  <pageSetup orientation="landscape" verticalDpi="4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20">
    <tabColor rgb="FF00B050"/>
  </sheetPr>
  <dimension ref="B1:N34"/>
  <sheetViews>
    <sheetView workbookViewId="0">
      <selection activeCell="F4" sqref="F4"/>
    </sheetView>
  </sheetViews>
  <sheetFormatPr defaultRowHeight="12.6" x14ac:dyDescent="0.2"/>
  <cols>
    <col min="6" max="11" width="9.6328125" bestFit="1" customWidth="1"/>
  </cols>
  <sheetData>
    <row r="1" spans="2:14" ht="13.2" thickBot="1" x14ac:dyDescent="0.25">
      <c r="B1" s="1583" t="s">
        <v>946</v>
      </c>
    </row>
    <row r="2" spans="2:14" x14ac:dyDescent="0.2">
      <c r="F2" s="841">
        <f>'20MW-Mathugama'!C3</f>
        <v>46023</v>
      </c>
      <c r="G2" s="841">
        <f>'20MW-Mathugama'!D3</f>
        <v>46054</v>
      </c>
      <c r="H2" s="841">
        <f>'20MW-Mathugama'!E3</f>
        <v>46082</v>
      </c>
      <c r="I2" s="841">
        <f>'20MW-Mathugama'!F3</f>
        <v>46113</v>
      </c>
      <c r="J2" s="841">
        <f>'20MW-Mathugama'!G3</f>
        <v>46143</v>
      </c>
      <c r="K2" s="841">
        <f>'20MW-Mathugama'!H3</f>
        <v>46174</v>
      </c>
    </row>
    <row r="3" spans="2:14" s="415" customFormat="1" x14ac:dyDescent="0.2">
      <c r="C3" s="415" t="s">
        <v>56</v>
      </c>
      <c r="F3" s="823"/>
      <c r="G3" s="823"/>
      <c r="H3" s="823"/>
      <c r="I3" s="823"/>
      <c r="J3" s="823"/>
      <c r="K3" s="823"/>
      <c r="M3" s="401"/>
      <c r="N3" s="401"/>
    </row>
    <row r="4" spans="2:14" s="415" customFormat="1" x14ac:dyDescent="0.2">
      <c r="C4" s="415">
        <v>220</v>
      </c>
      <c r="F4" s="823">
        <f>DispatchSchedule!F79+DispatchSchedule!F84+DispatchSchedule!F83+DispatchSchedule!F49+DispatchSchedule!F50+'hydro en &amp; capcost voltage wise'!E11+DispatchSchedule!F31</f>
        <v>0</v>
      </c>
      <c r="G4" s="823">
        <f>DispatchSchedule!G79+DispatchSchedule!G84+DispatchSchedule!G83+DispatchSchedule!G49+DispatchSchedule!G50+'hydro en &amp; capcost voltage wise'!F11+DispatchSchedule!G31</f>
        <v>0</v>
      </c>
      <c r="H4" s="823">
        <f>DispatchSchedule!H79+DispatchSchedule!H84+DispatchSchedule!H83+DispatchSchedule!H49+DispatchSchedule!H50+'hydro en &amp; capcost voltage wise'!G11+DispatchSchedule!H31</f>
        <v>0</v>
      </c>
      <c r="I4" s="823">
        <f>DispatchSchedule!I79+DispatchSchedule!I84+DispatchSchedule!I83+DispatchSchedule!I49+DispatchSchedule!I50+'hydro en &amp; capcost voltage wise'!H11+DispatchSchedule!I31</f>
        <v>794.79953402251328</v>
      </c>
      <c r="J4" s="823">
        <f>DispatchSchedule!J79+DispatchSchedule!J84+DispatchSchedule!J83+DispatchSchedule!J49+DispatchSchedule!J50+'hydro en &amp; capcost voltage wise'!I11+DispatchSchedule!J31</f>
        <v>825.96614493275194</v>
      </c>
      <c r="K4" s="823">
        <f>DispatchSchedule!K79+DispatchSchedule!K84+DispatchSchedule!K83+DispatchSchedule!K49+DispatchSchedule!K50+'hydro en &amp; capcost voltage wise'!J11+DispatchSchedule!K31</f>
        <v>751.98345299670154</v>
      </c>
      <c r="M4" s="401"/>
      <c r="N4" s="401"/>
    </row>
    <row r="5" spans="2:14" s="415" customFormat="1" x14ac:dyDescent="0.2">
      <c r="C5" s="415">
        <v>132</v>
      </c>
      <c r="F5" s="823">
        <f>DispatchSchedule!F77+DispatchSchedule!F75+DispatchSchedule!F76+DispatchSchedule!F78+DispatchSchedule!F43+'hydro en &amp; capcost voltage wise'!E12</f>
        <v>0</v>
      </c>
      <c r="G5" s="823">
        <f>DispatchSchedule!G77+DispatchSchedule!G75+DispatchSchedule!G76+DispatchSchedule!G78+DispatchSchedule!G43+'hydro en &amp; capcost voltage wise'!F12</f>
        <v>0</v>
      </c>
      <c r="H5" s="823">
        <f>DispatchSchedule!H77+DispatchSchedule!H75+DispatchSchedule!H76+DispatchSchedule!H78+DispatchSchedule!H43+'hydro en &amp; capcost voltage wise'!G12</f>
        <v>0</v>
      </c>
      <c r="I5" s="823">
        <f>DispatchSchedule!I77+DispatchSchedule!I75+DispatchSchedule!I76+DispatchSchedule!I78+DispatchSchedule!I43+'hydro en &amp; capcost voltage wise'!H12</f>
        <v>233.92638356452912</v>
      </c>
      <c r="J5" s="823">
        <f>DispatchSchedule!J77+DispatchSchedule!J75+DispatchSchedule!J76+DispatchSchedule!J78+DispatchSchedule!J43+'hydro en &amp; capcost voltage wise'!I12</f>
        <v>277.13640686679787</v>
      </c>
      <c r="K5" s="823">
        <f>DispatchSchedule!K77+DispatchSchedule!K75+DispatchSchedule!K76+DispatchSchedule!K78+DispatchSchedule!K43+'hydro en &amp; capcost voltage wise'!J12</f>
        <v>260.7620018877185</v>
      </c>
      <c r="M5" s="401"/>
      <c r="N5" s="401"/>
    </row>
    <row r="6" spans="2:14" s="415" customFormat="1" x14ac:dyDescent="0.2">
      <c r="C6" s="1578" t="s">
        <v>930</v>
      </c>
      <c r="F6" s="823">
        <f>DispatchSchedule!F89+DispatchSchedule!F90+DispatchSchedule!F51+DispatchSchedule!F85+'hydro en &amp; capcost voltage wise'!E13+DispatchSchedule!F59</f>
        <v>0</v>
      </c>
      <c r="G6" s="823">
        <f>DispatchSchedule!G89+DispatchSchedule!G90+DispatchSchedule!G51+DispatchSchedule!G85+'hydro en &amp; capcost voltage wise'!F13+DispatchSchedule!G59</f>
        <v>0</v>
      </c>
      <c r="H6" s="823">
        <f>DispatchSchedule!H89+DispatchSchedule!H90+DispatchSchedule!H51+DispatchSchedule!H85+'hydro en &amp; capcost voltage wise'!G13+DispatchSchedule!H59</f>
        <v>0</v>
      </c>
      <c r="I6" s="823">
        <f>DispatchSchedule!I89+DispatchSchedule!I90+DispatchSchedule!I51+DispatchSchedule!I85+'hydro en &amp; capcost voltage wise'!H13+DispatchSchedule!I59</f>
        <v>13.380134412957728</v>
      </c>
      <c r="J6" s="823">
        <f>DispatchSchedule!J89+DispatchSchedule!J90+DispatchSchedule!J51+DispatchSchedule!J85+'hydro en &amp; capcost voltage wise'!I13+DispatchSchedule!J59</f>
        <v>14.749478200450131</v>
      </c>
      <c r="K6" s="823">
        <f>DispatchSchedule!K89+DispatchSchedule!K90+DispatchSchedule!K51+DispatchSchedule!K85+'hydro en &amp; capcost voltage wise'!J13+DispatchSchedule!K59</f>
        <v>15.279855115579855</v>
      </c>
      <c r="M6" s="401"/>
      <c r="N6" s="401"/>
    </row>
    <row r="7" spans="2:14" s="415" customFormat="1" x14ac:dyDescent="0.2">
      <c r="C7" s="1578"/>
      <c r="F7" s="823">
        <f t="shared" ref="F7:K7" si="0">F4+F5+F6</f>
        <v>0</v>
      </c>
      <c r="G7" s="823">
        <f t="shared" si="0"/>
        <v>0</v>
      </c>
      <c r="H7" s="823">
        <f t="shared" si="0"/>
        <v>0</v>
      </c>
      <c r="I7" s="823">
        <f t="shared" si="0"/>
        <v>1042.1060520000001</v>
      </c>
      <c r="J7" s="823">
        <f t="shared" si="0"/>
        <v>1117.85203</v>
      </c>
      <c r="K7" s="823">
        <f t="shared" si="0"/>
        <v>1028.02531</v>
      </c>
      <c r="M7" s="401"/>
      <c r="N7" s="401"/>
    </row>
    <row r="8" spans="2:14" s="415" customFormat="1" x14ac:dyDescent="0.2">
      <c r="C8" s="1578"/>
      <c r="F8" s="823"/>
      <c r="G8" s="823"/>
      <c r="H8" s="823"/>
      <c r="I8" s="823"/>
      <c r="J8" s="823"/>
      <c r="K8" s="823"/>
      <c r="M8" s="401"/>
      <c r="N8" s="401"/>
    </row>
    <row r="9" spans="2:14" s="415" customFormat="1" x14ac:dyDescent="0.2">
      <c r="C9" s="1578"/>
      <c r="F9" s="823"/>
      <c r="G9" s="823"/>
      <c r="H9" s="823"/>
      <c r="I9" s="823"/>
      <c r="J9" s="823"/>
      <c r="K9" s="823"/>
      <c r="M9" s="401"/>
      <c r="N9" s="401"/>
    </row>
    <row r="10" spans="2:14" s="415" customFormat="1" ht="14.4" x14ac:dyDescent="0.3">
      <c r="C10" s="415" t="s">
        <v>948</v>
      </c>
      <c r="F10" s="1579"/>
      <c r="G10" s="1579"/>
      <c r="H10" s="1579"/>
      <c r="I10" s="1579"/>
      <c r="J10" s="1579"/>
      <c r="K10" s="1579"/>
      <c r="M10" s="401"/>
      <c r="N10" s="401"/>
    </row>
    <row r="11" spans="2:14" s="415" customFormat="1" ht="14.4" x14ac:dyDescent="0.3">
      <c r="C11" s="415">
        <v>220</v>
      </c>
      <c r="F11" s="1579">
        <f>F4*1000/(F16*24*0.63)</f>
        <v>0</v>
      </c>
      <c r="G11" s="1579">
        <f t="shared" ref="G11:K11" si="1">G4*1000/(G16*24*0.63)</f>
        <v>0</v>
      </c>
      <c r="H11" s="1579">
        <f t="shared" si="1"/>
        <v>0</v>
      </c>
      <c r="I11" s="1579">
        <f t="shared" si="1"/>
        <v>1752.2035582506905</v>
      </c>
      <c r="J11" s="1579">
        <f t="shared" si="1"/>
        <v>1762.1738883187229</v>
      </c>
      <c r="K11" s="1579">
        <f t="shared" si="1"/>
        <v>1657.8118452308236</v>
      </c>
      <c r="M11" s="401"/>
      <c r="N11" s="401"/>
    </row>
    <row r="12" spans="2:14" s="415" customFormat="1" ht="14.4" x14ac:dyDescent="0.3">
      <c r="C12" s="415">
        <v>132</v>
      </c>
      <c r="F12" s="1579">
        <f>F5*1000/(F16*24*0.63)</f>
        <v>0</v>
      </c>
      <c r="G12" s="1579">
        <f t="shared" ref="G12:K12" si="2">G5*1000/(G16*24*0.63)</f>
        <v>0</v>
      </c>
      <c r="H12" s="1579">
        <f t="shared" si="2"/>
        <v>0</v>
      </c>
      <c r="I12" s="1579">
        <f t="shared" si="2"/>
        <v>515.71072214402363</v>
      </c>
      <c r="J12" s="1579">
        <f t="shared" si="2"/>
        <v>591.26217542839618</v>
      </c>
      <c r="K12" s="1579">
        <f t="shared" si="2"/>
        <v>574.87213820043758</v>
      </c>
      <c r="M12" s="401"/>
      <c r="N12" s="401"/>
    </row>
    <row r="13" spans="2:14" s="415" customFormat="1" ht="14.4" x14ac:dyDescent="0.3">
      <c r="C13" s="1578" t="s">
        <v>930</v>
      </c>
      <c r="F13" s="1579">
        <f>F6*1000/(F16*24*0.63)</f>
        <v>0</v>
      </c>
      <c r="G13" s="1579">
        <f t="shared" ref="G13:K13" si="3">G6*1000/(G16*24*0.63)</f>
        <v>0</v>
      </c>
      <c r="H13" s="1579">
        <f t="shared" si="3"/>
        <v>0</v>
      </c>
      <c r="I13" s="1579">
        <f t="shared" si="3"/>
        <v>29.497650822217214</v>
      </c>
      <c r="J13" s="1579">
        <f t="shared" si="3"/>
        <v>31.4675674186084</v>
      </c>
      <c r="K13" s="1579">
        <f t="shared" si="3"/>
        <v>33.685747609303029</v>
      </c>
      <c r="M13" s="401"/>
      <c r="N13" s="401"/>
    </row>
    <row r="14" spans="2:14" s="415" customFormat="1" ht="14.4" x14ac:dyDescent="0.3">
      <c r="C14" s="1578"/>
      <c r="F14" s="1579">
        <f t="shared" ref="F14:K14" si="4">F11+F12+F13</f>
        <v>0</v>
      </c>
      <c r="G14" s="1579">
        <f t="shared" si="4"/>
        <v>0</v>
      </c>
      <c r="H14" s="1579">
        <f t="shared" si="4"/>
        <v>0</v>
      </c>
      <c r="I14" s="1579">
        <f t="shared" si="4"/>
        <v>2297.4119312169314</v>
      </c>
      <c r="J14" s="1579">
        <f t="shared" si="4"/>
        <v>2384.9036311657273</v>
      </c>
      <c r="K14" s="1579">
        <f t="shared" si="4"/>
        <v>2266.3697310405646</v>
      </c>
      <c r="M14" s="401"/>
      <c r="N14" s="401"/>
    </row>
    <row r="15" spans="2:14" s="415" customFormat="1" x14ac:dyDescent="0.2">
      <c r="M15" s="401"/>
      <c r="N15" s="401"/>
    </row>
    <row r="16" spans="2:14" s="415" customFormat="1" x14ac:dyDescent="0.2">
      <c r="C16" s="415" t="s">
        <v>947</v>
      </c>
      <c r="F16" s="823">
        <f>DispatchSchedule!F67</f>
        <v>31</v>
      </c>
      <c r="G16" s="823">
        <f>DispatchSchedule!G67</f>
        <v>28</v>
      </c>
      <c r="H16" s="823">
        <f>DispatchSchedule!H67</f>
        <v>31</v>
      </c>
      <c r="I16" s="823">
        <f>DispatchSchedule!I67</f>
        <v>30</v>
      </c>
      <c r="J16" s="823">
        <f>DispatchSchedule!J67</f>
        <v>31</v>
      </c>
      <c r="K16" s="823">
        <f>DispatchSchedule!K67</f>
        <v>30</v>
      </c>
      <c r="M16" s="401"/>
      <c r="N16" s="401"/>
    </row>
    <row r="17" spans="3:14" s="415" customFormat="1" x14ac:dyDescent="0.2">
      <c r="F17" s="823"/>
      <c r="G17" s="823"/>
      <c r="H17" s="823"/>
      <c r="I17" s="823"/>
      <c r="J17" s="823"/>
      <c r="K17" s="823"/>
      <c r="M17" s="401"/>
      <c r="N17" s="401"/>
    </row>
    <row r="18" spans="3:14" s="415" customFormat="1" x14ac:dyDescent="0.2">
      <c r="C18" s="1578"/>
      <c r="F18" s="823"/>
      <c r="G18" s="823"/>
      <c r="H18" s="823"/>
      <c r="I18" s="823"/>
      <c r="J18" s="823"/>
      <c r="K18" s="823"/>
      <c r="M18" s="401"/>
      <c r="N18" s="401"/>
    </row>
    <row r="19" spans="3:14" s="415" customFormat="1" x14ac:dyDescent="0.2">
      <c r="C19" s="1578"/>
      <c r="F19" s="1684"/>
      <c r="G19" s="823"/>
      <c r="H19" s="823"/>
      <c r="I19" s="823"/>
      <c r="J19" s="823"/>
      <c r="K19" s="823"/>
      <c r="M19" s="401"/>
      <c r="N19" s="401"/>
    </row>
    <row r="20" spans="3:14" s="415" customFormat="1" x14ac:dyDescent="0.2">
      <c r="C20" s="1578"/>
      <c r="F20" s="1684"/>
      <c r="G20" s="823"/>
      <c r="H20" s="823"/>
      <c r="I20" s="823"/>
      <c r="J20" s="823"/>
      <c r="K20" s="823"/>
      <c r="M20" s="401"/>
      <c r="N20" s="401"/>
    </row>
    <row r="21" spans="3:14" s="415" customFormat="1" x14ac:dyDescent="0.2">
      <c r="F21" s="823"/>
      <c r="G21" s="823"/>
      <c r="H21" s="823"/>
      <c r="I21" s="823"/>
      <c r="J21" s="823"/>
      <c r="K21" s="823"/>
      <c r="M21" s="401"/>
      <c r="N21" s="401"/>
    </row>
    <row r="22" spans="3:14" s="415" customFormat="1" x14ac:dyDescent="0.2">
      <c r="F22" s="823"/>
      <c r="G22" s="823"/>
      <c r="H22" s="823"/>
      <c r="I22" s="823"/>
      <c r="J22" s="823"/>
      <c r="K22" s="823"/>
      <c r="M22" s="401"/>
      <c r="N22" s="401"/>
    </row>
    <row r="23" spans="3:14" s="415" customFormat="1" x14ac:dyDescent="0.2">
      <c r="C23" s="1578"/>
      <c r="F23" s="823"/>
      <c r="G23" s="823"/>
      <c r="H23" s="823"/>
      <c r="I23" s="823"/>
      <c r="J23" s="823"/>
      <c r="K23" s="823"/>
      <c r="M23" s="401"/>
      <c r="N23" s="401"/>
    </row>
    <row r="24" spans="3:14" s="415" customFormat="1" x14ac:dyDescent="0.2">
      <c r="C24" s="1578"/>
      <c r="F24" s="823"/>
      <c r="G24" s="823"/>
      <c r="H24" s="823"/>
      <c r="I24" s="823"/>
      <c r="J24" s="823"/>
      <c r="K24" s="823"/>
      <c r="M24" s="401"/>
      <c r="N24" s="401"/>
    </row>
    <row r="25" spans="3:14" s="415" customFormat="1" x14ac:dyDescent="0.2">
      <c r="M25" s="401"/>
      <c r="N25" s="401"/>
    </row>
    <row r="26" spans="3:14" s="415" customFormat="1" ht="14.4" x14ac:dyDescent="0.3">
      <c r="F26" s="1579"/>
      <c r="G26" s="1579"/>
      <c r="H26" s="1579"/>
      <c r="I26" s="1579"/>
      <c r="J26" s="1579"/>
      <c r="K26" s="1579"/>
      <c r="M26" s="401"/>
      <c r="N26" s="401"/>
    </row>
    <row r="27" spans="3:14" s="415" customFormat="1" ht="14.4" x14ac:dyDescent="0.3">
      <c r="F27" s="1579"/>
      <c r="G27" s="1579"/>
      <c r="H27" s="1579"/>
      <c r="I27" s="1579"/>
      <c r="J27" s="1579"/>
      <c r="K27" s="1579"/>
      <c r="M27" s="401"/>
      <c r="N27" s="401"/>
    </row>
    <row r="28" spans="3:14" s="415" customFormat="1" ht="14.4" x14ac:dyDescent="0.3">
      <c r="C28" s="1578"/>
      <c r="F28" s="1579"/>
      <c r="G28" s="1579"/>
      <c r="H28" s="1579"/>
      <c r="I28" s="1579"/>
      <c r="J28" s="1579"/>
      <c r="K28" s="1579"/>
      <c r="M28" s="401"/>
      <c r="N28" s="401"/>
    </row>
    <row r="29" spans="3:14" s="415" customFormat="1" ht="14.4" x14ac:dyDescent="0.3">
      <c r="F29" s="1579"/>
      <c r="G29" s="1579"/>
      <c r="H29" s="1579"/>
      <c r="I29" s="1579"/>
      <c r="J29" s="1579"/>
      <c r="K29" s="1579"/>
      <c r="M29" s="401"/>
      <c r="N29" s="401"/>
    </row>
    <row r="30" spans="3:14" s="415" customFormat="1" ht="14.4" x14ac:dyDescent="0.3">
      <c r="F30" s="1579"/>
      <c r="G30" s="1579"/>
      <c r="H30" s="1579"/>
      <c r="I30" s="1579"/>
      <c r="J30" s="1579"/>
      <c r="K30" s="1579"/>
      <c r="M30" s="401"/>
      <c r="N30" s="401"/>
    </row>
    <row r="31" spans="3:14" s="415" customFormat="1" ht="14.4" x14ac:dyDescent="0.3">
      <c r="F31" s="1579"/>
      <c r="G31" s="1579"/>
      <c r="H31" s="1579"/>
      <c r="I31" s="1579"/>
      <c r="J31" s="1579"/>
      <c r="K31" s="1579"/>
      <c r="M31" s="401"/>
      <c r="N31" s="401"/>
    </row>
    <row r="32" spans="3:14" s="415" customFormat="1" ht="14.4" x14ac:dyDescent="0.3">
      <c r="F32" s="1579"/>
      <c r="G32" s="1579"/>
      <c r="H32" s="1579"/>
      <c r="I32" s="1579"/>
      <c r="J32" s="1579"/>
      <c r="K32" s="1579"/>
      <c r="M32" s="401"/>
      <c r="N32" s="401"/>
    </row>
    <row r="33" spans="3:14" s="415" customFormat="1" ht="14.4" x14ac:dyDescent="0.3">
      <c r="C33" s="1578"/>
      <c r="F33" s="1579"/>
      <c r="G33" s="1579"/>
      <c r="H33" s="1579"/>
      <c r="I33" s="1579"/>
      <c r="J33" s="1579"/>
      <c r="K33" s="1579"/>
      <c r="M33" s="401"/>
      <c r="N33" s="401"/>
    </row>
    <row r="34" spans="3:14" s="415" customFormat="1" ht="14.4" x14ac:dyDescent="0.3">
      <c r="C34" s="1578"/>
      <c r="F34" s="1579"/>
      <c r="G34" s="1579"/>
      <c r="H34" s="1579"/>
      <c r="I34" s="1579"/>
      <c r="J34" s="1579"/>
      <c r="K34" s="1579"/>
      <c r="M34" s="401"/>
      <c r="N34" s="401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5">
    <tabColor rgb="FF00B050"/>
  </sheetPr>
  <dimension ref="A3:H20"/>
  <sheetViews>
    <sheetView zoomScale="115" zoomScaleNormal="115" workbookViewId="0">
      <selection activeCell="A21" sqref="A21"/>
    </sheetView>
  </sheetViews>
  <sheetFormatPr defaultRowHeight="12.6" x14ac:dyDescent="0.2"/>
  <cols>
    <col min="1" max="1" width="37.6328125" customWidth="1"/>
    <col min="2" max="2" width="9.7265625" customWidth="1"/>
    <col min="3" max="3" width="13" customWidth="1"/>
    <col min="4" max="4" width="10" customWidth="1"/>
    <col min="8" max="8" width="10.26953125" bestFit="1" customWidth="1"/>
  </cols>
  <sheetData>
    <row r="3" spans="1:8" x14ac:dyDescent="0.2">
      <c r="A3" t="s">
        <v>911</v>
      </c>
      <c r="B3" t="s">
        <v>912</v>
      </c>
      <c r="C3" s="1451">
        <v>4525.3</v>
      </c>
      <c r="D3" t="s">
        <v>37</v>
      </c>
      <c r="E3">
        <f>C3/C5</f>
        <v>0.74283885158981611</v>
      </c>
    </row>
    <row r="4" spans="1:8" x14ac:dyDescent="0.2">
      <c r="A4" t="s">
        <v>913</v>
      </c>
      <c r="B4" t="s">
        <v>912</v>
      </c>
      <c r="C4" s="1451">
        <v>1566.6</v>
      </c>
      <c r="D4" t="s">
        <v>37</v>
      </c>
      <c r="E4">
        <f>C4/C5</f>
        <v>0.257161148410184</v>
      </c>
    </row>
    <row r="5" spans="1:8" x14ac:dyDescent="0.2">
      <c r="A5" t="s">
        <v>914</v>
      </c>
      <c r="B5" t="s">
        <v>912</v>
      </c>
      <c r="C5">
        <f>C3+C4</f>
        <v>6091.9</v>
      </c>
      <c r="E5" s="415"/>
      <c r="F5" s="415"/>
      <c r="G5" s="415"/>
    </row>
    <row r="6" spans="1:8" x14ac:dyDescent="0.2">
      <c r="A6" s="415" t="s">
        <v>1151</v>
      </c>
      <c r="B6" t="s">
        <v>37</v>
      </c>
      <c r="C6" s="1451">
        <v>3.54</v>
      </c>
      <c r="H6" s="446"/>
    </row>
    <row r="7" spans="1:8" x14ac:dyDescent="0.2">
      <c r="A7" s="415" t="s">
        <v>1152</v>
      </c>
      <c r="B7" t="s">
        <v>37</v>
      </c>
      <c r="C7" s="322">
        <f>(C3/C5)*C6</f>
        <v>2.6296495346279491</v>
      </c>
      <c r="D7">
        <f>C7/100</f>
        <v>2.6296495346279491E-2</v>
      </c>
      <c r="H7" s="446"/>
    </row>
    <row r="8" spans="1:8" x14ac:dyDescent="0.2">
      <c r="A8" s="415" t="s">
        <v>1153</v>
      </c>
      <c r="B8" t="s">
        <v>37</v>
      </c>
      <c r="C8" s="322">
        <f>(C4/C5)*C6</f>
        <v>0.91035046537205133</v>
      </c>
      <c r="D8">
        <f>C8/100</f>
        <v>9.1035046537205136E-3</v>
      </c>
      <c r="H8" s="446"/>
    </row>
    <row r="9" spans="1:8" x14ac:dyDescent="0.2">
      <c r="D9" s="322">
        <f>C7+C8</f>
        <v>3.5400000000000005</v>
      </c>
    </row>
    <row r="10" spans="1:8" x14ac:dyDescent="0.2">
      <c r="A10" s="415" t="s">
        <v>1154</v>
      </c>
    </row>
    <row r="11" spans="1:8" x14ac:dyDescent="0.2">
      <c r="A11" s="415" t="s">
        <v>1150</v>
      </c>
    </row>
    <row r="12" spans="1:8" hidden="1" x14ac:dyDescent="0.2">
      <c r="A12" s="415" t="s">
        <v>1046</v>
      </c>
    </row>
    <row r="13" spans="1:8" hidden="1" x14ac:dyDescent="0.2">
      <c r="A13" s="415" t="s">
        <v>1047</v>
      </c>
    </row>
    <row r="14" spans="1:8" x14ac:dyDescent="0.2">
      <c r="A14" s="415"/>
    </row>
    <row r="15" spans="1:8" x14ac:dyDescent="0.2">
      <c r="A15" s="415"/>
      <c r="B15" s="415"/>
      <c r="C15" s="1689" t="s">
        <v>949</v>
      </c>
      <c r="D15" s="415"/>
      <c r="E15" s="415"/>
      <c r="F15" s="1595">
        <v>7.3000000000000001E-3</v>
      </c>
    </row>
    <row r="16" spans="1:8" x14ac:dyDescent="0.2">
      <c r="A16" s="415"/>
      <c r="B16" s="415"/>
      <c r="C16" s="1689" t="s">
        <v>950</v>
      </c>
      <c r="D16" s="415"/>
      <c r="E16" s="415"/>
      <c r="F16" s="1595">
        <v>1.46E-2</v>
      </c>
    </row>
    <row r="17" spans="1:6" x14ac:dyDescent="0.2">
      <c r="A17" s="415"/>
      <c r="B17" s="415"/>
      <c r="C17" s="415" t="s">
        <v>1045</v>
      </c>
      <c r="D17" s="415"/>
      <c r="E17" s="415"/>
      <c r="F17" s="823"/>
    </row>
    <row r="20" spans="1:6" hidden="1" x14ac:dyDescent="0.2">
      <c r="A20" s="415" t="s">
        <v>983</v>
      </c>
      <c r="B20" s="1451"/>
    </row>
  </sheetData>
  <pageMargins left="0.7" right="0.7" top="0.75" bottom="0.75" header="0.3" footer="0.3"/>
  <pageSetup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10">
    <tabColor theme="9"/>
    <pageSetUpPr fitToPage="1"/>
  </sheetPr>
  <dimension ref="A2:P170"/>
  <sheetViews>
    <sheetView showGridLines="0" topLeftCell="A123" zoomScale="80" zoomScaleNormal="80" workbookViewId="0">
      <selection activeCell="C168" sqref="C168:C170"/>
    </sheetView>
  </sheetViews>
  <sheetFormatPr defaultColWidth="11" defaultRowHeight="12.6" x14ac:dyDescent="0.2"/>
  <cols>
    <col min="1" max="1" width="51.453125" customWidth="1"/>
    <col min="2" max="2" width="18" customWidth="1"/>
    <col min="3" max="3" width="20.08984375" bestFit="1" customWidth="1"/>
    <col min="4" max="4" width="18.90625" bestFit="1" customWidth="1"/>
    <col min="5" max="5" width="19.36328125" customWidth="1"/>
    <col min="6" max="6" width="22" customWidth="1"/>
    <col min="7" max="7" width="20.26953125" customWidth="1"/>
    <col min="8" max="8" width="18.6328125" customWidth="1"/>
    <col min="9" max="9" width="24.36328125" customWidth="1"/>
    <col min="10" max="14" width="16.7265625" bestFit="1" customWidth="1"/>
    <col min="15" max="15" width="18" bestFit="1" customWidth="1"/>
  </cols>
  <sheetData>
    <row r="2" spans="1:14" ht="19.8" x14ac:dyDescent="0.3">
      <c r="A2" s="1676" t="str">
        <f>'Bulk Supply Tariffs'!A2:B2</f>
        <v xml:space="preserve">Bulk Supply Tariff </v>
      </c>
      <c r="B2" s="1676" t="s">
        <v>995</v>
      </c>
    </row>
    <row r="3" spans="1:14" s="27" customFormat="1" ht="16.2" x14ac:dyDescent="0.3">
      <c r="A3" s="3063"/>
      <c r="B3" s="3063"/>
    </row>
    <row r="4" spans="1:14" s="27" customFormat="1" ht="15" customHeight="1" x14ac:dyDescent="0.3">
      <c r="A4" s="3"/>
    </row>
    <row r="5" spans="1:14" ht="17.399999999999999" x14ac:dyDescent="0.3">
      <c r="A5" s="1660" t="s">
        <v>23</v>
      </c>
      <c r="C5" s="2"/>
      <c r="D5" s="2"/>
      <c r="E5" s="2"/>
      <c r="F5" s="2"/>
      <c r="G5" s="2"/>
      <c r="H5" s="2"/>
      <c r="I5" s="398"/>
      <c r="J5" s="398"/>
      <c r="K5" s="398"/>
      <c r="L5" s="398"/>
      <c r="M5" s="398"/>
      <c r="N5" s="398"/>
    </row>
    <row r="6" spans="1:14" ht="17.399999999999999" x14ac:dyDescent="0.3">
      <c r="A6" s="1660"/>
      <c r="C6" s="2"/>
      <c r="D6" s="2"/>
      <c r="E6" s="2"/>
      <c r="F6" s="2"/>
      <c r="G6" s="2"/>
      <c r="H6" s="2"/>
      <c r="I6" s="398"/>
      <c r="J6" s="398"/>
      <c r="K6" s="398"/>
      <c r="L6" s="398"/>
      <c r="M6" s="398"/>
      <c r="N6" s="398"/>
    </row>
    <row r="7" spans="1:14" ht="14.4" thickBot="1" x14ac:dyDescent="0.3">
      <c r="A7" s="1661" t="s">
        <v>984</v>
      </c>
      <c r="B7" s="1662"/>
      <c r="C7" s="2"/>
      <c r="D7" s="2"/>
      <c r="E7" s="2"/>
      <c r="F7" s="2"/>
      <c r="G7" s="2"/>
      <c r="H7" s="2"/>
      <c r="I7" s="398"/>
      <c r="J7" s="398"/>
      <c r="K7" s="398"/>
      <c r="L7" s="398"/>
      <c r="M7" s="398"/>
      <c r="N7" s="398"/>
    </row>
    <row r="8" spans="1:14" ht="36" customHeight="1" thickBot="1" x14ac:dyDescent="0.25">
      <c r="A8" s="745" t="s">
        <v>44</v>
      </c>
      <c r="B8" s="220" t="s">
        <v>36</v>
      </c>
      <c r="C8" s="746">
        <f>'Gen. Capacity 220'!C4</f>
        <v>46023</v>
      </c>
      <c r="D8" s="746">
        <f>'Gen. Capacity 220'!D4</f>
        <v>46054</v>
      </c>
      <c r="E8" s="746">
        <f>'Gen. Capacity 220'!E4</f>
        <v>46082</v>
      </c>
      <c r="F8" s="746">
        <f>'Gen. Capacity 220'!F4</f>
        <v>46113</v>
      </c>
      <c r="G8" s="746">
        <f>'Gen. Capacity 220'!G4</f>
        <v>46143</v>
      </c>
      <c r="H8" s="746">
        <f>'Gen. Capacity 220'!H4</f>
        <v>46174</v>
      </c>
      <c r="I8" s="398"/>
      <c r="J8" s="398"/>
      <c r="K8" s="398"/>
      <c r="L8" s="398"/>
      <c r="M8" s="398"/>
      <c r="N8" s="398"/>
    </row>
    <row r="9" spans="1:14" x14ac:dyDescent="0.2">
      <c r="A9" s="1663" t="s">
        <v>23</v>
      </c>
      <c r="B9" s="1664"/>
      <c r="C9" s="1665"/>
      <c r="D9" s="1665"/>
      <c r="E9" s="1665"/>
      <c r="F9" s="1665"/>
      <c r="G9" s="1665"/>
      <c r="H9" s="1666"/>
      <c r="I9" s="398"/>
      <c r="J9" s="398"/>
      <c r="K9" s="398"/>
      <c r="L9" s="398"/>
      <c r="M9" s="398"/>
      <c r="N9" s="398"/>
    </row>
    <row r="10" spans="1:14" x14ac:dyDescent="0.2">
      <c r="A10" s="16" t="s">
        <v>45</v>
      </c>
      <c r="B10" s="12" t="s">
        <v>42</v>
      </c>
      <c r="C10" s="1077" t="e">
        <f>'Gen. Capacity 33'!C66</f>
        <v>#REF!</v>
      </c>
      <c r="D10" s="1077" t="e">
        <f>'Gen. Capacity 33'!D66</f>
        <v>#REF!</v>
      </c>
      <c r="E10" s="1077" t="e">
        <f>'Gen. Capacity 33'!E66</f>
        <v>#REF!</v>
      </c>
      <c r="F10" s="1077" t="e">
        <f>'Gen. Capacity 33'!F66</f>
        <v>#REF!</v>
      </c>
      <c r="G10" s="1077" t="e">
        <f>'Gen. Capacity 33'!G66</f>
        <v>#REF!</v>
      </c>
      <c r="H10" s="1077" t="e">
        <f>'Gen. Capacity 33'!H66</f>
        <v>#REF!</v>
      </c>
      <c r="I10" s="398"/>
      <c r="J10" s="398"/>
      <c r="K10" s="398"/>
      <c r="L10" s="398"/>
      <c r="M10" s="398"/>
      <c r="N10" s="398"/>
    </row>
    <row r="11" spans="1:14" x14ac:dyDescent="0.2">
      <c r="A11" s="16" t="s">
        <v>46</v>
      </c>
      <c r="B11" s="12" t="s">
        <v>42</v>
      </c>
      <c r="C11" s="1077" t="e">
        <f>'TR &amp; BSS, TLF voltage wise'!C102</f>
        <v>#DIV/0!</v>
      </c>
      <c r="D11" s="1077" t="e">
        <f>'TR &amp; BSS, TLF voltage wise'!D102</f>
        <v>#DIV/0!</v>
      </c>
      <c r="E11" s="1077" t="e">
        <f>'TR &amp; BSS, TLF voltage wise'!E102</f>
        <v>#DIV/0!</v>
      </c>
      <c r="F11" s="1077">
        <f>'TR &amp; BSS, TLF voltage wise'!F102</f>
        <v>798591.42780112487</v>
      </c>
      <c r="G11" s="1077">
        <f>'TR &amp; BSS, TLF voltage wise'!G102</f>
        <v>767263.95051911345</v>
      </c>
      <c r="H11" s="1077">
        <f>'TR &amp; BSS, TLF voltage wise'!H102</f>
        <v>807446.94077352574</v>
      </c>
      <c r="I11" s="398"/>
      <c r="J11" s="398"/>
      <c r="K11" s="398"/>
      <c r="L11" s="398"/>
      <c r="M11" s="398"/>
      <c r="N11" s="398"/>
    </row>
    <row r="12" spans="1:14" x14ac:dyDescent="0.2">
      <c r="A12" s="16" t="s">
        <v>47</v>
      </c>
      <c r="B12" s="12" t="s">
        <v>42</v>
      </c>
      <c r="C12" s="1077" t="e">
        <f>'TR &amp; BSS, TLF voltage wise'!C107</f>
        <v>#DIV/0!</v>
      </c>
      <c r="D12" s="1077" t="e">
        <f>'TR &amp; BSS, TLF voltage wise'!D107</f>
        <v>#DIV/0!</v>
      </c>
      <c r="E12" s="1077" t="e">
        <f>'TR &amp; BSS, TLF voltage wise'!E107</f>
        <v>#DIV/0!</v>
      </c>
      <c r="F12" s="1077">
        <f>'TR &amp; BSS, TLF voltage wise'!F107</f>
        <v>312627.82763977692</v>
      </c>
      <c r="G12" s="1077">
        <f>'TR &amp; BSS, TLF voltage wise'!G107</f>
        <v>299626.55317558657</v>
      </c>
      <c r="H12" s="1077">
        <f>'TR &amp; BSS, TLF voltage wise'!H107</f>
        <v>380967.28797125974</v>
      </c>
      <c r="I12" s="398"/>
      <c r="J12" s="398"/>
      <c r="K12" s="398"/>
      <c r="L12" s="398"/>
      <c r="M12" s="398"/>
      <c r="N12" s="398"/>
    </row>
    <row r="13" spans="1:14" ht="13.2" thickBot="1" x14ac:dyDescent="0.25">
      <c r="A13" s="10" t="s">
        <v>52</v>
      </c>
      <c r="B13" s="32" t="s">
        <v>42</v>
      </c>
      <c r="C13" s="1079" t="e">
        <f t="shared" ref="C13:H13" si="0">+C10+C11+C12</f>
        <v>#REF!</v>
      </c>
      <c r="D13" s="1079" t="e">
        <f t="shared" si="0"/>
        <v>#REF!</v>
      </c>
      <c r="E13" s="1079" t="e">
        <f t="shared" si="0"/>
        <v>#REF!</v>
      </c>
      <c r="F13" s="1079" t="e">
        <f t="shared" si="0"/>
        <v>#REF!</v>
      </c>
      <c r="G13" s="1079" t="e">
        <f t="shared" si="0"/>
        <v>#REF!</v>
      </c>
      <c r="H13" s="1080" t="e">
        <f t="shared" si="0"/>
        <v>#REF!</v>
      </c>
      <c r="I13" s="398"/>
      <c r="J13" s="398"/>
      <c r="K13" s="398"/>
      <c r="L13" s="398"/>
      <c r="M13" s="398"/>
      <c r="N13" s="398"/>
    </row>
    <row r="14" spans="1:14" hidden="1" x14ac:dyDescent="0.2">
      <c r="A14" s="1"/>
      <c r="B14" s="4"/>
      <c r="C14" s="1667">
        <f>'[4]TR &amp; BSS, TLF'!C27</f>
        <v>2323.7134093252698</v>
      </c>
      <c r="D14" s="1667">
        <f>'[4]TR &amp; BSS, TLF'!D27</f>
        <v>2437.3984453723001</v>
      </c>
      <c r="E14" s="1667">
        <f>'[4]TR &amp; BSS, TLF'!E27</f>
        <v>2531.7729656372999</v>
      </c>
      <c r="F14" s="1667">
        <f>'[4]TR &amp; BSS, TLF'!F27</f>
        <v>2372.6083144566201</v>
      </c>
      <c r="G14" s="1667">
        <f>'[4]TR &amp; BSS, TLF'!G27</f>
        <v>2295.1119602578201</v>
      </c>
      <c r="H14" s="1667">
        <f>'[4]TR &amp; BSS, TLF'!H27</f>
        <v>2274.9483306731099</v>
      </c>
      <c r="I14" s="398">
        <f>C14+D14+E14+F14+G14+H14</f>
        <v>14235.553425722421</v>
      </c>
      <c r="J14" s="398"/>
      <c r="K14" s="398"/>
      <c r="L14" s="398"/>
      <c r="M14" s="398"/>
      <c r="N14" s="398"/>
    </row>
    <row r="15" spans="1:14" hidden="1" x14ac:dyDescent="0.2">
      <c r="A15" s="1"/>
      <c r="B15" s="4"/>
      <c r="C15" s="1667" t="e">
        <f t="shared" ref="C15:H15" si="1">C13*C14</f>
        <v>#REF!</v>
      </c>
      <c r="D15" s="1667" t="e">
        <f t="shared" si="1"/>
        <v>#REF!</v>
      </c>
      <c r="E15" s="1667" t="e">
        <f t="shared" si="1"/>
        <v>#REF!</v>
      </c>
      <c r="F15" s="1667" t="e">
        <f t="shared" si="1"/>
        <v>#REF!</v>
      </c>
      <c r="G15" s="1667" t="e">
        <f t="shared" si="1"/>
        <v>#REF!</v>
      </c>
      <c r="H15" s="1667" t="e">
        <f t="shared" si="1"/>
        <v>#REF!</v>
      </c>
      <c r="I15" s="398" t="e">
        <f>C15+D15+E15+F15+G15+H15</f>
        <v>#REF!</v>
      </c>
      <c r="J15" s="398"/>
      <c r="K15" s="398"/>
      <c r="L15" s="398"/>
      <c r="M15" s="398"/>
      <c r="N15" s="398"/>
    </row>
    <row r="16" spans="1:14" hidden="1" x14ac:dyDescent="0.2">
      <c r="A16" s="1"/>
      <c r="B16" s="4"/>
      <c r="C16" s="1667"/>
      <c r="D16" s="1667"/>
      <c r="E16" s="1667"/>
      <c r="F16" s="1667"/>
      <c r="G16" s="1667"/>
      <c r="H16" s="1667"/>
      <c r="I16" s="398" t="e">
        <f>I15/I14</f>
        <v>#REF!</v>
      </c>
      <c r="J16" s="398"/>
      <c r="K16" s="398"/>
      <c r="L16" s="398"/>
      <c r="M16" s="398"/>
      <c r="N16" s="398"/>
    </row>
    <row r="17" spans="1:14" ht="13.2" thickBot="1" x14ac:dyDescent="0.25">
      <c r="C17" s="2"/>
      <c r="D17" s="2"/>
      <c r="E17" s="2"/>
      <c r="F17" s="2"/>
      <c r="G17" s="2"/>
      <c r="H17" s="2"/>
      <c r="I17" s="398"/>
      <c r="J17" s="398"/>
      <c r="K17" s="398"/>
      <c r="L17" s="398"/>
      <c r="M17" s="398"/>
      <c r="N17" s="398"/>
    </row>
    <row r="18" spans="1:14" ht="25.8" thickBot="1" x14ac:dyDescent="0.25">
      <c r="A18" s="96" t="s">
        <v>985</v>
      </c>
      <c r="B18" s="1668" t="s">
        <v>42</v>
      </c>
      <c r="C18" s="1669" t="e">
        <f>+SUMPRODUCT(C13:H13,'TR &amp; BSS, TLF voltage wise'!C27:H27)/SUM('TR &amp; BSS, TLF voltage wise'!C27:H27)</f>
        <v>#REF!</v>
      </c>
      <c r="D18" s="85"/>
      <c r="E18" s="1203"/>
      <c r="G18" s="2"/>
      <c r="H18" s="2"/>
      <c r="I18" s="398"/>
      <c r="J18" s="398"/>
      <c r="K18" s="398"/>
      <c r="L18" s="398"/>
      <c r="M18" s="398"/>
      <c r="N18" s="398"/>
    </row>
    <row r="19" spans="1:14" x14ac:dyDescent="0.2">
      <c r="C19" s="2"/>
      <c r="D19" s="2"/>
      <c r="E19" s="2"/>
      <c r="F19" s="2"/>
      <c r="G19" s="2"/>
      <c r="H19" s="2"/>
      <c r="I19" s="398"/>
      <c r="J19" s="398"/>
      <c r="K19" s="398"/>
      <c r="L19" s="398"/>
      <c r="M19" s="398"/>
      <c r="N19" s="398"/>
    </row>
    <row r="20" spans="1:14" ht="14.4" thickBot="1" x14ac:dyDescent="0.3">
      <c r="A20" s="1661" t="s">
        <v>986</v>
      </c>
      <c r="B20" s="106"/>
      <c r="I20" s="398"/>
      <c r="J20" s="398"/>
      <c r="K20" s="398"/>
      <c r="L20" s="398"/>
      <c r="M20" s="398"/>
      <c r="N20" s="398"/>
    </row>
    <row r="21" spans="1:14" ht="30.75" customHeight="1" thickBot="1" x14ac:dyDescent="0.25">
      <c r="A21" s="94" t="s">
        <v>44</v>
      </c>
      <c r="B21" s="95" t="s">
        <v>36</v>
      </c>
      <c r="C21" s="427">
        <f>C8</f>
        <v>46023</v>
      </c>
      <c r="D21" s="427">
        <f t="shared" ref="D21:H21" si="2">D8</f>
        <v>46054</v>
      </c>
      <c r="E21" s="427">
        <f t="shared" si="2"/>
        <v>46082</v>
      </c>
      <c r="F21" s="427">
        <f t="shared" si="2"/>
        <v>46113</v>
      </c>
      <c r="G21" s="427">
        <f t="shared" si="2"/>
        <v>46143</v>
      </c>
      <c r="H21" s="427">
        <f t="shared" si="2"/>
        <v>46174</v>
      </c>
      <c r="I21" s="398"/>
      <c r="J21" s="398"/>
      <c r="K21" s="398"/>
      <c r="L21" s="398"/>
      <c r="M21" s="398"/>
      <c r="N21" s="398"/>
    </row>
    <row r="22" spans="1:14" x14ac:dyDescent="0.2">
      <c r="A22" s="1663" t="s">
        <v>23</v>
      </c>
      <c r="B22" s="1664"/>
      <c r="C22" s="1665"/>
      <c r="D22" s="1665"/>
      <c r="E22" s="1665"/>
      <c r="F22" s="1665"/>
      <c r="G22" s="1665"/>
      <c r="H22" s="1666"/>
      <c r="I22" s="398"/>
      <c r="J22" s="398"/>
      <c r="K22" s="398"/>
      <c r="L22" s="398"/>
      <c r="M22" s="398"/>
      <c r="N22" s="398"/>
    </row>
    <row r="23" spans="1:14" x14ac:dyDescent="0.2">
      <c r="A23" s="16" t="s">
        <v>45</v>
      </c>
      <c r="B23" s="12" t="s">
        <v>42</v>
      </c>
      <c r="C23" s="1077" t="e">
        <f>'Gen. Capacity 132'!C57</f>
        <v>#REF!</v>
      </c>
      <c r="D23" s="1077" t="e">
        <f>'Gen. Capacity 132'!D57</f>
        <v>#REF!</v>
      </c>
      <c r="E23" s="1077" t="e">
        <f>'Gen. Capacity 132'!E57</f>
        <v>#REF!</v>
      </c>
      <c r="F23" s="1077" t="e">
        <f>'Gen. Capacity 132'!F57</f>
        <v>#REF!</v>
      </c>
      <c r="G23" s="1077" t="e">
        <f>'Gen. Capacity 132'!G57</f>
        <v>#REF!</v>
      </c>
      <c r="H23" s="1077" t="e">
        <f>'Gen. Capacity 132'!H57</f>
        <v>#REF!</v>
      </c>
      <c r="I23" s="398"/>
      <c r="J23" s="398"/>
      <c r="K23" s="398"/>
      <c r="L23" s="398"/>
      <c r="M23" s="398"/>
      <c r="N23" s="398"/>
    </row>
    <row r="24" spans="1:14" x14ac:dyDescent="0.2">
      <c r="A24" s="16" t="s">
        <v>46</v>
      </c>
      <c r="B24" s="12" t="s">
        <v>42</v>
      </c>
      <c r="C24" s="1077" t="e">
        <f>'TR &amp; BSS, TLF voltage wise'!C67</f>
        <v>#DIV/0!</v>
      </c>
      <c r="D24" s="1077" t="e">
        <f>'TR &amp; BSS, TLF voltage wise'!D67</f>
        <v>#DIV/0!</v>
      </c>
      <c r="E24" s="1077" t="e">
        <f>'TR &amp; BSS, TLF voltage wise'!E67</f>
        <v>#DIV/0!</v>
      </c>
      <c r="F24" s="1077">
        <f>'TR &amp; BSS, TLF voltage wise'!F67</f>
        <v>809812.05822748749</v>
      </c>
      <c r="G24" s="1077">
        <f>'TR &amp; BSS, TLF voltage wise'!G67</f>
        <v>778298.99407120317</v>
      </c>
      <c r="H24" s="1077">
        <f>'TR &amp; BSS, TLF voltage wise'!H67</f>
        <v>820570.37379537593</v>
      </c>
      <c r="I24" s="398"/>
      <c r="J24" s="398"/>
      <c r="K24" s="398"/>
      <c r="L24" s="398"/>
      <c r="M24" s="398"/>
      <c r="N24" s="398"/>
    </row>
    <row r="25" spans="1:14" x14ac:dyDescent="0.2">
      <c r="A25" s="16" t="s">
        <v>47</v>
      </c>
      <c r="B25" s="12" t="s">
        <v>42</v>
      </c>
      <c r="C25" s="1077" t="e">
        <f>'TR &amp; BSS, TLF voltage wise'!C72</f>
        <v>#DIV/0!</v>
      </c>
      <c r="D25" s="1077" t="e">
        <f>'TR &amp; BSS, TLF voltage wise'!D72</f>
        <v>#DIV/0!</v>
      </c>
      <c r="E25" s="1077" t="e">
        <f>'TR &amp; BSS, TLF voltage wise'!E72</f>
        <v>#DIV/0!</v>
      </c>
      <c r="F25" s="1077">
        <f>'TR &amp; BSS, TLF voltage wise'!F72</f>
        <v>317020.41337614186</v>
      </c>
      <c r="G25" s="1077">
        <f>'TR &amp; BSS, TLF voltage wise'!G72</f>
        <v>303935.88122549444</v>
      </c>
      <c r="H25" s="1077">
        <f>'TR &amp; BSS, TLF voltage wise'!H72</f>
        <v>387159.14830875408</v>
      </c>
      <c r="I25" s="398"/>
      <c r="J25" s="398"/>
      <c r="K25" s="398"/>
      <c r="L25" s="398"/>
      <c r="M25" s="398"/>
      <c r="N25" s="398"/>
    </row>
    <row r="26" spans="1:14" ht="13.2" thickBot="1" x14ac:dyDescent="0.25">
      <c r="A26" s="10" t="s">
        <v>52</v>
      </c>
      <c r="B26" s="32" t="s">
        <v>42</v>
      </c>
      <c r="C26" s="1079" t="e">
        <f t="shared" ref="C26:H26" si="3">+C23+C24+C25</f>
        <v>#REF!</v>
      </c>
      <c r="D26" s="1079" t="e">
        <f t="shared" si="3"/>
        <v>#REF!</v>
      </c>
      <c r="E26" s="1079" t="e">
        <f t="shared" si="3"/>
        <v>#REF!</v>
      </c>
      <c r="F26" s="1079" t="e">
        <f t="shared" si="3"/>
        <v>#REF!</v>
      </c>
      <c r="G26" s="1079" t="e">
        <f t="shared" si="3"/>
        <v>#REF!</v>
      </c>
      <c r="H26" s="1080" t="e">
        <f t="shared" si="3"/>
        <v>#REF!</v>
      </c>
      <c r="I26" s="398"/>
      <c r="J26" s="398"/>
      <c r="K26" s="398"/>
      <c r="L26" s="398"/>
      <c r="M26" s="398"/>
      <c r="N26" s="398"/>
    </row>
    <row r="27" spans="1:14" ht="13.2" hidden="1" thickBot="1" x14ac:dyDescent="0.25">
      <c r="A27" s="1662"/>
      <c r="B27" s="1670"/>
      <c r="C27" s="1671">
        <f>'[4]TR &amp; BSS, TLF'!C23</f>
        <v>2278.1212428348399</v>
      </c>
      <c r="D27" s="1671">
        <f>'[4]TR &amp; BSS, TLF'!D23</f>
        <v>2387.2653012057999</v>
      </c>
      <c r="E27" s="1671">
        <f>'[4]TR &amp; BSS, TLF'!E23</f>
        <v>2478.7495372139101</v>
      </c>
      <c r="F27" s="1671">
        <f>'[4]TR &amp; BSS, TLF'!F23</f>
        <v>2319.1934660245502</v>
      </c>
      <c r="G27" s="1671">
        <f>'[4]TR &amp; BSS, TLF'!G23</f>
        <v>2267.1779044706</v>
      </c>
      <c r="H27" s="1671">
        <f>'[4]TR &amp; BSS, TLF'!H23</f>
        <v>2266.6060409473598</v>
      </c>
      <c r="I27" s="398">
        <f>C27+D27+E27+F27+G27+H27</f>
        <v>13997.113492697059</v>
      </c>
      <c r="J27" s="398"/>
      <c r="K27" s="398"/>
      <c r="L27" s="398"/>
      <c r="M27" s="398"/>
      <c r="N27" s="398"/>
    </row>
    <row r="28" spans="1:14" ht="13.2" hidden="1" thickBot="1" x14ac:dyDescent="0.25">
      <c r="A28" s="1662"/>
      <c r="B28" s="1670"/>
      <c r="C28" s="1671" t="e">
        <f t="shared" ref="C28:H28" si="4">C26*C27</f>
        <v>#REF!</v>
      </c>
      <c r="D28" s="1671" t="e">
        <f t="shared" si="4"/>
        <v>#REF!</v>
      </c>
      <c r="E28" s="1671" t="e">
        <f t="shared" si="4"/>
        <v>#REF!</v>
      </c>
      <c r="F28" s="1671" t="e">
        <f t="shared" si="4"/>
        <v>#REF!</v>
      </c>
      <c r="G28" s="1671" t="e">
        <f t="shared" si="4"/>
        <v>#REF!</v>
      </c>
      <c r="H28" s="1671" t="e">
        <f t="shared" si="4"/>
        <v>#REF!</v>
      </c>
      <c r="I28" s="398" t="e">
        <f>C28+D28+E28+F28+G28+H28</f>
        <v>#REF!</v>
      </c>
      <c r="J28" s="398"/>
      <c r="K28" s="398"/>
      <c r="L28" s="398"/>
      <c r="M28" s="398"/>
      <c r="N28" s="398"/>
    </row>
    <row r="29" spans="1:14" ht="13.2" hidden="1" thickBot="1" x14ac:dyDescent="0.25">
      <c r="A29" s="1662"/>
      <c r="B29" s="1670"/>
      <c r="C29" s="1671"/>
      <c r="D29" s="1667"/>
      <c r="E29" s="1667"/>
      <c r="F29" s="1667"/>
      <c r="G29" s="1667"/>
      <c r="H29" s="1667"/>
      <c r="I29" s="398" t="e">
        <f>I28/I27</f>
        <v>#REF!</v>
      </c>
      <c r="J29" s="398"/>
      <c r="K29" s="398"/>
      <c r="L29" s="398"/>
      <c r="M29" s="398"/>
      <c r="N29" s="398"/>
    </row>
    <row r="30" spans="1:14" ht="13.2" thickBot="1" x14ac:dyDescent="0.25">
      <c r="A30" s="108"/>
      <c r="B30" s="109"/>
      <c r="C30" s="110"/>
      <c r="D30" s="107"/>
      <c r="E30" s="107"/>
      <c r="F30" s="107"/>
      <c r="G30" s="107"/>
      <c r="H30" s="107"/>
      <c r="I30" s="398"/>
      <c r="J30" s="398"/>
      <c r="K30" s="398"/>
      <c r="L30" s="398"/>
      <c r="M30" s="398"/>
      <c r="N30" s="398"/>
    </row>
    <row r="31" spans="1:14" ht="26.25" customHeight="1" thickBot="1" x14ac:dyDescent="0.25">
      <c r="A31" s="3064" t="s">
        <v>193</v>
      </c>
      <c r="B31" s="97" t="s">
        <v>42</v>
      </c>
      <c r="C31" s="396" t="e">
        <f>+SUMPRODUCT(C26:H26,'TR &amp; BSS, TLF voltage wise'!C23:H23)/SUM('TR &amp; BSS, TLF voltage wise'!C23:H23)</f>
        <v>#REF!</v>
      </c>
      <c r="D31" s="402"/>
      <c r="F31" s="2"/>
      <c r="G31" s="2"/>
      <c r="H31" s="2"/>
      <c r="I31" s="398"/>
      <c r="J31" s="398"/>
      <c r="K31" s="398"/>
      <c r="L31" s="398"/>
      <c r="M31" s="398"/>
      <c r="N31" s="398"/>
    </row>
    <row r="32" spans="1:14" ht="13.2" thickBot="1" x14ac:dyDescent="0.25">
      <c r="A32" s="3065"/>
      <c r="B32" s="1668" t="s">
        <v>721</v>
      </c>
      <c r="C32" s="1672" t="e">
        <f>C31/AVERAGE('tx consumer data'!B14:G14)</f>
        <v>#REF!</v>
      </c>
      <c r="D32" s="1203" t="e">
        <f>C32/1000</f>
        <v>#REF!</v>
      </c>
      <c r="E32" s="1203"/>
      <c r="F32" s="2"/>
      <c r="G32" s="2"/>
      <c r="H32" s="2"/>
      <c r="I32" s="398"/>
      <c r="J32" s="398"/>
      <c r="K32" s="398"/>
      <c r="L32" s="398"/>
      <c r="M32" s="398"/>
      <c r="N32" s="398"/>
    </row>
    <row r="33" spans="1:16" x14ac:dyDescent="0.2">
      <c r="C33" s="2"/>
      <c r="D33" s="562"/>
      <c r="E33" s="2"/>
      <c r="F33" s="2"/>
      <c r="G33" s="2"/>
      <c r="H33" s="2"/>
      <c r="I33" s="398"/>
      <c r="J33" s="398"/>
      <c r="K33" s="398"/>
      <c r="L33" s="398"/>
      <c r="M33" s="398"/>
      <c r="N33" s="398"/>
    </row>
    <row r="34" spans="1:16" ht="19.5" customHeight="1" thickBot="1" x14ac:dyDescent="0.3">
      <c r="A34" s="1083" t="s">
        <v>987</v>
      </c>
    </row>
    <row r="35" spans="1:16" ht="30" customHeight="1" x14ac:dyDescent="0.2">
      <c r="A35" s="94" t="s">
        <v>44</v>
      </c>
      <c r="B35" s="95" t="s">
        <v>36</v>
      </c>
      <c r="C35" s="427">
        <f>C21</f>
        <v>46023</v>
      </c>
      <c r="D35" s="427">
        <f t="shared" ref="D35:H35" si="5">D21</f>
        <v>46054</v>
      </c>
      <c r="E35" s="427">
        <f t="shared" si="5"/>
        <v>46082</v>
      </c>
      <c r="F35" s="427">
        <f t="shared" si="5"/>
        <v>46113</v>
      </c>
      <c r="G35" s="427">
        <f t="shared" si="5"/>
        <v>46143</v>
      </c>
      <c r="H35" s="427">
        <f t="shared" si="5"/>
        <v>46174</v>
      </c>
    </row>
    <row r="36" spans="1:16" x14ac:dyDescent="0.2">
      <c r="A36" s="14" t="s">
        <v>23</v>
      </c>
      <c r="B36" s="476"/>
      <c r="C36" s="418"/>
      <c r="D36" s="418"/>
      <c r="E36" s="418"/>
      <c r="F36" s="418"/>
      <c r="G36" s="418"/>
      <c r="H36" s="479"/>
    </row>
    <row r="37" spans="1:16" x14ac:dyDescent="0.2">
      <c r="A37" s="1076" t="s">
        <v>45</v>
      </c>
      <c r="B37" s="418" t="s">
        <v>42</v>
      </c>
      <c r="C37" s="1077" t="e">
        <f>'Gen. Capacity 220'!C51</f>
        <v>#REF!</v>
      </c>
      <c r="D37" s="1077" t="e">
        <f>'Gen. Capacity 220'!D51</f>
        <v>#REF!</v>
      </c>
      <c r="E37" s="1077" t="e">
        <f>'Gen. Capacity 220'!E51</f>
        <v>#REF!</v>
      </c>
      <c r="F37" s="1077" t="e">
        <f>'Gen. Capacity 220'!F51</f>
        <v>#REF!</v>
      </c>
      <c r="G37" s="1077" t="e">
        <f>'Gen. Capacity 220'!G51</f>
        <v>#REF!</v>
      </c>
      <c r="H37" s="1077" t="e">
        <f>'Gen. Capacity 220'!H51</f>
        <v>#REF!</v>
      </c>
      <c r="I37" s="402"/>
      <c r="J37" s="402"/>
      <c r="K37" s="402"/>
    </row>
    <row r="38" spans="1:16" x14ac:dyDescent="0.2">
      <c r="A38" s="1076" t="s">
        <v>46</v>
      </c>
      <c r="B38" s="418" t="s">
        <v>42</v>
      </c>
      <c r="C38" s="1077" t="e">
        <f>'TR &amp; BSS, TLF voltage wise'!C35</f>
        <v>#DIV/0!</v>
      </c>
      <c r="D38" s="1077" t="e">
        <f>'TR &amp; BSS, TLF voltage wise'!D35</f>
        <v>#DIV/0!</v>
      </c>
      <c r="E38" s="1077" t="e">
        <f>'TR &amp; BSS, TLF voltage wise'!E35</f>
        <v>#DIV/0!</v>
      </c>
      <c r="F38" s="1077">
        <f>'TR &amp; BSS, TLF voltage wise'!F35</f>
        <v>268305.36446887185</v>
      </c>
      <c r="G38" s="1077">
        <f>'TR &amp; BSS, TLF voltage wise'!G35</f>
        <v>266787.30029795697</v>
      </c>
      <c r="H38" s="1077">
        <f>'TR &amp; BSS, TLF voltage wise'!H35</f>
        <v>283582.00942559208</v>
      </c>
      <c r="I38" s="402"/>
      <c r="J38" s="402"/>
      <c r="K38" s="402"/>
    </row>
    <row r="39" spans="1:16" x14ac:dyDescent="0.2">
      <c r="A39" s="1076" t="s">
        <v>47</v>
      </c>
      <c r="B39" s="418" t="s">
        <v>42</v>
      </c>
      <c r="C39" s="1077" t="e">
        <f>'TR &amp; BSS, TLF voltage wise'!C38</f>
        <v>#DIV/0!</v>
      </c>
      <c r="D39" s="1077" t="e">
        <f>'TR &amp; BSS, TLF voltage wise'!D38</f>
        <v>#DIV/0!</v>
      </c>
      <c r="E39" s="1077" t="e">
        <f>'TR &amp; BSS, TLF voltage wise'!E38</f>
        <v>#DIV/0!</v>
      </c>
      <c r="F39" s="1077">
        <f>'TR &amp; BSS, TLF voltage wise'!F38</f>
        <v>105034.59005183658</v>
      </c>
      <c r="G39" s="1077">
        <f>'TR &amp; BSS, TLF voltage wise'!G38</f>
        <v>104183.91111065983</v>
      </c>
      <c r="H39" s="1077">
        <f>'TR &amp; BSS, TLF voltage wise'!H38</f>
        <v>133798.8462063045</v>
      </c>
      <c r="I39" s="402"/>
      <c r="J39" s="402"/>
      <c r="K39" s="402"/>
    </row>
    <row r="40" spans="1:16" ht="13.2" thickBot="1" x14ac:dyDescent="0.25">
      <c r="A40" s="10" t="s">
        <v>52</v>
      </c>
      <c r="B40" s="32" t="s">
        <v>42</v>
      </c>
      <c r="C40" s="1079" t="e">
        <f t="shared" ref="C40:H40" si="6">+C37+C38+C39</f>
        <v>#REF!</v>
      </c>
      <c r="D40" s="1079" t="e">
        <f t="shared" si="6"/>
        <v>#REF!</v>
      </c>
      <c r="E40" s="1079" t="e">
        <f t="shared" si="6"/>
        <v>#REF!</v>
      </c>
      <c r="F40" s="1079" t="e">
        <f t="shared" si="6"/>
        <v>#REF!</v>
      </c>
      <c r="G40" s="1079" t="e">
        <f t="shared" si="6"/>
        <v>#REF!</v>
      </c>
      <c r="H40" s="1080" t="e">
        <f t="shared" si="6"/>
        <v>#REF!</v>
      </c>
      <c r="I40" s="397"/>
      <c r="J40" s="397"/>
      <c r="K40" s="397"/>
      <c r="L40" s="397"/>
      <c r="M40" s="397"/>
      <c r="N40" s="397"/>
      <c r="O40" s="397"/>
      <c r="P40" s="397"/>
    </row>
    <row r="41" spans="1:16" ht="13.2" hidden="1" thickBot="1" x14ac:dyDescent="0.25">
      <c r="A41" s="1662"/>
      <c r="B41" s="1670"/>
      <c r="C41" s="1671">
        <f>'[4]TR &amp; BSS, TLF'!C17</f>
        <v>1599.83196835233</v>
      </c>
      <c r="D41" s="1671">
        <f>'[4]TR &amp; BSS, TLF'!D17</f>
        <v>1816.2283691289499</v>
      </c>
      <c r="E41" s="1671">
        <f>'[4]TR &amp; BSS, TLF'!E17</f>
        <v>1898.6825800311301</v>
      </c>
      <c r="F41" s="1671">
        <f>'[4]TR &amp; BSS, TLF'!F17</f>
        <v>1762.1945224713299</v>
      </c>
      <c r="G41" s="1671">
        <f>'[4]TR &amp; BSS, TLF'!G17</f>
        <v>1736.52058837803</v>
      </c>
      <c r="H41" s="1671">
        <f>'[4]TR &amp; BSS, TLF'!H17</f>
        <v>1766.90615313271</v>
      </c>
      <c r="I41" s="398">
        <f>C41+D41+E41+F41+G41+H41</f>
        <v>10580.364181494479</v>
      </c>
      <c r="J41" s="397"/>
      <c r="K41" s="397"/>
      <c r="L41" s="397"/>
      <c r="M41" s="397"/>
      <c r="N41" s="397"/>
      <c r="O41" s="397"/>
      <c r="P41" s="397"/>
    </row>
    <row r="42" spans="1:16" ht="13.2" hidden="1" thickBot="1" x14ac:dyDescent="0.25">
      <c r="A42" s="1662"/>
      <c r="B42" s="1670"/>
      <c r="C42" s="1671" t="e">
        <f t="shared" ref="C42:H42" si="7">C40*C41</f>
        <v>#REF!</v>
      </c>
      <c r="D42" s="1671" t="e">
        <f t="shared" si="7"/>
        <v>#REF!</v>
      </c>
      <c r="E42" s="1671" t="e">
        <f t="shared" si="7"/>
        <v>#REF!</v>
      </c>
      <c r="F42" s="1671" t="e">
        <f t="shared" si="7"/>
        <v>#REF!</v>
      </c>
      <c r="G42" s="1671" t="e">
        <f t="shared" si="7"/>
        <v>#REF!</v>
      </c>
      <c r="H42" s="1671" t="e">
        <f t="shared" si="7"/>
        <v>#REF!</v>
      </c>
      <c r="I42" s="398" t="e">
        <f>C42+D42+E42+F42+G42+H42</f>
        <v>#REF!</v>
      </c>
      <c r="J42" s="397"/>
      <c r="K42" s="397"/>
      <c r="L42" s="397"/>
      <c r="M42" s="397"/>
      <c r="N42" s="397"/>
      <c r="O42" s="397"/>
      <c r="P42" s="397"/>
    </row>
    <row r="43" spans="1:16" ht="13.2" hidden="1" thickBot="1" x14ac:dyDescent="0.25">
      <c r="A43" s="1662"/>
      <c r="B43" s="1670"/>
      <c r="C43" s="1671"/>
      <c r="D43" s="1667"/>
      <c r="E43" s="1667"/>
      <c r="F43" s="1667"/>
      <c r="G43" s="1667"/>
      <c r="H43" s="1667"/>
      <c r="I43" s="398" t="e">
        <f>I42/I41</f>
        <v>#REF!</v>
      </c>
      <c r="J43" s="397"/>
      <c r="K43" s="397"/>
      <c r="L43" s="397"/>
      <c r="M43" s="397"/>
      <c r="N43" s="397"/>
      <c r="O43" s="397"/>
      <c r="P43" s="397"/>
    </row>
    <row r="44" spans="1:16" ht="13.2" hidden="1" thickBot="1" x14ac:dyDescent="0.25">
      <c r="A44" s="1662"/>
      <c r="B44" s="1670"/>
      <c r="C44" s="1671"/>
      <c r="D44" s="1667"/>
      <c r="E44" s="1667"/>
      <c r="F44" s="1667"/>
      <c r="G44" s="1667"/>
      <c r="H44" s="1667"/>
      <c r="I44" s="397"/>
      <c r="J44" s="397"/>
      <c r="K44" s="397"/>
      <c r="L44" s="397"/>
      <c r="M44" s="397"/>
      <c r="N44" s="397"/>
      <c r="O44" s="397"/>
      <c r="P44" s="397"/>
    </row>
    <row r="45" spans="1:16" ht="13.2" thickBot="1" x14ac:dyDescent="0.25">
      <c r="A45" s="108"/>
      <c r="B45" s="109"/>
      <c r="C45" s="110"/>
      <c r="D45" s="107"/>
      <c r="E45" s="107"/>
      <c r="F45" s="107"/>
      <c r="G45" s="107"/>
      <c r="H45" s="107"/>
      <c r="I45" s="398"/>
      <c r="J45" s="398"/>
      <c r="K45" s="398"/>
    </row>
    <row r="46" spans="1:16" ht="26.25" customHeight="1" thickBot="1" x14ac:dyDescent="0.25">
      <c r="A46" s="3064" t="s">
        <v>193</v>
      </c>
      <c r="B46" s="97" t="s">
        <v>42</v>
      </c>
      <c r="C46" s="396" t="e">
        <f>+SUMPRODUCT(C40:H40,'TR &amp; BSS, TLF voltage wise'!C17:H17)/SUM('TR &amp; BSS, TLF voltage wise'!C17:H17)</f>
        <v>#REF!</v>
      </c>
      <c r="D46" s="1327"/>
      <c r="F46" s="2"/>
      <c r="G46" s="2"/>
      <c r="H46" s="2"/>
      <c r="I46" s="398"/>
      <c r="J46" s="398"/>
      <c r="K46" s="398"/>
      <c r="L46" s="398"/>
      <c r="M46" s="398"/>
      <c r="N46" s="398"/>
    </row>
    <row r="47" spans="1:16" ht="13.2" thickBot="1" x14ac:dyDescent="0.25">
      <c r="A47" s="3065"/>
      <c r="B47" s="1668" t="s">
        <v>721</v>
      </c>
      <c r="C47" s="1672" t="e">
        <f>C46/AVERAGE('tx consumer data'!B13:G13)</f>
        <v>#REF!</v>
      </c>
      <c r="D47" s="1203" t="e">
        <f>C47/1000</f>
        <v>#REF!</v>
      </c>
      <c r="E47" s="1203"/>
      <c r="F47" s="2"/>
      <c r="G47" s="2"/>
      <c r="H47" s="2"/>
      <c r="I47" s="398"/>
      <c r="J47" s="398"/>
      <c r="K47" s="398"/>
      <c r="L47" s="398"/>
      <c r="M47" s="398"/>
      <c r="N47" s="398"/>
    </row>
    <row r="48" spans="1:16" x14ac:dyDescent="0.2">
      <c r="C48" s="2"/>
      <c r="D48" s="2"/>
      <c r="E48" s="2"/>
      <c r="F48" s="2"/>
      <c r="G48" s="2"/>
      <c r="H48" s="2"/>
      <c r="I48" s="398"/>
      <c r="J48" s="398"/>
      <c r="K48" s="398"/>
      <c r="L48" s="398"/>
      <c r="M48" s="398"/>
      <c r="N48" s="398"/>
    </row>
    <row r="49" spans="1:14" x14ac:dyDescent="0.2">
      <c r="C49" s="2"/>
      <c r="D49" s="2"/>
      <c r="E49" s="2"/>
      <c r="F49" s="2"/>
      <c r="G49" s="2"/>
      <c r="H49" s="2"/>
      <c r="I49" s="398"/>
      <c r="J49" s="398"/>
      <c r="K49" s="398"/>
      <c r="L49" s="398"/>
      <c r="M49" s="398"/>
      <c r="N49" s="398"/>
    </row>
    <row r="50" spans="1:14" ht="17.399999999999999" x14ac:dyDescent="0.3">
      <c r="A50" s="1673" t="s">
        <v>988</v>
      </c>
      <c r="C50" s="2"/>
      <c r="D50" s="2"/>
      <c r="E50" s="2"/>
      <c r="F50" s="2"/>
      <c r="G50" s="2"/>
      <c r="H50" s="2"/>
      <c r="I50" s="398"/>
      <c r="J50" s="398"/>
      <c r="K50" s="398"/>
      <c r="L50" s="398"/>
      <c r="M50" s="398"/>
      <c r="N50" s="398"/>
    </row>
    <row r="51" spans="1:14" ht="16.2" hidden="1" x14ac:dyDescent="0.3">
      <c r="A51" s="1674" t="s">
        <v>989</v>
      </c>
      <c r="C51" s="2"/>
      <c r="D51" s="2"/>
      <c r="E51" s="2"/>
      <c r="F51" s="2"/>
      <c r="G51" s="2"/>
      <c r="H51" s="2"/>
      <c r="I51" s="398"/>
      <c r="J51" s="398"/>
      <c r="K51" s="398"/>
      <c r="L51" s="398"/>
      <c r="M51" s="398"/>
      <c r="N51" s="398"/>
    </row>
    <row r="52" spans="1:14" hidden="1" x14ac:dyDescent="0.2">
      <c r="C52" s="2"/>
      <c r="D52" s="2"/>
      <c r="E52" s="2"/>
      <c r="F52" s="2"/>
      <c r="G52" s="2"/>
      <c r="H52" s="2"/>
      <c r="I52" s="398"/>
      <c r="J52" s="398"/>
      <c r="K52" s="398"/>
      <c r="L52" s="398"/>
      <c r="M52" s="398"/>
      <c r="N52" s="398"/>
    </row>
    <row r="53" spans="1:14" ht="13.2" hidden="1" thickBot="1" x14ac:dyDescent="0.25">
      <c r="A53" s="105" t="s">
        <v>990</v>
      </c>
      <c r="B53" s="106"/>
      <c r="C53" s="52"/>
      <c r="D53" s="52"/>
      <c r="E53" s="52"/>
      <c r="F53" s="52"/>
      <c r="G53" s="52"/>
      <c r="H53" s="52"/>
      <c r="I53" s="398"/>
      <c r="J53" s="398"/>
      <c r="K53" s="398"/>
      <c r="L53" s="398"/>
      <c r="M53" s="398"/>
      <c r="N53" s="398"/>
    </row>
    <row r="54" spans="1:14" ht="30" hidden="1" customHeight="1" x14ac:dyDescent="0.2">
      <c r="A54" s="94" t="s">
        <v>44</v>
      </c>
      <c r="B54" s="95" t="s">
        <v>36</v>
      </c>
      <c r="C54" s="427">
        <f t="shared" ref="C54:H54" si="8">C35</f>
        <v>46023</v>
      </c>
      <c r="D54" s="427"/>
      <c r="E54" s="427">
        <f t="shared" si="8"/>
        <v>46082</v>
      </c>
      <c r="F54" s="427">
        <f t="shared" si="8"/>
        <v>46113</v>
      </c>
      <c r="G54" s="427">
        <f t="shared" si="8"/>
        <v>46143</v>
      </c>
      <c r="H54" s="427">
        <f t="shared" si="8"/>
        <v>46174</v>
      </c>
    </row>
    <row r="55" spans="1:14" hidden="1" x14ac:dyDescent="0.2">
      <c r="A55" s="17"/>
      <c r="B55" s="8"/>
      <c r="C55" s="12"/>
      <c r="D55" s="12"/>
      <c r="E55" s="12"/>
      <c r="F55" s="12"/>
      <c r="G55" s="12"/>
      <c r="H55" s="15"/>
    </row>
    <row r="56" spans="1:14" hidden="1" x14ac:dyDescent="0.2">
      <c r="A56" s="17" t="s">
        <v>603</v>
      </c>
      <c r="B56" s="8"/>
      <c r="C56" s="12"/>
      <c r="D56" s="12"/>
      <c r="E56" s="12"/>
      <c r="F56" s="12"/>
      <c r="G56" s="12"/>
      <c r="H56" s="15"/>
    </row>
    <row r="57" spans="1:14" hidden="1" x14ac:dyDescent="0.2">
      <c r="A57" s="16" t="s">
        <v>48</v>
      </c>
      <c r="B57" s="12" t="s">
        <v>37</v>
      </c>
      <c r="C57" s="1675">
        <f>'[4]TR &amp; BSS, TLF'!C140</f>
        <v>0</v>
      </c>
      <c r="D57" s="18"/>
      <c r="E57" s="18">
        <f>'[4]TR &amp; BSS, TLF'!E140</f>
        <v>0</v>
      </c>
      <c r="F57" s="18">
        <f>'[4]TR &amp; BSS, TLF'!F140</f>
        <v>0</v>
      </c>
      <c r="G57" s="18">
        <f>'[4]TR &amp; BSS, TLF'!G140</f>
        <v>0</v>
      </c>
      <c r="H57" s="19">
        <f>'[4]TR &amp; BSS, TLF'!H140</f>
        <v>0</v>
      </c>
    </row>
    <row r="58" spans="1:14" hidden="1" x14ac:dyDescent="0.2">
      <c r="A58" s="16" t="s">
        <v>194</v>
      </c>
      <c r="B58" s="12" t="s">
        <v>88</v>
      </c>
      <c r="C58" s="702">
        <f>'[4]Gen. Energy Cost'!E10</f>
        <v>12.2194462035571</v>
      </c>
      <c r="D58" s="702"/>
      <c r="E58" s="702">
        <f>'[4]Gen. Energy Cost'!Q10</f>
        <v>14.4563472393439</v>
      </c>
      <c r="F58" s="702">
        <f>'[4]Gen. Energy Cost'!W10</f>
        <v>14.1330496045882</v>
      </c>
      <c r="G58" s="702">
        <f>'[4]Gen. Energy Cost'!AC10</f>
        <v>12.2712774547464</v>
      </c>
      <c r="H58" s="703">
        <f>'[4]Gen. Energy Cost'!AI10</f>
        <v>11.6494474471553</v>
      </c>
    </row>
    <row r="59" spans="1:14" hidden="1" x14ac:dyDescent="0.2">
      <c r="A59" s="14" t="s">
        <v>49</v>
      </c>
      <c r="B59" s="31" t="s">
        <v>88</v>
      </c>
      <c r="C59" s="704">
        <f t="shared" ref="C59:H59" si="9">+(1+C57)*C58</f>
        <v>12.2194462035571</v>
      </c>
      <c r="D59" s="704"/>
      <c r="E59" s="704">
        <f t="shared" si="9"/>
        <v>14.4563472393439</v>
      </c>
      <c r="F59" s="704">
        <f t="shared" si="9"/>
        <v>14.1330496045882</v>
      </c>
      <c r="G59" s="704">
        <f t="shared" si="9"/>
        <v>12.2712774547464</v>
      </c>
      <c r="H59" s="705">
        <f t="shared" si="9"/>
        <v>11.6494474471553</v>
      </c>
    </row>
    <row r="60" spans="1:14" hidden="1" x14ac:dyDescent="0.2">
      <c r="A60" s="6"/>
      <c r="B60" s="8"/>
      <c r="C60" s="702"/>
      <c r="D60" s="702"/>
      <c r="E60" s="702"/>
      <c r="F60" s="702"/>
      <c r="G60" s="702"/>
      <c r="H60" s="703"/>
    </row>
    <row r="61" spans="1:14" hidden="1" x14ac:dyDescent="0.2">
      <c r="A61" s="17" t="s">
        <v>32</v>
      </c>
      <c r="B61" s="8"/>
      <c r="C61" s="702"/>
      <c r="D61" s="702"/>
      <c r="E61" s="702"/>
      <c r="F61" s="702"/>
      <c r="G61" s="702"/>
      <c r="H61" s="703"/>
    </row>
    <row r="62" spans="1:14" hidden="1" x14ac:dyDescent="0.2">
      <c r="A62" s="16" t="s">
        <v>195</v>
      </c>
      <c r="B62" s="12" t="s">
        <v>37</v>
      </c>
      <c r="C62" s="751">
        <f>'[4]TR &amp; BSS, TLF'!C146</f>
        <v>0</v>
      </c>
      <c r="D62" s="751"/>
      <c r="E62" s="751">
        <f>'[4]TR &amp; BSS, TLF'!E146</f>
        <v>0</v>
      </c>
      <c r="F62" s="751">
        <f>'[4]TR &amp; BSS, TLF'!F146</f>
        <v>0</v>
      </c>
      <c r="G62" s="751">
        <f>'[4]TR &amp; BSS, TLF'!G146</f>
        <v>0</v>
      </c>
      <c r="H62" s="752">
        <f>'[4]TR &amp; BSS, TLF'!H146</f>
        <v>0</v>
      </c>
    </row>
    <row r="63" spans="1:14" hidden="1" x14ac:dyDescent="0.2">
      <c r="A63" s="16" t="s">
        <v>196</v>
      </c>
      <c r="B63" s="12" t="s">
        <v>88</v>
      </c>
      <c r="C63" s="702">
        <f>'[4]Gen. Energy Cost'!E11</f>
        <v>15.885280064624199</v>
      </c>
      <c r="D63" s="702"/>
      <c r="E63" s="702">
        <f>'[4]Gen. Energy Cost'!Q11</f>
        <v>18.7932514111471</v>
      </c>
      <c r="F63" s="702">
        <f>'[4]Gen. Energy Cost'!W11</f>
        <v>18.372964485964602</v>
      </c>
      <c r="G63" s="702">
        <f>'[4]Gen. Energy Cost'!AC11</f>
        <v>15.9526606911703</v>
      </c>
      <c r="H63" s="703">
        <f>'[4]Gen. Energy Cost'!AI11</f>
        <v>15.1442816813019</v>
      </c>
    </row>
    <row r="64" spans="1:14" hidden="1" x14ac:dyDescent="0.2">
      <c r="A64" s="14" t="s">
        <v>50</v>
      </c>
      <c r="B64" s="31" t="s">
        <v>88</v>
      </c>
      <c r="C64" s="704">
        <f t="shared" ref="C64:H64" si="10">+(1+C62)*C63</f>
        <v>15.885280064624199</v>
      </c>
      <c r="D64" s="704"/>
      <c r="E64" s="704">
        <f t="shared" si="10"/>
        <v>18.7932514111471</v>
      </c>
      <c r="F64" s="704">
        <f t="shared" si="10"/>
        <v>18.372964485964602</v>
      </c>
      <c r="G64" s="704">
        <f t="shared" si="10"/>
        <v>15.9526606911703</v>
      </c>
      <c r="H64" s="705">
        <f t="shared" si="10"/>
        <v>15.1442816813019</v>
      </c>
    </row>
    <row r="65" spans="1:8" hidden="1" x14ac:dyDescent="0.2">
      <c r="A65" s="6"/>
      <c r="B65" s="8"/>
      <c r="C65" s="702"/>
      <c r="D65" s="702"/>
      <c r="E65" s="702"/>
      <c r="F65" s="702"/>
      <c r="G65" s="702"/>
      <c r="H65" s="703"/>
    </row>
    <row r="66" spans="1:8" hidden="1" x14ac:dyDescent="0.2">
      <c r="A66" s="17" t="s">
        <v>33</v>
      </c>
      <c r="B66" s="8"/>
      <c r="C66" s="702"/>
      <c r="D66" s="702"/>
      <c r="E66" s="702"/>
      <c r="F66" s="702"/>
      <c r="G66" s="702"/>
      <c r="H66" s="703"/>
    </row>
    <row r="67" spans="1:8" hidden="1" x14ac:dyDescent="0.2">
      <c r="A67" s="16" t="s">
        <v>197</v>
      </c>
      <c r="B67" s="12" t="s">
        <v>37</v>
      </c>
      <c r="C67" s="751">
        <f>'[4]TR &amp; BSS, TLF'!C152</f>
        <v>0</v>
      </c>
      <c r="D67" s="751"/>
      <c r="E67" s="751">
        <f>'[4]TR &amp; BSS, TLF'!E152</f>
        <v>0</v>
      </c>
      <c r="F67" s="751">
        <f>'[4]TR &amp; BSS, TLF'!F152</f>
        <v>0</v>
      </c>
      <c r="G67" s="751">
        <f>'[4]TR &amp; BSS, TLF'!G152</f>
        <v>0</v>
      </c>
      <c r="H67" s="752">
        <f>'[4]TR &amp; BSS, TLF'!H152</f>
        <v>0</v>
      </c>
    </row>
    <row r="68" spans="1:8" hidden="1" x14ac:dyDescent="0.2">
      <c r="A68" s="16" t="s">
        <v>198</v>
      </c>
      <c r="B68" s="12" t="s">
        <v>88</v>
      </c>
      <c r="C68" s="702">
        <f>'[4]Gen. Energy Cost'!E12</f>
        <v>7.3316677221342603</v>
      </c>
      <c r="D68" s="702"/>
      <c r="E68" s="702">
        <f>'[4]Gen. Energy Cost'!Q12</f>
        <v>8.6738083436063391</v>
      </c>
      <c r="F68" s="702">
        <f>'[4]Gen. Energy Cost'!W12</f>
        <v>8.4798297627528996</v>
      </c>
      <c r="G68" s="702">
        <f>'[4]Gen. Energy Cost'!AC12</f>
        <v>7.3627664728478104</v>
      </c>
      <c r="H68" s="703">
        <f>'[4]Gen. Energy Cost'!AI12</f>
        <v>6.9896684682931802</v>
      </c>
    </row>
    <row r="69" spans="1:8" ht="13.2" hidden="1" thickBot="1" x14ac:dyDescent="0.25">
      <c r="A69" s="10" t="s">
        <v>51</v>
      </c>
      <c r="B69" s="32" t="s">
        <v>88</v>
      </c>
      <c r="C69" s="706">
        <f t="shared" ref="C69:H69" si="11">+(1+C67)*C68</f>
        <v>7.3316677221342603</v>
      </c>
      <c r="D69" s="706"/>
      <c r="E69" s="706">
        <f t="shared" si="11"/>
        <v>8.6738083436063391</v>
      </c>
      <c r="F69" s="706">
        <f t="shared" si="11"/>
        <v>8.4798297627528996</v>
      </c>
      <c r="G69" s="706">
        <f t="shared" si="11"/>
        <v>7.3627664728478104</v>
      </c>
      <c r="H69" s="707">
        <f t="shared" si="11"/>
        <v>6.9896684682931802</v>
      </c>
    </row>
    <row r="70" spans="1:8" hidden="1" x14ac:dyDescent="0.2"/>
    <row r="71" spans="1:8" ht="25.2" hidden="1" x14ac:dyDescent="0.2">
      <c r="A71" s="339" t="s">
        <v>199</v>
      </c>
      <c r="B71" s="340" t="s">
        <v>88</v>
      </c>
      <c r="C71" s="393">
        <f>SUMPRODUCT(C59:H59,'[4]TR &amp; BSS, TLF'!C139:H139)/SUM('[4]TR &amp; BSS, TLF'!C139:H139)</f>
        <v>10.968483237248103</v>
      </c>
      <c r="D71" s="331"/>
      <c r="E71" s="165"/>
      <c r="F71" s="345" t="s">
        <v>602</v>
      </c>
      <c r="G71" s="165"/>
    </row>
    <row r="72" spans="1:8" ht="25.2" hidden="1" x14ac:dyDescent="0.2">
      <c r="A72" s="341" t="s">
        <v>200</v>
      </c>
      <c r="B72" s="342" t="s">
        <v>88</v>
      </c>
      <c r="C72" s="394">
        <f>SUMPRODUCT(C64:H64,'[4]TR &amp; BSS, TLF'!C145:H145)/SUM('[4]TR &amp; BSS, TLF'!C145:H145)</f>
        <v>14.259028208422526</v>
      </c>
      <c r="D72" s="331"/>
      <c r="E72" s="165"/>
      <c r="F72" s="346" t="s">
        <v>601</v>
      </c>
      <c r="G72" s="165"/>
    </row>
    <row r="73" spans="1:8" ht="25.8" hidden="1" thickBot="1" x14ac:dyDescent="0.25">
      <c r="A73" s="343" t="s">
        <v>201</v>
      </c>
      <c r="B73" s="344" t="s">
        <v>88</v>
      </c>
      <c r="C73" s="395">
        <f>SUMPRODUCT(C69:H69,'[4]TR &amp; BSS, TLF'!C151:H151)/SUM('[4]TR &amp; BSS, TLF'!C151:H151)</f>
        <v>6.5810899423488545</v>
      </c>
      <c r="D73" s="331"/>
      <c r="E73" s="165"/>
      <c r="G73" s="165"/>
      <c r="H73" s="70"/>
    </row>
    <row r="74" spans="1:8" hidden="1" x14ac:dyDescent="0.2">
      <c r="D74" s="165"/>
    </row>
    <row r="75" spans="1:8" hidden="1" x14ac:dyDescent="0.2">
      <c r="D75" s="165"/>
    </row>
    <row r="76" spans="1:8" ht="26.25" hidden="1" customHeight="1" thickBot="1" x14ac:dyDescent="0.25">
      <c r="A76" s="1" t="s">
        <v>991</v>
      </c>
    </row>
    <row r="77" spans="1:8" ht="25.2" hidden="1" x14ac:dyDescent="0.2">
      <c r="A77" s="339" t="s">
        <v>199</v>
      </c>
      <c r="B77" s="340" t="s">
        <v>88</v>
      </c>
      <c r="C77" s="393">
        <f>'[4]energy cost calc'!E12</f>
        <v>12.838471152893501</v>
      </c>
      <c r="D77" s="165"/>
    </row>
    <row r="78" spans="1:8" ht="25.2" hidden="1" x14ac:dyDescent="0.2">
      <c r="A78" s="341" t="s">
        <v>200</v>
      </c>
      <c r="B78" s="342" t="s">
        <v>88</v>
      </c>
      <c r="C78" s="394">
        <f>'[4]energy cost calc'!E13</f>
        <v>16.846442372710001</v>
      </c>
      <c r="D78" s="165"/>
    </row>
    <row r="79" spans="1:8" ht="25.8" hidden="1" thickBot="1" x14ac:dyDescent="0.25">
      <c r="A79" s="343" t="s">
        <v>201</v>
      </c>
      <c r="B79" s="344" t="s">
        <v>88</v>
      </c>
      <c r="C79" s="395">
        <f>'[4]energy cost calc'!E14</f>
        <v>7.7525940167199199</v>
      </c>
      <c r="D79" s="165"/>
    </row>
    <row r="80" spans="1:8" ht="14.25" hidden="1" customHeight="1" x14ac:dyDescent="0.2"/>
    <row r="81" spans="1:8" ht="14.25" hidden="1" customHeight="1" x14ac:dyDescent="0.2"/>
    <row r="82" spans="1:8" ht="14.25" hidden="1" customHeight="1" thickBot="1" x14ac:dyDescent="0.25">
      <c r="A82" s="1" t="s">
        <v>992</v>
      </c>
    </row>
    <row r="83" spans="1:8" ht="36.75" hidden="1" customHeight="1" x14ac:dyDescent="0.2">
      <c r="A83" s="339" t="s">
        <v>199</v>
      </c>
      <c r="B83" s="340" t="s">
        <v>88</v>
      </c>
      <c r="C83" s="393">
        <f>'[4]energy cost calc'!C12</f>
        <v>12.803171901992799</v>
      </c>
      <c r="D83" s="165"/>
    </row>
    <row r="84" spans="1:8" ht="38.25" hidden="1" customHeight="1" x14ac:dyDescent="0.2">
      <c r="A84" s="341" t="s">
        <v>200</v>
      </c>
      <c r="B84" s="342" t="s">
        <v>88</v>
      </c>
      <c r="C84" s="394">
        <f>'[4]energy cost calc'!C13</f>
        <v>16.830587174965899</v>
      </c>
      <c r="D84" s="165"/>
    </row>
    <row r="85" spans="1:8" ht="45" hidden="1" customHeight="1" thickBot="1" x14ac:dyDescent="0.25">
      <c r="A85" s="343" t="s">
        <v>201</v>
      </c>
      <c r="B85" s="344" t="s">
        <v>88</v>
      </c>
      <c r="C85" s="395">
        <f>'[4]energy cost calc'!C14</f>
        <v>7.7322532768237302</v>
      </c>
      <c r="D85" s="165"/>
    </row>
    <row r="86" spans="1:8" ht="14.25" hidden="1" customHeight="1" x14ac:dyDescent="0.2">
      <c r="D86" s="165"/>
    </row>
    <row r="87" spans="1:8" ht="14.25" customHeight="1" x14ac:dyDescent="0.2"/>
    <row r="88" spans="1:8" ht="18" hidden="1" customHeight="1" x14ac:dyDescent="0.2"/>
    <row r="89" spans="1:8" ht="14.25" hidden="1" customHeight="1" x14ac:dyDescent="0.2"/>
    <row r="90" spans="1:8" ht="14.25" customHeight="1" x14ac:dyDescent="0.2"/>
    <row r="91" spans="1:8" ht="14.25" hidden="1" customHeight="1" x14ac:dyDescent="0.3">
      <c r="A91" s="1674" t="s">
        <v>993</v>
      </c>
    </row>
    <row r="92" spans="1:8" ht="14.25" customHeight="1" x14ac:dyDescent="0.2"/>
    <row r="93" spans="1:8" ht="14.25" customHeight="1" thickBot="1" x14ac:dyDescent="0.25">
      <c r="A93" s="105" t="s">
        <v>990</v>
      </c>
      <c r="B93" s="106"/>
      <c r="C93" s="52"/>
      <c r="D93" s="52"/>
      <c r="E93" s="52"/>
      <c r="F93" s="52"/>
      <c r="G93" s="52"/>
      <c r="H93" s="52"/>
    </row>
    <row r="94" spans="1:8" ht="14.25" customHeight="1" x14ac:dyDescent="0.2">
      <c r="A94" s="94" t="s">
        <v>44</v>
      </c>
      <c r="B94" s="95" t="s">
        <v>36</v>
      </c>
      <c r="C94" s="427">
        <f>C35</f>
        <v>46023</v>
      </c>
      <c r="D94" s="427">
        <f t="shared" ref="D94:H94" si="12">D35</f>
        <v>46054</v>
      </c>
      <c r="E94" s="427">
        <f t="shared" si="12"/>
        <v>46082</v>
      </c>
      <c r="F94" s="427">
        <f t="shared" si="12"/>
        <v>46113</v>
      </c>
      <c r="G94" s="427">
        <f t="shared" si="12"/>
        <v>46143</v>
      </c>
      <c r="H94" s="427">
        <f t="shared" si="12"/>
        <v>46174</v>
      </c>
    </row>
    <row r="95" spans="1:8" ht="14.25" customHeight="1" x14ac:dyDescent="0.2">
      <c r="A95" s="17"/>
      <c r="B95" s="8"/>
      <c r="C95" s="12"/>
      <c r="D95" s="12"/>
      <c r="E95" s="12"/>
      <c r="F95" s="12"/>
      <c r="G95" s="12"/>
      <c r="H95" s="15"/>
    </row>
    <row r="96" spans="1:8" ht="14.25" customHeight="1" x14ac:dyDescent="0.2">
      <c r="A96" s="17" t="s">
        <v>603</v>
      </c>
      <c r="B96" s="8"/>
      <c r="C96" s="12"/>
      <c r="D96" s="12"/>
      <c r="E96" s="12"/>
      <c r="F96" s="12"/>
      <c r="G96" s="12"/>
      <c r="H96" s="15"/>
    </row>
    <row r="97" spans="1:8" ht="14.25" customHeight="1" x14ac:dyDescent="0.2">
      <c r="A97" s="16" t="s">
        <v>48</v>
      </c>
      <c r="B97" s="12" t="s">
        <v>37</v>
      </c>
      <c r="C97" s="1675">
        <f>'TR &amp; BSS, TLF voltage wise'!C116</f>
        <v>0</v>
      </c>
      <c r="D97" s="1675">
        <f>'TR &amp; BSS, TLF voltage wise'!D116</f>
        <v>0</v>
      </c>
      <c r="E97" s="1675">
        <f>'TR &amp; BSS, TLF voltage wise'!E116</f>
        <v>0</v>
      </c>
      <c r="F97" s="1675">
        <f>'TR &amp; BSS, TLF voltage wise'!F116</f>
        <v>0</v>
      </c>
      <c r="G97" s="1675">
        <f>'TR &amp; BSS, TLF voltage wise'!G116</f>
        <v>0</v>
      </c>
      <c r="H97" s="1681">
        <f>'TR &amp; BSS, TLF voltage wise'!H116</f>
        <v>0</v>
      </c>
    </row>
    <row r="98" spans="1:8" ht="14.25" customHeight="1" x14ac:dyDescent="0.2">
      <c r="A98" s="16" t="s">
        <v>194</v>
      </c>
      <c r="B98" s="12" t="s">
        <v>88</v>
      </c>
      <c r="C98" s="702" t="e">
        <f>'Gen. Energy Cost 33 (2)'!E10</f>
        <v>#REF!</v>
      </c>
      <c r="D98" s="702" t="e">
        <f>'Gen. Energy Cost 33 (2)'!K10</f>
        <v>#REF!</v>
      </c>
      <c r="E98" s="702" t="e">
        <f>'Gen. Energy Cost 33 (2)'!Q10</f>
        <v>#REF!</v>
      </c>
      <c r="F98" s="702" t="e">
        <f>'Gen. Energy Cost 33 (2)'!W10</f>
        <v>#REF!</v>
      </c>
      <c r="G98" s="702" t="e">
        <f>'Gen. Energy Cost 33 (2)'!AC10</f>
        <v>#REF!</v>
      </c>
      <c r="H98" s="703" t="e">
        <f>'Gen. Energy Cost 33 (2)'!AI10</f>
        <v>#REF!</v>
      </c>
    </row>
    <row r="99" spans="1:8" ht="14.25" customHeight="1" x14ac:dyDescent="0.2">
      <c r="A99" s="1076" t="s">
        <v>49</v>
      </c>
      <c r="B99" s="418" t="s">
        <v>88</v>
      </c>
      <c r="C99" s="1388" t="e">
        <f t="shared" ref="C99:H99" si="13">+(1+C97)*C98</f>
        <v>#REF!</v>
      </c>
      <c r="D99" s="1388" t="e">
        <f t="shared" si="13"/>
        <v>#REF!</v>
      </c>
      <c r="E99" s="1388" t="e">
        <f t="shared" si="13"/>
        <v>#REF!</v>
      </c>
      <c r="F99" s="1388" t="e">
        <f t="shared" si="13"/>
        <v>#REF!</v>
      </c>
      <c r="G99" s="1388" t="e">
        <f t="shared" si="13"/>
        <v>#REF!</v>
      </c>
      <c r="H99" s="1677" t="e">
        <f t="shared" si="13"/>
        <v>#REF!</v>
      </c>
    </row>
    <row r="100" spans="1:8" ht="14.25" customHeight="1" x14ac:dyDescent="0.2">
      <c r="A100" s="1076" t="s">
        <v>996</v>
      </c>
      <c r="B100" s="418" t="s">
        <v>56</v>
      </c>
      <c r="C100" s="1388">
        <f>'TR &amp; BSS, TLF voltage wise'!C115</f>
        <v>735.89994061729999</v>
      </c>
      <c r="D100" s="1388">
        <f>'TR &amp; BSS, TLF voltage wise'!D115</f>
        <v>687.64341286753199</v>
      </c>
      <c r="E100" s="1388">
        <f>'TR &amp; BSS, TLF voltage wise'!E115</f>
        <v>789.18650285225999</v>
      </c>
      <c r="F100" s="1388">
        <f>'TR &amp; BSS, TLF voltage wise'!F115</f>
        <v>734.79712329444396</v>
      </c>
      <c r="G100" s="1388">
        <f>'TR &amp; BSS, TLF voltage wise'!G115</f>
        <v>781.18956770391105</v>
      </c>
      <c r="H100" s="1677">
        <f>'TR &amp; BSS, TLF voltage wise'!H115</f>
        <v>772.73219055566301</v>
      </c>
    </row>
    <row r="101" spans="1:8" ht="14.25" customHeight="1" x14ac:dyDescent="0.2">
      <c r="A101" s="6"/>
      <c r="B101" s="8"/>
      <c r="C101" s="702"/>
      <c r="D101" s="702"/>
      <c r="E101" s="702"/>
      <c r="F101" s="702"/>
      <c r="G101" s="702"/>
      <c r="H101" s="703"/>
    </row>
    <row r="102" spans="1:8" ht="14.25" customHeight="1" x14ac:dyDescent="0.2">
      <c r="A102" s="17" t="s">
        <v>32</v>
      </c>
      <c r="B102" s="8"/>
      <c r="C102" s="702"/>
      <c r="D102" s="702"/>
      <c r="E102" s="702"/>
      <c r="F102" s="702"/>
      <c r="G102" s="702"/>
      <c r="H102" s="703"/>
    </row>
    <row r="103" spans="1:8" ht="14.25" customHeight="1" x14ac:dyDescent="0.2">
      <c r="A103" s="16" t="s">
        <v>195</v>
      </c>
      <c r="B103" s="12" t="s">
        <v>37</v>
      </c>
      <c r="C103" s="751">
        <f>'TR &amp; BSS, TLF voltage wise'!C122</f>
        <v>0</v>
      </c>
      <c r="D103" s="751">
        <f>'TR &amp; BSS, TLF voltage wise'!D122</f>
        <v>0</v>
      </c>
      <c r="E103" s="751">
        <f>'TR &amp; BSS, TLF voltage wise'!E122</f>
        <v>0</v>
      </c>
      <c r="F103" s="751">
        <f>'TR &amp; BSS, TLF voltage wise'!F122</f>
        <v>0</v>
      </c>
      <c r="G103" s="751">
        <f>'TR &amp; BSS, TLF voltage wise'!G122</f>
        <v>0</v>
      </c>
      <c r="H103" s="752">
        <f>'TR &amp; BSS, TLF voltage wise'!H122</f>
        <v>0</v>
      </c>
    </row>
    <row r="104" spans="1:8" ht="14.25" customHeight="1" x14ac:dyDescent="0.2">
      <c r="A104" s="16" t="s">
        <v>196</v>
      </c>
      <c r="B104" s="418" t="s">
        <v>88</v>
      </c>
      <c r="C104" s="1388" t="e">
        <f>'Gen. Energy Cost 33 (2)'!E11</f>
        <v>#REF!</v>
      </c>
      <c r="D104" s="1388" t="e">
        <f>'Gen. Energy Cost 33 (2)'!K11</f>
        <v>#REF!</v>
      </c>
      <c r="E104" s="1388" t="e">
        <f>'Gen. Energy Cost 33 (2)'!Q11</f>
        <v>#REF!</v>
      </c>
      <c r="F104" s="1388" t="e">
        <f>'Gen. Energy Cost 33 (2)'!W11</f>
        <v>#REF!</v>
      </c>
      <c r="G104" s="1388" t="e">
        <f>'Gen. Energy Cost 33 (2)'!AC11</f>
        <v>#REF!</v>
      </c>
      <c r="H104" s="1677" t="e">
        <f>'Gen. Energy Cost 33 (2)'!AI11</f>
        <v>#REF!</v>
      </c>
    </row>
    <row r="105" spans="1:8" ht="14.25" customHeight="1" x14ac:dyDescent="0.2">
      <c r="A105" s="1076" t="s">
        <v>50</v>
      </c>
      <c r="B105" s="418" t="s">
        <v>88</v>
      </c>
      <c r="C105" s="1388" t="e">
        <f t="shared" ref="C105:H105" si="14">+(1+C103)*C104</f>
        <v>#REF!</v>
      </c>
      <c r="D105" s="1388" t="e">
        <f t="shared" si="14"/>
        <v>#REF!</v>
      </c>
      <c r="E105" s="1388" t="e">
        <f t="shared" si="14"/>
        <v>#REF!</v>
      </c>
      <c r="F105" s="1388" t="e">
        <f t="shared" si="14"/>
        <v>#REF!</v>
      </c>
      <c r="G105" s="1388" t="e">
        <f t="shared" si="14"/>
        <v>#REF!</v>
      </c>
      <c r="H105" s="1677" t="e">
        <f t="shared" si="14"/>
        <v>#REF!</v>
      </c>
    </row>
    <row r="106" spans="1:8" ht="14.25" customHeight="1" x14ac:dyDescent="0.2">
      <c r="A106" s="1076" t="s">
        <v>996</v>
      </c>
      <c r="B106" s="418" t="s">
        <v>56</v>
      </c>
      <c r="C106" s="1388">
        <f>'TR &amp; BSS, TLF voltage wise'!C121</f>
        <v>294.10085654952002</v>
      </c>
      <c r="D106" s="1388">
        <f>'TR &amp; BSS, TLF voltage wise'!D121</f>
        <v>274.815237184735</v>
      </c>
      <c r="E106" s="1388">
        <f>'TR &amp; BSS, TLF voltage wise'!E121</f>
        <v>315.396718569477</v>
      </c>
      <c r="F106" s="1388">
        <f>'TR &amp; BSS, TLF voltage wise'!F121</f>
        <v>293.66011793633601</v>
      </c>
      <c r="G106" s="1388">
        <f>'TR &amp; BSS, TLF voltage wise'!G121</f>
        <v>312.20076033237302</v>
      </c>
      <c r="H106" s="1388">
        <f>'TR &amp; BSS, TLF voltage wise'!H121</f>
        <v>308.820787422774</v>
      </c>
    </row>
    <row r="107" spans="1:8" ht="14.25" customHeight="1" x14ac:dyDescent="0.2">
      <c r="A107" s="6"/>
      <c r="B107" s="8"/>
      <c r="C107" s="702"/>
      <c r="D107" s="702"/>
      <c r="E107" s="702"/>
      <c r="F107" s="702"/>
      <c r="G107" s="702"/>
      <c r="H107" s="703"/>
    </row>
    <row r="108" spans="1:8" ht="14.25" customHeight="1" x14ac:dyDescent="0.2">
      <c r="A108" s="17" t="s">
        <v>33</v>
      </c>
      <c r="B108" s="8"/>
      <c r="C108" s="702"/>
      <c r="D108" s="702"/>
      <c r="E108" s="702"/>
      <c r="F108" s="702"/>
      <c r="G108" s="702"/>
      <c r="H108" s="703"/>
    </row>
    <row r="109" spans="1:8" ht="14.25" customHeight="1" x14ac:dyDescent="0.2">
      <c r="A109" s="16" t="s">
        <v>197</v>
      </c>
      <c r="B109" s="418" t="s">
        <v>37</v>
      </c>
      <c r="C109" s="1678">
        <f>'TR &amp; BSS, TLF voltage wise'!C128</f>
        <v>0</v>
      </c>
      <c r="D109" s="1678">
        <f>'TR &amp; BSS, TLF voltage wise'!D128</f>
        <v>0</v>
      </c>
      <c r="E109" s="1678">
        <f>'TR &amp; BSS, TLF voltage wise'!E128</f>
        <v>0</v>
      </c>
      <c r="F109" s="1678">
        <f>'TR &amp; BSS, TLF voltage wise'!F128</f>
        <v>0</v>
      </c>
      <c r="G109" s="1678">
        <f>'TR &amp; BSS, TLF voltage wise'!G128</f>
        <v>0</v>
      </c>
      <c r="H109" s="1678">
        <f>'TR &amp; BSS, TLF voltage wise'!H128</f>
        <v>0</v>
      </c>
    </row>
    <row r="110" spans="1:8" ht="14.25" customHeight="1" x14ac:dyDescent="0.2">
      <c r="A110" s="16" t="s">
        <v>198</v>
      </c>
      <c r="B110" s="418" t="s">
        <v>88</v>
      </c>
      <c r="C110" s="1388" t="e">
        <f>'Gen. Energy Cost 33 (2)'!E12</f>
        <v>#REF!</v>
      </c>
      <c r="D110" s="1388" t="e">
        <f>'Gen. Energy Cost 33 (2)'!K12</f>
        <v>#REF!</v>
      </c>
      <c r="E110" s="1388" t="e">
        <f>'Gen. Energy Cost 33 (2)'!Q12</f>
        <v>#REF!</v>
      </c>
      <c r="F110" s="1388" t="e">
        <f>'Gen. Energy Cost 33 (2)'!W12</f>
        <v>#REF!</v>
      </c>
      <c r="G110" s="1388" t="e">
        <f>'Gen. Energy Cost 33 (2)'!AC12</f>
        <v>#REF!</v>
      </c>
      <c r="H110" s="1677" t="e">
        <f>'Gen. Energy Cost 33 (2)'!AI12</f>
        <v>#REF!</v>
      </c>
    </row>
    <row r="111" spans="1:8" ht="14.25" customHeight="1" x14ac:dyDescent="0.2">
      <c r="A111" s="1076" t="s">
        <v>51</v>
      </c>
      <c r="B111" s="418" t="s">
        <v>88</v>
      </c>
      <c r="C111" s="1388" t="e">
        <f t="shared" ref="C111:H111" si="15">+(1+C109)*C110</f>
        <v>#REF!</v>
      </c>
      <c r="D111" s="1388" t="e">
        <f t="shared" si="15"/>
        <v>#REF!</v>
      </c>
      <c r="E111" s="1388" t="e">
        <f t="shared" si="15"/>
        <v>#REF!</v>
      </c>
      <c r="F111" s="1388" t="e">
        <f t="shared" si="15"/>
        <v>#REF!</v>
      </c>
      <c r="G111" s="1388" t="e">
        <f t="shared" si="15"/>
        <v>#REF!</v>
      </c>
      <c r="H111" s="1677" t="e">
        <f t="shared" si="15"/>
        <v>#REF!</v>
      </c>
    </row>
    <row r="112" spans="1:8" ht="14.25" customHeight="1" thickBot="1" x14ac:dyDescent="0.25">
      <c r="A112" s="1682" t="s">
        <v>996</v>
      </c>
      <c r="B112" s="1679" t="s">
        <v>56</v>
      </c>
      <c r="C112" s="1680">
        <f>'TR &amp; BSS, TLF voltage wise'!C127</f>
        <v>265.597689835469</v>
      </c>
      <c r="D112" s="1680">
        <f>'TR &amp; BSS, TLF voltage wise'!D127</f>
        <v>248.181161334232</v>
      </c>
      <c r="E112" s="1680">
        <f>'TR &amp; BSS, TLF voltage wise'!E127</f>
        <v>284.82963571252299</v>
      </c>
      <c r="F112" s="1680">
        <f>'TR &amp; BSS, TLF voltage wise'!F127</f>
        <v>265.199665977748</v>
      </c>
      <c r="G112" s="1680">
        <f>'TR &amp; BSS, TLF voltage wise'!G127</f>
        <v>281.94341792130598</v>
      </c>
      <c r="H112" s="1680">
        <f>'TR &amp; BSS, TLF voltage wise'!H127</f>
        <v>278.89101947871598</v>
      </c>
    </row>
    <row r="113" spans="1:8" ht="14.25" customHeight="1" thickBot="1" x14ac:dyDescent="0.25"/>
    <row r="114" spans="1:8" ht="31.5" customHeight="1" x14ac:dyDescent="0.2">
      <c r="A114" s="339" t="s">
        <v>199</v>
      </c>
      <c r="B114" s="340" t="s">
        <v>88</v>
      </c>
      <c r="C114" s="393" t="e">
        <f>SUMPRODUCT(C99:H99,C100:H100)/SUM(C100:H100)</f>
        <v>#REF!</v>
      </c>
      <c r="D114" s="331">
        <v>9.0107598263435538</v>
      </c>
      <c r="E114" s="165"/>
      <c r="F114" s="345" t="s">
        <v>602</v>
      </c>
      <c r="G114" s="165">
        <v>10.623884240922472</v>
      </c>
      <c r="H114" s="165">
        <v>10.694622416607796</v>
      </c>
    </row>
    <row r="115" spans="1:8" ht="28.5" customHeight="1" x14ac:dyDescent="0.2">
      <c r="A115" s="341" t="s">
        <v>200</v>
      </c>
      <c r="B115" s="342" t="s">
        <v>88</v>
      </c>
      <c r="C115" s="394" t="e">
        <f>SUMPRODUCT(C105:H105,C106:H106)/SUM(C106:H106)</f>
        <v>#REF!</v>
      </c>
      <c r="D115" s="331">
        <v>11.713987774246618</v>
      </c>
      <c r="E115" s="165"/>
      <c r="F115" s="346" t="s">
        <v>601</v>
      </c>
      <c r="G115" s="165">
        <v>13.925450206902067</v>
      </c>
      <c r="H115" s="165">
        <v>13.903009141590132</v>
      </c>
    </row>
    <row r="116" spans="1:8" ht="35.25" customHeight="1" thickBot="1" x14ac:dyDescent="0.25">
      <c r="A116" s="343" t="s">
        <v>201</v>
      </c>
      <c r="B116" s="344" t="s">
        <v>88</v>
      </c>
      <c r="C116" s="395" t="e">
        <f>SUMPRODUCT(C111:H111,C112:H112/SUM(C112:H112))</f>
        <v>#REF!</v>
      </c>
      <c r="D116" s="331">
        <v>5.40645589580613</v>
      </c>
      <c r="E116" s="165"/>
      <c r="G116" s="165">
        <v>6.3186761530223654</v>
      </c>
      <c r="H116" s="165">
        <v>6.4167734499646754</v>
      </c>
    </row>
    <row r="117" spans="1:8" ht="14.25" customHeight="1" x14ac:dyDescent="0.2"/>
    <row r="118" spans="1:8" ht="14.25" customHeight="1" x14ac:dyDescent="0.2"/>
    <row r="119" spans="1:8" ht="14.25" customHeight="1" x14ac:dyDescent="0.2"/>
    <row r="120" spans="1:8" ht="13.2" thickBot="1" x14ac:dyDescent="0.25">
      <c r="A120" s="105" t="s">
        <v>991</v>
      </c>
      <c r="B120" s="106"/>
      <c r="C120" s="52"/>
      <c r="D120" s="52"/>
      <c r="E120" s="52"/>
      <c r="F120" s="52"/>
      <c r="G120" s="52"/>
      <c r="H120" s="52"/>
    </row>
    <row r="121" spans="1:8" x14ac:dyDescent="0.2">
      <c r="A121" s="94" t="s">
        <v>44</v>
      </c>
      <c r="B121" s="95" t="s">
        <v>36</v>
      </c>
      <c r="C121" s="427">
        <f>C94</f>
        <v>46023</v>
      </c>
      <c r="D121" s="427">
        <f t="shared" ref="D121:H121" si="16">D94</f>
        <v>46054</v>
      </c>
      <c r="E121" s="427">
        <f t="shared" si="16"/>
        <v>46082</v>
      </c>
      <c r="F121" s="427">
        <f t="shared" si="16"/>
        <v>46113</v>
      </c>
      <c r="G121" s="427">
        <f t="shared" si="16"/>
        <v>46143</v>
      </c>
      <c r="H121" s="427">
        <f t="shared" si="16"/>
        <v>46174</v>
      </c>
    </row>
    <row r="122" spans="1:8" x14ac:dyDescent="0.2">
      <c r="A122" s="17"/>
      <c r="B122" s="8"/>
      <c r="C122" s="12"/>
      <c r="D122" s="12"/>
      <c r="E122" s="12"/>
      <c r="F122" s="12"/>
      <c r="G122" s="12"/>
      <c r="H122" s="15"/>
    </row>
    <row r="123" spans="1:8" x14ac:dyDescent="0.2">
      <c r="A123" s="17" t="s">
        <v>603</v>
      </c>
      <c r="B123" s="8"/>
      <c r="C123" s="12"/>
      <c r="D123" s="12"/>
      <c r="E123" s="12"/>
      <c r="F123" s="12"/>
      <c r="G123" s="12"/>
      <c r="H123" s="15"/>
    </row>
    <row r="124" spans="1:8" x14ac:dyDescent="0.2">
      <c r="A124" s="16" t="s">
        <v>48</v>
      </c>
      <c r="B124" s="12" t="s">
        <v>37</v>
      </c>
      <c r="C124" s="1675">
        <f>'TR &amp; BSS, TLF voltage wise'!C79</f>
        <v>2.7004477913294706E-2</v>
      </c>
      <c r="D124" s="1675">
        <f>'TR &amp; BSS, TLF voltage wise'!D79</f>
        <v>2.7004477913294706E-2</v>
      </c>
      <c r="E124" s="1675">
        <f>'TR &amp; BSS, TLF voltage wise'!E79</f>
        <v>2.7004477913294713E-2</v>
      </c>
      <c r="F124" s="1675">
        <f>'TR &amp; BSS, TLF voltage wise'!F79</f>
        <v>2.700447791329471E-2</v>
      </c>
      <c r="G124" s="1675">
        <f>'TR &amp; BSS, TLF voltage wise'!G79</f>
        <v>2.7004477913294713E-2</v>
      </c>
      <c r="H124" s="1675">
        <f>'TR &amp; BSS, TLF voltage wise'!H79</f>
        <v>2.7004477913294717E-2</v>
      </c>
    </row>
    <row r="125" spans="1:8" x14ac:dyDescent="0.2">
      <c r="A125" s="16" t="s">
        <v>194</v>
      </c>
      <c r="B125" s="12" t="s">
        <v>88</v>
      </c>
      <c r="C125" s="702" t="e">
        <f>'Gen. Energy Cost 132 (2)'!E10</f>
        <v>#REF!</v>
      </c>
      <c r="D125" s="702" t="e">
        <f>'Gen. Energy Cost 132 (2)'!K10</f>
        <v>#REF!</v>
      </c>
      <c r="E125" s="702" t="e">
        <f>'Gen. Energy Cost 132 (2)'!Q10</f>
        <v>#REF!</v>
      </c>
      <c r="F125" s="702" t="e">
        <f>'Gen. Energy Cost 132 (2)'!W10</f>
        <v>#REF!</v>
      </c>
      <c r="G125" s="702" t="e">
        <f>'Gen. Energy Cost 132 (2)'!AC10</f>
        <v>#REF!</v>
      </c>
      <c r="H125" s="703" t="e">
        <f>'Gen. Energy Cost 132 (2)'!AI10</f>
        <v>#REF!</v>
      </c>
    </row>
    <row r="126" spans="1:8" x14ac:dyDescent="0.2">
      <c r="A126" s="1076" t="s">
        <v>49</v>
      </c>
      <c r="B126" s="418" t="s">
        <v>88</v>
      </c>
      <c r="C126" s="1388" t="e">
        <f t="shared" ref="C126:H126" si="17">+(1+C124)*C125</f>
        <v>#REF!</v>
      </c>
      <c r="D126" s="1388" t="e">
        <f t="shared" si="17"/>
        <v>#REF!</v>
      </c>
      <c r="E126" s="1388" t="e">
        <f t="shared" si="17"/>
        <v>#REF!</v>
      </c>
      <c r="F126" s="1388" t="e">
        <f t="shared" si="17"/>
        <v>#REF!</v>
      </c>
      <c r="G126" s="1388" t="e">
        <f t="shared" si="17"/>
        <v>#REF!</v>
      </c>
      <c r="H126" s="1677" t="e">
        <f t="shared" si="17"/>
        <v>#REF!</v>
      </c>
    </row>
    <row r="127" spans="1:8" x14ac:dyDescent="0.2">
      <c r="A127" s="1076" t="s">
        <v>996</v>
      </c>
      <c r="B127" s="418" t="s">
        <v>56</v>
      </c>
      <c r="C127" s="1388">
        <f>'TR &amp; BSS, TLF voltage wise'!C78</f>
        <v>661.49876922741498</v>
      </c>
      <c r="D127" s="1388">
        <f>'TR &amp; BSS, TLF voltage wise'!D78</f>
        <v>625.450960778065</v>
      </c>
      <c r="E127" s="1388">
        <f>'TR &amp; BSS, TLF voltage wise'!E78</f>
        <v>719.196209778303</v>
      </c>
      <c r="F127" s="1388">
        <f>'TR &amp; BSS, TLF voltage wise'!F78</f>
        <v>652.10494830072003</v>
      </c>
      <c r="G127" s="1388">
        <f>'TR &amp; BSS, TLF voltage wise'!G78</f>
        <v>163.16693057260699</v>
      </c>
      <c r="H127" s="1388">
        <f>'TR &amp; BSS, TLF voltage wise'!H78</f>
        <v>636.68499759382303</v>
      </c>
    </row>
    <row r="128" spans="1:8" x14ac:dyDescent="0.2">
      <c r="A128" s="6"/>
      <c r="B128" s="8"/>
      <c r="C128" s="702"/>
      <c r="D128" s="702"/>
      <c r="E128" s="702"/>
      <c r="F128" s="702"/>
      <c r="G128" s="702"/>
      <c r="H128" s="703"/>
    </row>
    <row r="129" spans="1:8" x14ac:dyDescent="0.2">
      <c r="A129" s="17" t="s">
        <v>32</v>
      </c>
      <c r="B129" s="8"/>
      <c r="C129" s="702"/>
      <c r="D129" s="702"/>
      <c r="E129" s="702"/>
      <c r="F129" s="702"/>
      <c r="G129" s="702"/>
      <c r="H129" s="703"/>
    </row>
    <row r="130" spans="1:8" x14ac:dyDescent="0.2">
      <c r="A130" s="16" t="s">
        <v>195</v>
      </c>
      <c r="B130" s="12" t="s">
        <v>37</v>
      </c>
      <c r="C130" s="751">
        <f>'TR &amp; BSS, TLF voltage wise'!C85</f>
        <v>3.4488865050312713E-2</v>
      </c>
      <c r="D130" s="751">
        <f>'TR &amp; BSS, TLF voltage wise'!D85</f>
        <v>3.4488865050312713E-2</v>
      </c>
      <c r="E130" s="751">
        <f>'TR &amp; BSS, TLF voltage wise'!E85</f>
        <v>3.448886505031272E-2</v>
      </c>
      <c r="F130" s="751">
        <f>'TR &amp; BSS, TLF voltage wise'!F85</f>
        <v>3.448886505031272E-2</v>
      </c>
      <c r="G130" s="751">
        <f>'TR &amp; BSS, TLF voltage wise'!G85</f>
        <v>3.4488865050312713E-2</v>
      </c>
      <c r="H130" s="751">
        <f>'TR &amp; BSS, TLF voltage wise'!H85</f>
        <v>3.4488865050312713E-2</v>
      </c>
    </row>
    <row r="131" spans="1:8" x14ac:dyDescent="0.2">
      <c r="A131" s="16" t="s">
        <v>196</v>
      </c>
      <c r="B131" s="418" t="s">
        <v>88</v>
      </c>
      <c r="C131" s="1388" t="e">
        <f>'Gen. Energy Cost 132 (2)'!E11</f>
        <v>#REF!</v>
      </c>
      <c r="D131" s="702" t="e">
        <f>'Gen. Energy Cost 132 (2)'!K11</f>
        <v>#REF!</v>
      </c>
      <c r="E131" s="702" t="e">
        <f>'Gen. Energy Cost 132 (2)'!Q11</f>
        <v>#REF!</v>
      </c>
      <c r="F131" s="702" t="e">
        <f>'Gen. Energy Cost 132 (2)'!W11</f>
        <v>#REF!</v>
      </c>
      <c r="G131" s="702" t="e">
        <f>'Gen. Energy Cost 132 (2)'!AC11</f>
        <v>#REF!</v>
      </c>
      <c r="H131" s="703" t="e">
        <f>'Gen. Energy Cost 132 (2)'!AI11</f>
        <v>#REF!</v>
      </c>
    </row>
    <row r="132" spans="1:8" x14ac:dyDescent="0.2">
      <c r="A132" s="1076" t="s">
        <v>50</v>
      </c>
      <c r="B132" s="418" t="s">
        <v>88</v>
      </c>
      <c r="C132" s="1388" t="e">
        <f t="shared" ref="C132:H132" si="18">+(1+C130)*C131</f>
        <v>#REF!</v>
      </c>
      <c r="D132" s="1388" t="e">
        <f t="shared" si="18"/>
        <v>#REF!</v>
      </c>
      <c r="E132" s="1388" t="e">
        <f t="shared" si="18"/>
        <v>#REF!</v>
      </c>
      <c r="F132" s="1388" t="e">
        <f t="shared" si="18"/>
        <v>#REF!</v>
      </c>
      <c r="G132" s="1388" t="e">
        <f t="shared" si="18"/>
        <v>#REF!</v>
      </c>
      <c r="H132" s="1677" t="e">
        <f t="shared" si="18"/>
        <v>#REF!</v>
      </c>
    </row>
    <row r="133" spans="1:8" x14ac:dyDescent="0.2">
      <c r="A133" s="1076" t="s">
        <v>996</v>
      </c>
      <c r="B133" s="418" t="s">
        <v>56</v>
      </c>
      <c r="C133" s="1388">
        <f>'TR &amp; BSS, TLF voltage wise'!C84</f>
        <v>167.73529737018001</v>
      </c>
      <c r="D133" s="1388">
        <f>'TR &amp; BSS, TLF voltage wise'!D84</f>
        <v>158.59470610822399</v>
      </c>
      <c r="E133" s="1388">
        <f>'TR &amp; BSS, TLF voltage wise'!E84</f>
        <v>182.365554898255</v>
      </c>
      <c r="F133" s="1388">
        <f>'TR &amp; BSS, TLF voltage wise'!F84</f>
        <v>165.35331962527599</v>
      </c>
      <c r="G133" s="1388">
        <f>'TR &amp; BSS, TLF voltage wise'!G84</f>
        <v>41.374005355354903</v>
      </c>
      <c r="H133" s="1388">
        <f>'TR &amp; BSS, TLF voltage wise'!H84</f>
        <v>161.44330476572301</v>
      </c>
    </row>
    <row r="134" spans="1:8" x14ac:dyDescent="0.2">
      <c r="A134" s="6"/>
      <c r="B134" s="8"/>
      <c r="C134" s="702"/>
      <c r="D134" s="702"/>
      <c r="E134" s="702"/>
      <c r="F134" s="702"/>
      <c r="G134" s="702"/>
      <c r="H134" s="703"/>
    </row>
    <row r="135" spans="1:8" x14ac:dyDescent="0.2">
      <c r="A135" s="17" t="s">
        <v>33</v>
      </c>
      <c r="B135" s="8"/>
      <c r="C135" s="702"/>
      <c r="D135" s="702"/>
      <c r="E135" s="702"/>
      <c r="F135" s="702"/>
      <c r="G135" s="702"/>
      <c r="H135" s="703"/>
    </row>
    <row r="136" spans="1:8" x14ac:dyDescent="0.2">
      <c r="A136" s="16" t="s">
        <v>197</v>
      </c>
      <c r="B136" s="418" t="s">
        <v>37</v>
      </c>
      <c r="C136" s="1678">
        <f>'TR &amp; BSS, TLF voltage wise'!C91</f>
        <v>1.9115529309410857E-2</v>
      </c>
      <c r="D136" s="1678">
        <f>'TR &amp; BSS, TLF voltage wise'!D91</f>
        <v>1.9115529309410861E-2</v>
      </c>
      <c r="E136" s="1678">
        <f>'TR &amp; BSS, TLF voltage wise'!E91</f>
        <v>1.9115529309410861E-2</v>
      </c>
      <c r="F136" s="1678">
        <f>'TR &amp; BSS, TLF voltage wise'!F91</f>
        <v>1.9115529309410861E-2</v>
      </c>
      <c r="G136" s="1678">
        <f>'TR &amp; BSS, TLF voltage wise'!G91</f>
        <v>1.9115529309410864E-2</v>
      </c>
      <c r="H136" s="1678">
        <f>'TR &amp; BSS, TLF voltage wise'!H91</f>
        <v>1.9115529309410857E-2</v>
      </c>
    </row>
    <row r="137" spans="1:8" x14ac:dyDescent="0.2">
      <c r="A137" s="16" t="s">
        <v>198</v>
      </c>
      <c r="B137" s="418" t="s">
        <v>88</v>
      </c>
      <c r="C137" s="1388" t="e">
        <f>'Gen. Energy Cost 132 (2)'!E12</f>
        <v>#REF!</v>
      </c>
      <c r="D137" s="702" t="e">
        <f>'Gen. Energy Cost 132 (2)'!K12</f>
        <v>#REF!</v>
      </c>
      <c r="E137" s="702" t="e">
        <f>'Gen. Energy Cost 132 (2)'!Q12</f>
        <v>#REF!</v>
      </c>
      <c r="F137" s="702" t="e">
        <f>'Gen. Energy Cost 132 (2)'!W12</f>
        <v>#REF!</v>
      </c>
      <c r="G137" s="702" t="e">
        <f>'Gen. Energy Cost 132 (2)'!AC12</f>
        <v>#REF!</v>
      </c>
      <c r="H137" s="703" t="e">
        <f>'Gen. Energy Cost 132 (2)'!AI12</f>
        <v>#REF!</v>
      </c>
    </row>
    <row r="138" spans="1:8" x14ac:dyDescent="0.2">
      <c r="A138" s="1076" t="s">
        <v>51</v>
      </c>
      <c r="B138" s="418" t="s">
        <v>88</v>
      </c>
      <c r="C138" s="1388" t="e">
        <f t="shared" ref="C138:H138" si="19">+(1+C136)*C137</f>
        <v>#REF!</v>
      </c>
      <c r="D138" s="1388" t="e">
        <f t="shared" si="19"/>
        <v>#REF!</v>
      </c>
      <c r="E138" s="1388" t="e">
        <f t="shared" si="19"/>
        <v>#REF!</v>
      </c>
      <c r="F138" s="1388" t="e">
        <f t="shared" si="19"/>
        <v>#REF!</v>
      </c>
      <c r="G138" s="1388" t="e">
        <f t="shared" si="19"/>
        <v>#REF!</v>
      </c>
      <c r="H138" s="1677" t="e">
        <f t="shared" si="19"/>
        <v>#REF!</v>
      </c>
    </row>
    <row r="139" spans="1:8" ht="13.2" thickBot="1" x14ac:dyDescent="0.25">
      <c r="A139" s="1682" t="s">
        <v>996</v>
      </c>
      <c r="B139" s="1679" t="s">
        <v>56</v>
      </c>
      <c r="C139" s="1680">
        <f>'TR &amp; BSS, TLF voltage wise'!C90</f>
        <v>322.89178372262501</v>
      </c>
      <c r="D139" s="1680">
        <f>'TR &amp; BSS, TLF voltage wise'!D90</f>
        <v>305.296072723652</v>
      </c>
      <c r="E139" s="1680">
        <f>'TR &amp; BSS, TLF voltage wise'!E90</f>
        <v>351.05514601801599</v>
      </c>
      <c r="F139" s="1680">
        <f>'TR &amp; BSS, TLF voltage wise'!F90</f>
        <v>318.30645758734897</v>
      </c>
      <c r="G139" s="1680">
        <f>'TR &amp; BSS, TLF voltage wise'!G90</f>
        <v>79.645289920444597</v>
      </c>
      <c r="H139" s="1680">
        <f>'TR &amp; BSS, TLF voltage wise'!H90</f>
        <v>310.77964783306999</v>
      </c>
    </row>
    <row r="140" spans="1:8" x14ac:dyDescent="0.2">
      <c r="D140" s="165"/>
      <c r="E140" s="184"/>
    </row>
    <row r="141" spans="1:8" ht="13.2" thickBot="1" x14ac:dyDescent="0.25">
      <c r="D141" s="165"/>
      <c r="E141" s="184"/>
    </row>
    <row r="142" spans="1:8" ht="25.2" x14ac:dyDescent="0.2">
      <c r="A142" s="339" t="s">
        <v>199</v>
      </c>
      <c r="B142" s="340" t="s">
        <v>88</v>
      </c>
      <c r="C142" s="393" t="e">
        <f>SUMPRODUCT(C126:H126,C127:H127)/SUM(C127:H127)</f>
        <v>#REF!</v>
      </c>
      <c r="D142" s="165">
        <v>6.8451276718879139</v>
      </c>
      <c r="E142" s="184"/>
    </row>
    <row r="143" spans="1:8" ht="25.2" x14ac:dyDescent="0.2">
      <c r="A143" s="341" t="s">
        <v>200</v>
      </c>
      <c r="B143" s="342" t="s">
        <v>88</v>
      </c>
      <c r="C143" s="394" t="e">
        <f>SUMPRODUCT(C132:H132,C133:H133)/SUM(C133:H133)</f>
        <v>#REF!</v>
      </c>
      <c r="D143" s="165">
        <v>8.9397907595032109</v>
      </c>
      <c r="E143" s="184"/>
    </row>
    <row r="144" spans="1:8" ht="25.8" thickBot="1" x14ac:dyDescent="0.25">
      <c r="A144" s="343" t="s">
        <v>201</v>
      </c>
      <c r="B144" s="344" t="s">
        <v>88</v>
      </c>
      <c r="C144" s="395" t="e">
        <f>SUMPRODUCT(C138:H138,C139:H139)/SUM(C139:H139)</f>
        <v>#REF!</v>
      </c>
      <c r="D144" s="165">
        <v>4.0870699504603003</v>
      </c>
      <c r="E144" s="184"/>
    </row>
    <row r="145" spans="1:8" x14ac:dyDescent="0.2">
      <c r="D145" s="165"/>
      <c r="E145" s="184"/>
    </row>
    <row r="146" spans="1:8" ht="13.2" thickBot="1" x14ac:dyDescent="0.25">
      <c r="A146" s="105" t="s">
        <v>994</v>
      </c>
      <c r="B146" s="106"/>
      <c r="C146" s="52"/>
      <c r="D146" s="52"/>
      <c r="E146" s="52"/>
      <c r="F146" s="52"/>
      <c r="G146" s="52"/>
      <c r="H146" s="52"/>
    </row>
    <row r="147" spans="1:8" x14ac:dyDescent="0.2">
      <c r="A147" s="94" t="s">
        <v>44</v>
      </c>
      <c r="B147" s="95" t="s">
        <v>36</v>
      </c>
      <c r="C147" s="427">
        <f>C121</f>
        <v>46023</v>
      </c>
      <c r="D147" s="427">
        <f t="shared" ref="D147:H147" si="20">D121</f>
        <v>46054</v>
      </c>
      <c r="E147" s="427">
        <f t="shared" si="20"/>
        <v>46082</v>
      </c>
      <c r="F147" s="427">
        <f t="shared" si="20"/>
        <v>46113</v>
      </c>
      <c r="G147" s="427">
        <f t="shared" si="20"/>
        <v>46143</v>
      </c>
      <c r="H147" s="427">
        <f t="shared" si="20"/>
        <v>46174</v>
      </c>
    </row>
    <row r="148" spans="1:8" x14ac:dyDescent="0.2">
      <c r="A148" s="17"/>
      <c r="B148" s="8"/>
      <c r="C148" s="12"/>
      <c r="D148" s="12"/>
      <c r="E148" s="12"/>
      <c r="F148" s="12"/>
      <c r="G148" s="12"/>
      <c r="H148" s="15"/>
    </row>
    <row r="149" spans="1:8" x14ac:dyDescent="0.2">
      <c r="A149" s="17" t="s">
        <v>603</v>
      </c>
      <c r="B149" s="8"/>
      <c r="C149" s="12"/>
      <c r="D149" s="12"/>
      <c r="E149" s="12"/>
      <c r="F149" s="12"/>
      <c r="G149" s="12"/>
      <c r="H149" s="15"/>
    </row>
    <row r="150" spans="1:8" x14ac:dyDescent="0.2">
      <c r="A150" s="16" t="s">
        <v>48</v>
      </c>
      <c r="B150" s="12" t="s">
        <v>37</v>
      </c>
      <c r="C150" s="1675">
        <f>'TR &amp; BSS, TLF voltage wise'!C45</f>
        <v>9.3485990097822193E-3</v>
      </c>
      <c r="D150" s="1675">
        <f>'TR &amp; BSS, TLF voltage wise'!D45</f>
        <v>9.3485990097822193E-3</v>
      </c>
      <c r="E150" s="1675">
        <f>'TR &amp; BSS, TLF voltage wise'!E45</f>
        <v>9.3485990097822193E-3</v>
      </c>
      <c r="F150" s="1675">
        <f>'TR &amp; BSS, TLF voltage wise'!F45</f>
        <v>9.348599009782221E-3</v>
      </c>
      <c r="G150" s="1675">
        <f>'TR &amp; BSS, TLF voltage wise'!G45</f>
        <v>9.3485990097822193E-3</v>
      </c>
      <c r="H150" s="1675">
        <f>'TR &amp; BSS, TLF voltage wise'!H45</f>
        <v>9.3485990097822193E-3</v>
      </c>
    </row>
    <row r="151" spans="1:8" x14ac:dyDescent="0.2">
      <c r="A151" s="16" t="s">
        <v>194</v>
      </c>
      <c r="B151" s="12" t="s">
        <v>88</v>
      </c>
      <c r="C151" s="702" t="e">
        <f>'Gen. Energy Cost 220 (2)'!E10</f>
        <v>#REF!</v>
      </c>
      <c r="D151" s="702" t="e">
        <f>'Gen. Energy Cost 220 (2)'!K10</f>
        <v>#REF!</v>
      </c>
      <c r="E151" s="702" t="e">
        <f>'Gen. Energy Cost 220 (2)'!Q10</f>
        <v>#REF!</v>
      </c>
      <c r="F151" s="702" t="e">
        <f>'Gen. Energy Cost 220 (2)'!W10</f>
        <v>#REF!</v>
      </c>
      <c r="G151" s="702" t="e">
        <f>'Gen. Energy Cost 220 (2)'!AC10</f>
        <v>#REF!</v>
      </c>
      <c r="H151" s="703" t="e">
        <f>'Gen. Energy Cost 220 (2)'!AI10</f>
        <v>#REF!</v>
      </c>
    </row>
    <row r="152" spans="1:8" x14ac:dyDescent="0.2">
      <c r="A152" s="1076" t="s">
        <v>49</v>
      </c>
      <c r="B152" s="418" t="s">
        <v>88</v>
      </c>
      <c r="C152" s="1388" t="e">
        <f t="shared" ref="C152:H152" si="21">+(1+C150)*C151</f>
        <v>#REF!</v>
      </c>
      <c r="D152" s="1388" t="e">
        <f t="shared" si="21"/>
        <v>#REF!</v>
      </c>
      <c r="E152" s="1388" t="e">
        <f t="shared" si="21"/>
        <v>#REF!</v>
      </c>
      <c r="F152" s="1388" t="e">
        <f t="shared" si="21"/>
        <v>#REF!</v>
      </c>
      <c r="G152" s="1388" t="e">
        <f t="shared" si="21"/>
        <v>#REF!</v>
      </c>
      <c r="H152" s="1677" t="e">
        <f t="shared" si="21"/>
        <v>#REF!</v>
      </c>
    </row>
    <row r="153" spans="1:8" x14ac:dyDescent="0.2">
      <c r="A153" s="1076" t="s">
        <v>996</v>
      </c>
      <c r="B153" s="418" t="s">
        <v>56</v>
      </c>
      <c r="C153" s="1388">
        <f>'TR &amp; BSS, TLF voltage wise'!C44</f>
        <v>346.77433784283397</v>
      </c>
      <c r="D153" s="1388">
        <f>'TR &amp; BSS, TLF voltage wise'!D44</f>
        <v>355.581676216787</v>
      </c>
      <c r="E153" s="1388">
        <f>'TR &amp; BSS, TLF voltage wise'!E44</f>
        <v>411.55221766328299</v>
      </c>
      <c r="F153" s="1388">
        <f>'TR &amp; BSS, TLF voltage wise'!F44</f>
        <v>369.64598063158201</v>
      </c>
      <c r="G153" s="1388">
        <f>'TR &amp; BSS, TLF voltage wise'!G44</f>
        <v>376.40251545005901</v>
      </c>
      <c r="H153" s="1388">
        <f>'TR &amp; BSS, TLF voltage wise'!H44</f>
        <v>370.63431382294698</v>
      </c>
    </row>
    <row r="154" spans="1:8" x14ac:dyDescent="0.2">
      <c r="A154" s="6"/>
      <c r="B154" s="8"/>
      <c r="C154" s="702"/>
      <c r="D154" s="702"/>
      <c r="E154" s="702"/>
      <c r="F154" s="702"/>
      <c r="G154" s="702"/>
      <c r="H154" s="703"/>
    </row>
    <row r="155" spans="1:8" x14ac:dyDescent="0.2">
      <c r="A155" s="17" t="s">
        <v>32</v>
      </c>
      <c r="B155" s="8"/>
      <c r="C155" s="702"/>
      <c r="D155" s="702"/>
      <c r="E155" s="702"/>
      <c r="F155" s="702"/>
      <c r="G155" s="702"/>
      <c r="H155" s="703"/>
    </row>
    <row r="156" spans="1:8" x14ac:dyDescent="0.2">
      <c r="A156" s="16" t="s">
        <v>195</v>
      </c>
      <c r="B156" s="12" t="s">
        <v>37</v>
      </c>
      <c r="C156" s="751">
        <f>'TR &amp; BSS, TLF voltage wise'!C51</f>
        <v>1.1939596488148825E-2</v>
      </c>
      <c r="D156" s="751">
        <f>'TR &amp; BSS, TLF voltage wise'!D51</f>
        <v>1.1939596488148827E-2</v>
      </c>
      <c r="E156" s="751">
        <f>'TR &amp; BSS, TLF voltage wise'!E51</f>
        <v>1.1939596488148825E-2</v>
      </c>
      <c r="F156" s="751">
        <f>'TR &amp; BSS, TLF voltage wise'!F51</f>
        <v>1.1939596488148827E-2</v>
      </c>
      <c r="G156" s="751">
        <f>'TR &amp; BSS, TLF voltage wise'!G51</f>
        <v>1.1939596488148825E-2</v>
      </c>
      <c r="H156" s="751">
        <f>'TR &amp; BSS, TLF voltage wise'!H51</f>
        <v>1.1939596488148825E-2</v>
      </c>
    </row>
    <row r="157" spans="1:8" x14ac:dyDescent="0.2">
      <c r="A157" s="16" t="s">
        <v>196</v>
      </c>
      <c r="B157" s="418" t="s">
        <v>88</v>
      </c>
      <c r="C157" s="1388" t="e">
        <f>'Gen. Energy Cost 220 (2)'!E11</f>
        <v>#REF!</v>
      </c>
      <c r="D157" s="702" t="e">
        <f>'Gen. Energy Cost 220 (2)'!K11</f>
        <v>#REF!</v>
      </c>
      <c r="E157" s="702" t="e">
        <f>'Gen. Energy Cost 220 (2)'!Q11</f>
        <v>#REF!</v>
      </c>
      <c r="F157" s="702" t="e">
        <f>'Gen. Energy Cost 220 (2)'!W11</f>
        <v>#REF!</v>
      </c>
      <c r="G157" s="702" t="e">
        <f>'Gen. Energy Cost 220 (2)'!AC11</f>
        <v>#REF!</v>
      </c>
      <c r="H157" s="703" t="e">
        <f>'Gen. Energy Cost 220 (2)'!AI11</f>
        <v>#REF!</v>
      </c>
    </row>
    <row r="158" spans="1:8" x14ac:dyDescent="0.2">
      <c r="A158" s="1076" t="s">
        <v>50</v>
      </c>
      <c r="B158" s="418" t="s">
        <v>88</v>
      </c>
      <c r="C158" s="1388" t="e">
        <f t="shared" ref="C158:H158" si="22">+(1+C156)*C157</f>
        <v>#REF!</v>
      </c>
      <c r="D158" s="1388" t="e">
        <f t="shared" si="22"/>
        <v>#REF!</v>
      </c>
      <c r="E158" s="1388" t="e">
        <f t="shared" si="22"/>
        <v>#REF!</v>
      </c>
      <c r="F158" s="1388" t="e">
        <f t="shared" si="22"/>
        <v>#REF!</v>
      </c>
      <c r="G158" s="1388" t="e">
        <f t="shared" si="22"/>
        <v>#REF!</v>
      </c>
      <c r="H158" s="1677" t="e">
        <f t="shared" si="22"/>
        <v>#REF!</v>
      </c>
    </row>
    <row r="159" spans="1:8" x14ac:dyDescent="0.2">
      <c r="A159" s="1076" t="s">
        <v>996</v>
      </c>
      <c r="B159" s="418" t="s">
        <v>56</v>
      </c>
      <c r="C159" s="1388">
        <f>'TR &amp; BSS, TLF voltage wise'!C50</f>
        <v>119.814608368211</v>
      </c>
      <c r="D159" s="1388">
        <f>'TR &amp; BSS, TLF voltage wise'!D50</f>
        <v>122.857647263781</v>
      </c>
      <c r="E159" s="1388">
        <f>'TR &amp; BSS, TLF voltage wise'!E50</f>
        <v>142.196126994678</v>
      </c>
      <c r="F159" s="1388">
        <f>'TR &amp; BSS, TLF voltage wise'!F50</f>
        <v>127.71702969649699</v>
      </c>
      <c r="G159" s="1388">
        <f>'TR &amp; BSS, TLF voltage wise'!G50</f>
        <v>130.05149186644201</v>
      </c>
      <c r="H159" s="1388">
        <f>'TR &amp; BSS, TLF voltage wise'!H50</f>
        <v>128.05851042715699</v>
      </c>
    </row>
    <row r="160" spans="1:8" x14ac:dyDescent="0.2">
      <c r="A160" s="6"/>
      <c r="B160" s="8"/>
      <c r="C160" s="702"/>
      <c r="D160" s="702"/>
      <c r="E160" s="702"/>
      <c r="F160" s="702"/>
      <c r="G160" s="702"/>
      <c r="H160" s="703"/>
    </row>
    <row r="161" spans="1:8" x14ac:dyDescent="0.2">
      <c r="A161" s="17" t="s">
        <v>33</v>
      </c>
      <c r="B161" s="8"/>
      <c r="C161" s="702"/>
      <c r="D161" s="702"/>
      <c r="E161" s="702"/>
      <c r="F161" s="702"/>
      <c r="G161" s="702"/>
      <c r="H161" s="703"/>
    </row>
    <row r="162" spans="1:8" x14ac:dyDescent="0.2">
      <c r="A162" s="16" t="s">
        <v>197</v>
      </c>
      <c r="B162" s="418" t="s">
        <v>37</v>
      </c>
      <c r="C162" s="1678">
        <f>'TR &amp; BSS, TLF voltage wise'!C57</f>
        <v>6.6175476136660655E-3</v>
      </c>
      <c r="D162" s="1678">
        <f>'TR &amp; BSS, TLF voltage wise'!D57</f>
        <v>6.6175476136660655E-3</v>
      </c>
      <c r="E162" s="1678">
        <f>'TR &amp; BSS, TLF voltage wise'!E57</f>
        <v>6.6175476136660655E-3</v>
      </c>
      <c r="F162" s="1678">
        <f>'TR &amp; BSS, TLF voltage wise'!F57</f>
        <v>6.6175476136660647E-3</v>
      </c>
      <c r="G162" s="1678">
        <f>'TR &amp; BSS, TLF voltage wise'!G57</f>
        <v>6.6175476136660655E-3</v>
      </c>
      <c r="H162" s="1678">
        <f>'TR &amp; BSS, TLF voltage wise'!H57</f>
        <v>6.6175476136660647E-3</v>
      </c>
    </row>
    <row r="163" spans="1:8" x14ac:dyDescent="0.2">
      <c r="A163" s="16" t="s">
        <v>198</v>
      </c>
      <c r="B163" s="418" t="s">
        <v>88</v>
      </c>
      <c r="C163" s="1388" t="e">
        <f>'Gen. Energy Cost 220 (2)'!E12</f>
        <v>#REF!</v>
      </c>
      <c r="D163" s="702" t="e">
        <f>'Gen. Energy Cost 220 (2)'!K12</f>
        <v>#REF!</v>
      </c>
      <c r="E163" s="702" t="e">
        <f>'Gen. Energy Cost 220 (2)'!Q12</f>
        <v>#REF!</v>
      </c>
      <c r="F163" s="702" t="e">
        <f>'Gen. Energy Cost 220 (2)'!W12</f>
        <v>#REF!</v>
      </c>
      <c r="G163" s="702" t="e">
        <f>'Gen. Energy Cost 220 (2)'!AC12</f>
        <v>#REF!</v>
      </c>
      <c r="H163" s="703" t="e">
        <f>'Gen. Energy Cost 220 (2)'!AI12</f>
        <v>#REF!</v>
      </c>
    </row>
    <row r="164" spans="1:8" x14ac:dyDescent="0.2">
      <c r="A164" s="1076" t="s">
        <v>51</v>
      </c>
      <c r="B164" s="418" t="s">
        <v>88</v>
      </c>
      <c r="C164" s="1388" t="e">
        <f t="shared" ref="C164:H164" si="23">+(1+C162)*C163</f>
        <v>#REF!</v>
      </c>
      <c r="D164" s="1388" t="e">
        <f t="shared" si="23"/>
        <v>#REF!</v>
      </c>
      <c r="E164" s="1388" t="e">
        <f t="shared" si="23"/>
        <v>#REF!</v>
      </c>
      <c r="F164" s="1388" t="e">
        <f t="shared" si="23"/>
        <v>#REF!</v>
      </c>
      <c r="G164" s="1388" t="e">
        <f t="shared" si="23"/>
        <v>#REF!</v>
      </c>
      <c r="H164" s="1677" t="e">
        <f t="shared" si="23"/>
        <v>#REF!</v>
      </c>
    </row>
    <row r="165" spans="1:8" ht="13.2" thickBot="1" x14ac:dyDescent="0.25">
      <c r="A165" s="1682" t="s">
        <v>996</v>
      </c>
      <c r="B165" s="1679" t="s">
        <v>56</v>
      </c>
      <c r="C165" s="1680">
        <f>'TR &amp; BSS, TLF voltage wise'!C56</f>
        <v>333.04042950582999</v>
      </c>
      <c r="D165" s="1680">
        <f>'TR &amp; BSS, TLF voltage wise'!D56</f>
        <v>341.49895551185199</v>
      </c>
      <c r="E165" s="1680">
        <f>'TR &amp; BSS, TLF voltage wise'!E56</f>
        <v>395.25279807982002</v>
      </c>
      <c r="F165" s="1680">
        <f>'TR &amp; BSS, TLF voltage wise'!F56</f>
        <v>355.006246772623</v>
      </c>
      <c r="G165" s="1680">
        <f>'TR &amp; BSS, TLF voltage wise'!G56</f>
        <v>361.49519076978902</v>
      </c>
      <c r="H165" s="1680">
        <f>'TR &amp; BSS, TLF voltage wise'!H56</f>
        <v>355.95543728249299</v>
      </c>
    </row>
    <row r="166" spans="1:8" x14ac:dyDescent="0.2">
      <c r="D166" s="165"/>
      <c r="E166" s="184"/>
    </row>
    <row r="167" spans="1:8" ht="13.2" thickBot="1" x14ac:dyDescent="0.25">
      <c r="D167" s="165"/>
      <c r="E167" s="184"/>
    </row>
    <row r="168" spans="1:8" ht="25.2" x14ac:dyDescent="0.2">
      <c r="A168" s="339" t="s">
        <v>199</v>
      </c>
      <c r="B168" s="340" t="s">
        <v>88</v>
      </c>
      <c r="C168" s="393" t="e">
        <f>SUMPRODUCT(C152:H152,C153:H153)/SUM(C153:H153)</f>
        <v>#REF!</v>
      </c>
      <c r="D168" s="165">
        <v>9.6849364230233661</v>
      </c>
      <c r="E168" s="184"/>
    </row>
    <row r="169" spans="1:8" ht="25.2" x14ac:dyDescent="0.2">
      <c r="A169" s="341" t="s">
        <v>200</v>
      </c>
      <c r="B169" s="342" t="s">
        <v>88</v>
      </c>
      <c r="C169" s="394" t="e">
        <f>SUMPRODUCT(C158:H158,C159:H159)/SUM(C159:H159)</f>
        <v>#REF!</v>
      </c>
      <c r="D169" s="165">
        <v>12.60748767845531</v>
      </c>
      <c r="E169" s="184"/>
    </row>
    <row r="170" spans="1:8" ht="25.8" thickBot="1" x14ac:dyDescent="0.25">
      <c r="A170" s="343" t="s">
        <v>201</v>
      </c>
      <c r="B170" s="344" t="s">
        <v>88</v>
      </c>
      <c r="C170" s="395" t="e">
        <f>SUMPRODUCT(C164:H164,C165:H165)/SUM(C165:H165)</f>
        <v>#REF!</v>
      </c>
      <c r="D170" s="165">
        <v>5.8026573696667558</v>
      </c>
      <c r="E170" s="184"/>
    </row>
  </sheetData>
  <mergeCells count="3">
    <mergeCell ref="A3:B3"/>
    <mergeCell ref="A31:A32"/>
    <mergeCell ref="A46:A47"/>
  </mergeCells>
  <pageMargins left="0.87" right="0.19" top="1" bottom="0.33" header="0" footer="0"/>
  <pageSetup paperSize="9" scale="26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80577" r:id="rId4" name="CommandButton1">
          <controlPr defaultSize="0" autoLine="0" r:id="rId5">
            <anchor moveWithCells="1">
              <from>
                <xdr:col>2</xdr:col>
                <xdr:colOff>30480</xdr:colOff>
                <xdr:row>2</xdr:row>
                <xdr:rowOff>30480</xdr:rowOff>
              </from>
              <to>
                <xdr:col>2</xdr:col>
                <xdr:colOff>784860</xdr:colOff>
                <xdr:row>3</xdr:row>
                <xdr:rowOff>99060</xdr:rowOff>
              </to>
            </anchor>
          </controlPr>
        </control>
      </mc:Choice>
      <mc:Fallback>
        <control shapeId="280577" r:id="rId4" name="CommandButton1"/>
      </mc:Fallback>
    </mc:AlternateContent>
  </control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47">
    <tabColor theme="9"/>
    <pageSetUpPr fitToPage="1"/>
  </sheetPr>
  <dimension ref="A1:BU199"/>
  <sheetViews>
    <sheetView showGridLines="0" showWhiteSpace="0" workbookViewId="0">
      <selection activeCell="C168" sqref="C168:C170"/>
    </sheetView>
  </sheetViews>
  <sheetFormatPr defaultColWidth="11" defaultRowHeight="12.6" x14ac:dyDescent="0.2"/>
  <cols>
    <col min="1" max="1" width="30" customWidth="1"/>
    <col min="2" max="2" width="11.6328125" bestFit="1" customWidth="1"/>
    <col min="3" max="8" width="20" bestFit="1" customWidth="1"/>
    <col min="9" max="9" width="12.453125" bestFit="1" customWidth="1"/>
    <col min="12" max="12" width="20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6" max="36" width="19" bestFit="1" customWidth="1"/>
    <col min="37" max="37" width="20" bestFit="1" customWidth="1"/>
    <col min="38" max="39" width="20" customWidth="1"/>
  </cols>
  <sheetData>
    <row r="1" spans="1:39" s="27" customFormat="1" ht="22.2" x14ac:dyDescent="0.35">
      <c r="A1" s="3" t="s">
        <v>174</v>
      </c>
      <c r="F1" s="943"/>
      <c r="G1" s="943"/>
    </row>
    <row r="2" spans="1:39" ht="22.2" x14ac:dyDescent="0.35">
      <c r="F2" s="943"/>
      <c r="G2" s="943"/>
    </row>
    <row r="4" spans="1:39" ht="13.2" hidden="1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9" ht="13.2" hidden="1" thickBot="1" x14ac:dyDescent="0.25">
      <c r="A5" s="26"/>
      <c r="B5" s="23" t="s">
        <v>36</v>
      </c>
      <c r="C5" s="425">
        <f>'Gen. Capacity 33'!C4</f>
        <v>46023</v>
      </c>
      <c r="D5" s="425">
        <f>'Gen. Capacity 33'!D4</f>
        <v>46054</v>
      </c>
      <c r="E5" s="425">
        <f>'Gen. Capacity 33'!E4</f>
        <v>46082</v>
      </c>
      <c r="F5" s="425">
        <f>'Gen. Capacity 33'!F4</f>
        <v>46113</v>
      </c>
      <c r="G5" s="425">
        <f>'Gen. Capacity 33'!G4</f>
        <v>46143</v>
      </c>
      <c r="H5" s="425">
        <f>'Gen. Capacity 33'!H4</f>
        <v>46174</v>
      </c>
      <c r="J5" s="103"/>
      <c r="K5" s="44"/>
      <c r="L5" s="104"/>
    </row>
    <row r="6" spans="1:39" ht="13.2" hidden="1" thickBot="1" x14ac:dyDescent="0.25">
      <c r="A6" s="88" t="s">
        <v>177</v>
      </c>
      <c r="B6" s="87" t="s">
        <v>88</v>
      </c>
      <c r="C6" s="388" t="e">
        <f t="shared" ref="C6:H6" si="0">C160/C159</f>
        <v>#DIV/0!</v>
      </c>
      <c r="D6" s="388" t="e">
        <f t="shared" si="0"/>
        <v>#DIV/0!</v>
      </c>
      <c r="E6" s="388" t="e">
        <f t="shared" si="0"/>
        <v>#DIV/0!</v>
      </c>
      <c r="F6" s="388" t="e">
        <f t="shared" si="0"/>
        <v>#DIV/0!</v>
      </c>
      <c r="G6" s="388" t="e">
        <f t="shared" si="0"/>
        <v>#DIV/0!</v>
      </c>
      <c r="H6" s="388" t="e">
        <f t="shared" si="0"/>
        <v>#DIV/0!</v>
      </c>
      <c r="I6" s="426" t="e">
        <f>AVERAGE(C6:H6)</f>
        <v>#DIV/0!</v>
      </c>
      <c r="J6" s="84"/>
      <c r="K6" s="85"/>
      <c r="L6" s="85"/>
    </row>
    <row r="7" spans="1:39" ht="13.2" hidden="1" thickBot="1" x14ac:dyDescent="0.25"/>
    <row r="8" spans="1:39" ht="13.8" hidden="1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9" ht="37.799999999999997" hidden="1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hidden="1" x14ac:dyDescent="0.2">
      <c r="A10" s="352" t="s">
        <v>20</v>
      </c>
      <c r="B10" s="581">
        <f>$C$156*'tx consumer data'!O78</f>
        <v>0</v>
      </c>
      <c r="C10" s="1357">
        <v>1</v>
      </c>
      <c r="D10" s="1044">
        <f>C10*C17</f>
        <v>1.1423584268442086</v>
      </c>
      <c r="E10" s="1045" t="e">
        <f>$C$6*D10</f>
        <v>#DIV/0!</v>
      </c>
      <c r="F10" s="402"/>
      <c r="G10" s="352" t="s">
        <v>20</v>
      </c>
      <c r="H10" s="581">
        <f>$D$156*'tx consumer data'!O78</f>
        <v>0</v>
      </c>
      <c r="I10" s="1357">
        <v>1</v>
      </c>
      <c r="J10" s="1044">
        <f>I10*I17</f>
        <v>1.1423584268442086</v>
      </c>
      <c r="K10" s="1045" t="e">
        <f>$D$6*J10</f>
        <v>#DIV/0!</v>
      </c>
      <c r="L10" s="402"/>
      <c r="M10" s="352" t="s">
        <v>20</v>
      </c>
      <c r="N10" s="581">
        <f>$E$156*'tx consumer data'!O78</f>
        <v>0</v>
      </c>
      <c r="O10" s="1357">
        <v>1</v>
      </c>
      <c r="P10" s="1044">
        <f>O10*O17</f>
        <v>1.1362257614593394</v>
      </c>
      <c r="Q10" s="1045" t="e">
        <f>$E$6*P10</f>
        <v>#DIV/0!</v>
      </c>
      <c r="R10" s="402"/>
      <c r="S10" s="352" t="s">
        <v>20</v>
      </c>
      <c r="T10" s="581">
        <f>$F$156*'tx consumer data'!O78</f>
        <v>0</v>
      </c>
      <c r="U10" s="1357">
        <v>1</v>
      </c>
      <c r="V10" s="1044">
        <f>U10*U17</f>
        <v>1.1423584268442086</v>
      </c>
      <c r="W10" s="1045" t="e">
        <f>$F$6*V10</f>
        <v>#DIV/0!</v>
      </c>
      <c r="X10" s="402"/>
      <c r="Y10" s="352" t="s">
        <v>20</v>
      </c>
      <c r="Z10" s="581">
        <f>$G$156*'tx consumer data'!O78</f>
        <v>0</v>
      </c>
      <c r="AA10" s="1357">
        <v>1</v>
      </c>
      <c r="AB10" s="1044">
        <f>AA10*AA17</f>
        <v>1.1423584268442086</v>
      </c>
      <c r="AC10" s="1045" t="e">
        <f>$G$6*AB10</f>
        <v>#DIV/0!</v>
      </c>
      <c r="AD10" s="402"/>
      <c r="AE10" s="352" t="s">
        <v>20</v>
      </c>
      <c r="AF10" s="581">
        <f>$H$156*'tx consumer data'!O78</f>
        <v>0</v>
      </c>
      <c r="AG10" s="1357">
        <v>1</v>
      </c>
      <c r="AH10" s="1044">
        <f>AG10*AG17</f>
        <v>1.1423584268442086</v>
      </c>
      <c r="AI10" s="1045" t="e">
        <f>$H$6*AH10</f>
        <v>#DIV/0!</v>
      </c>
      <c r="AJ10" s="402"/>
      <c r="AK10" s="402"/>
      <c r="AL10" s="402"/>
      <c r="AM10" s="402"/>
    </row>
    <row r="11" spans="1:39" hidden="1" x14ac:dyDescent="0.2">
      <c r="A11" s="352" t="s">
        <v>21</v>
      </c>
      <c r="B11" s="581">
        <f>$C$156*'tx consumer data'!O79</f>
        <v>0</v>
      </c>
      <c r="C11" s="1357">
        <v>1.3</v>
      </c>
      <c r="D11" s="1044">
        <f>C11*C17</f>
        <v>1.4850659548974712</v>
      </c>
      <c r="E11" s="1045" t="e">
        <f>$C$6*D11</f>
        <v>#DIV/0!</v>
      </c>
      <c r="F11" s="402"/>
      <c r="G11" s="352" t="s">
        <v>21</v>
      </c>
      <c r="H11" s="581">
        <f>$D$156*'tx consumer data'!O79</f>
        <v>0</v>
      </c>
      <c r="I11" s="1357">
        <v>1.3</v>
      </c>
      <c r="J11" s="1044">
        <f>I11*I17</f>
        <v>1.4850659548974712</v>
      </c>
      <c r="K11" s="1045" t="e">
        <f>$D$6*J11</f>
        <v>#DIV/0!</v>
      </c>
      <c r="L11" s="402"/>
      <c r="M11" s="352" t="s">
        <v>21</v>
      </c>
      <c r="N11" s="581">
        <f>$C$156*'tx consumer data'!O79</f>
        <v>0</v>
      </c>
      <c r="O11" s="1357">
        <v>1.3</v>
      </c>
      <c r="P11" s="1044">
        <f>O11*O17</f>
        <v>1.4770934898971413</v>
      </c>
      <c r="Q11" s="1045" t="e">
        <f>$E$6*P11</f>
        <v>#DIV/0!</v>
      </c>
      <c r="R11" s="402"/>
      <c r="S11" s="352" t="s">
        <v>21</v>
      </c>
      <c r="T11" s="581">
        <f>$F$156*'tx consumer data'!O79</f>
        <v>0</v>
      </c>
      <c r="U11" s="1357">
        <v>1.3</v>
      </c>
      <c r="V11" s="1044">
        <f>U11*U17</f>
        <v>1.4850659548974712</v>
      </c>
      <c r="W11" s="1045" t="e">
        <f>$F$6*V11</f>
        <v>#DIV/0!</v>
      </c>
      <c r="X11" s="402"/>
      <c r="Y11" s="352" t="s">
        <v>21</v>
      </c>
      <c r="Z11" s="581">
        <f>$G$156*'tx consumer data'!O79</f>
        <v>0</v>
      </c>
      <c r="AA11" s="1357">
        <v>1.3</v>
      </c>
      <c r="AB11" s="1044">
        <f>AA11*AA17</f>
        <v>1.4850659548974712</v>
      </c>
      <c r="AC11" s="1045" t="e">
        <f>$G$6*AB11</f>
        <v>#DIV/0!</v>
      </c>
      <c r="AD11" s="402"/>
      <c r="AE11" s="352" t="s">
        <v>21</v>
      </c>
      <c r="AF11" s="581">
        <f>$H$156*'tx consumer data'!O79</f>
        <v>0</v>
      </c>
      <c r="AG11" s="1357">
        <v>1.3</v>
      </c>
      <c r="AH11" s="1044">
        <f>AG11*AG17</f>
        <v>1.4850659548974712</v>
      </c>
      <c r="AI11" s="1045" t="e">
        <f>$H$6*AH11</f>
        <v>#DIV/0!</v>
      </c>
      <c r="AJ11" s="402"/>
      <c r="AK11" s="402"/>
      <c r="AL11" s="402"/>
      <c r="AM11" s="402"/>
    </row>
    <row r="12" spans="1:39" ht="13.2" hidden="1" thickBot="1" x14ac:dyDescent="0.25">
      <c r="A12" s="353" t="s">
        <v>22</v>
      </c>
      <c r="B12" s="582">
        <f>$C$156*'tx consumer data'!O80</f>
        <v>0</v>
      </c>
      <c r="C12" s="1530">
        <v>0.6</v>
      </c>
      <c r="D12" s="1046">
        <f>C12*C17</f>
        <v>0.6854150561065252</v>
      </c>
      <c r="E12" s="1047" t="e">
        <f>$C$6*D12</f>
        <v>#DIV/0!</v>
      </c>
      <c r="F12" s="402"/>
      <c r="G12" s="353" t="s">
        <v>22</v>
      </c>
      <c r="H12" s="582">
        <f>$D$156*'tx consumer data'!O80</f>
        <v>0</v>
      </c>
      <c r="I12" s="1530">
        <v>0.6</v>
      </c>
      <c r="J12" s="1046">
        <f>I12*I17</f>
        <v>0.6854150561065252</v>
      </c>
      <c r="K12" s="1047" t="e">
        <f>$D$6*J12</f>
        <v>#DIV/0!</v>
      </c>
      <c r="L12" s="402"/>
      <c r="M12" s="353" t="s">
        <v>22</v>
      </c>
      <c r="N12" s="582">
        <f>$E$156*'tx consumer data'!O80</f>
        <v>0</v>
      </c>
      <c r="O12" s="1530">
        <v>0.6</v>
      </c>
      <c r="P12" s="1046">
        <f>O12*O17</f>
        <v>0.68173545687560366</v>
      </c>
      <c r="Q12" s="1047" t="e">
        <f>$E$6*P12</f>
        <v>#DIV/0!</v>
      </c>
      <c r="R12" s="402"/>
      <c r="S12" s="353" t="s">
        <v>22</v>
      </c>
      <c r="T12" s="582">
        <f>$F$156*'tx consumer data'!O80</f>
        <v>0</v>
      </c>
      <c r="U12" s="1530">
        <v>0.6</v>
      </c>
      <c r="V12" s="1046">
        <f>U12*U17</f>
        <v>0.6854150561065252</v>
      </c>
      <c r="W12" s="1047" t="e">
        <f>$F$6*V12</f>
        <v>#DIV/0!</v>
      </c>
      <c r="X12" s="402"/>
      <c r="Y12" s="353" t="s">
        <v>22</v>
      </c>
      <c r="Z12" s="582">
        <f>$G$156*'tx consumer data'!O80</f>
        <v>0</v>
      </c>
      <c r="AA12" s="1530">
        <v>0.6</v>
      </c>
      <c r="AB12" s="1046">
        <f>AA12*AA17</f>
        <v>0.6854150561065252</v>
      </c>
      <c r="AC12" s="1047" t="e">
        <f>$G$6*AB12</f>
        <v>#DIV/0!</v>
      </c>
      <c r="AD12" s="402"/>
      <c r="AE12" s="353" t="s">
        <v>22</v>
      </c>
      <c r="AF12" s="582">
        <f>$H$156*'tx consumer data'!O80</f>
        <v>0</v>
      </c>
      <c r="AG12" s="1530">
        <v>0.6</v>
      </c>
      <c r="AH12" s="1046">
        <f>AG12*AG17</f>
        <v>0.6854150561065252</v>
      </c>
      <c r="AI12" s="1047" t="e">
        <f>$H$6*AH12</f>
        <v>#DIV/0!</v>
      </c>
      <c r="AJ12" s="402"/>
      <c r="AK12" s="402"/>
      <c r="AL12" s="402"/>
      <c r="AM12" s="402"/>
    </row>
    <row r="13" spans="1:39" ht="13.2" hidden="1" thickBot="1" x14ac:dyDescent="0.25">
      <c r="A13" s="99"/>
      <c r="B13" s="1531">
        <f>B10+B11+B12</f>
        <v>0</v>
      </c>
      <c r="C13" s="85"/>
      <c r="E13" s="100"/>
      <c r="F13" s="402"/>
      <c r="G13" s="99"/>
      <c r="H13" s="399"/>
      <c r="I13" s="85"/>
      <c r="K13" s="100"/>
      <c r="L13" s="402"/>
      <c r="M13" s="99"/>
      <c r="N13" s="399"/>
      <c r="O13" s="85"/>
      <c r="Q13" s="100"/>
      <c r="R13" s="402"/>
      <c r="S13" s="99"/>
      <c r="T13" s="399"/>
      <c r="U13" s="85"/>
      <c r="W13" s="100"/>
      <c r="X13" s="402"/>
      <c r="Y13" s="99"/>
      <c r="Z13" s="399"/>
      <c r="AA13" s="85"/>
      <c r="AC13" s="100"/>
      <c r="AD13" s="402"/>
      <c r="AE13" s="99"/>
      <c r="AF13" s="399"/>
      <c r="AG13" s="85"/>
      <c r="AI13" s="100"/>
      <c r="AJ13" s="402"/>
      <c r="AK13" s="402"/>
      <c r="AL13" s="402"/>
      <c r="AM13" s="402"/>
    </row>
    <row r="14" spans="1:39" hidden="1" x14ac:dyDescent="0.2">
      <c r="A14" s="531" t="s">
        <v>179</v>
      </c>
      <c r="B14" s="532" t="s">
        <v>60</v>
      </c>
      <c r="C14" s="533" t="e">
        <f>C6*SUM(B10:B12)</f>
        <v>#DIV/0!</v>
      </c>
      <c r="E14" s="100"/>
      <c r="F14" s="402"/>
      <c r="G14" s="531" t="s">
        <v>179</v>
      </c>
      <c r="H14" s="532" t="s">
        <v>60</v>
      </c>
      <c r="I14" s="533" t="e">
        <f>D6*SUM(H10:H12)</f>
        <v>#DIV/0!</v>
      </c>
      <c r="K14" s="100"/>
      <c r="M14" s="531" t="s">
        <v>179</v>
      </c>
      <c r="N14" s="532" t="s">
        <v>60</v>
      </c>
      <c r="O14" s="533" t="e">
        <f>E6*SUM(N10:N12)</f>
        <v>#DIV/0!</v>
      </c>
      <c r="Q14" s="100"/>
      <c r="S14" s="531" t="s">
        <v>179</v>
      </c>
      <c r="T14" s="532" t="s">
        <v>60</v>
      </c>
      <c r="U14" s="533" t="e">
        <f>F6*SUM(T10:T12)</f>
        <v>#DIV/0!</v>
      </c>
      <c r="W14" s="100"/>
      <c r="Y14" s="531" t="s">
        <v>179</v>
      </c>
      <c r="Z14" s="532" t="s">
        <v>60</v>
      </c>
      <c r="AA14" s="533" t="e">
        <f>G6*SUM(Z10:Z12)</f>
        <v>#DIV/0!</v>
      </c>
      <c r="AC14" s="100"/>
      <c r="AE14" s="531" t="s">
        <v>179</v>
      </c>
      <c r="AF14" s="532" t="s">
        <v>60</v>
      </c>
      <c r="AG14" s="533" t="e">
        <f>H6*SUM(AF10:AF12)</f>
        <v>#DIV/0!</v>
      </c>
      <c r="AI14" s="100"/>
    </row>
    <row r="15" spans="1:39" hidden="1" x14ac:dyDescent="0.2">
      <c r="A15" s="534" t="s">
        <v>180</v>
      </c>
      <c r="B15" s="85" t="s">
        <v>60</v>
      </c>
      <c r="C15" s="535" t="e">
        <f>SUMPRODUCT(B10:B12,E10:E12)</f>
        <v>#DIV/0!</v>
      </c>
      <c r="E15" s="100"/>
      <c r="G15" s="534" t="s">
        <v>180</v>
      </c>
      <c r="H15" s="85" t="s">
        <v>60</v>
      </c>
      <c r="I15" s="535" t="e">
        <f>SUMPRODUCT(H10:H12,K10:K12)</f>
        <v>#DIV/0!</v>
      </c>
      <c r="K15" s="100"/>
      <c r="M15" s="534" t="s">
        <v>180</v>
      </c>
      <c r="N15" s="85" t="s">
        <v>60</v>
      </c>
      <c r="O15" s="535" t="e">
        <f>SUMPRODUCT(N10:N12,Q10:Q12)</f>
        <v>#DIV/0!</v>
      </c>
      <c r="Q15" s="100"/>
      <c r="S15" s="534" t="s">
        <v>180</v>
      </c>
      <c r="T15" s="85" t="s">
        <v>60</v>
      </c>
      <c r="U15" s="535" t="e">
        <f>SUMPRODUCT(T10:T12,W10:W12)</f>
        <v>#DIV/0!</v>
      </c>
      <c r="W15" s="100"/>
      <c r="Y15" s="534" t="s">
        <v>180</v>
      </c>
      <c r="Z15" s="85" t="s">
        <v>60</v>
      </c>
      <c r="AA15" s="535" t="e">
        <f>SUMPRODUCT(Z10:Z12,AC10:AC12)</f>
        <v>#DIV/0!</v>
      </c>
      <c r="AC15" s="100"/>
      <c r="AE15" s="534" t="s">
        <v>180</v>
      </c>
      <c r="AF15" s="85" t="s">
        <v>60</v>
      </c>
      <c r="AG15" s="535" t="e">
        <f>SUMPRODUCT(AF10:AF12,AI10:AI12)</f>
        <v>#DIV/0!</v>
      </c>
      <c r="AI15" s="100"/>
    </row>
    <row r="16" spans="1:39" hidden="1" x14ac:dyDescent="0.2">
      <c r="A16" s="534" t="s">
        <v>184</v>
      </c>
      <c r="B16" s="85" t="s">
        <v>60</v>
      </c>
      <c r="C16" s="535" t="e">
        <f>C14-C15</f>
        <v>#DIV/0!</v>
      </c>
      <c r="E16" s="100"/>
      <c r="G16" s="534" t="s">
        <v>184</v>
      </c>
      <c r="H16" s="85" t="s">
        <v>60</v>
      </c>
      <c r="I16" s="535" t="e">
        <f>I14-I15</f>
        <v>#DIV/0!</v>
      </c>
      <c r="K16" s="100"/>
      <c r="M16" s="534" t="s">
        <v>184</v>
      </c>
      <c r="N16" s="85" t="s">
        <v>60</v>
      </c>
      <c r="O16" s="535" t="e">
        <f>O14-O15</f>
        <v>#DIV/0!</v>
      </c>
      <c r="Q16" s="100"/>
      <c r="S16" s="534" t="s">
        <v>184</v>
      </c>
      <c r="T16" s="85" t="s">
        <v>60</v>
      </c>
      <c r="U16" s="535" t="e">
        <f>U14-U15</f>
        <v>#DIV/0!</v>
      </c>
      <c r="W16" s="100"/>
      <c r="Y16" s="534" t="s">
        <v>184</v>
      </c>
      <c r="Z16" s="85" t="s">
        <v>60</v>
      </c>
      <c r="AA16" s="535" t="e">
        <f>AA14-AA15</f>
        <v>#DIV/0!</v>
      </c>
      <c r="AC16" s="100"/>
      <c r="AE16" s="534" t="s">
        <v>184</v>
      </c>
      <c r="AF16" s="85" t="s">
        <v>60</v>
      </c>
      <c r="AG16" s="535" t="e">
        <f>AG14-AG15</f>
        <v>#DIV/0!</v>
      </c>
      <c r="AI16" s="100"/>
    </row>
    <row r="17" spans="1:55" ht="13.2" hidden="1" thickBot="1" x14ac:dyDescent="0.25">
      <c r="A17" s="536" t="s">
        <v>187</v>
      </c>
      <c r="B17" s="537" t="s">
        <v>188</v>
      </c>
      <c r="C17" s="538">
        <v>1.1423584268442086</v>
      </c>
      <c r="D17" s="101"/>
      <c r="E17" s="102"/>
      <c r="G17" s="536" t="s">
        <v>187</v>
      </c>
      <c r="H17" s="537" t="s">
        <v>188</v>
      </c>
      <c r="I17" s="538">
        <v>1.1423584268442086</v>
      </c>
      <c r="J17" s="101"/>
      <c r="K17" s="102"/>
      <c r="M17" s="536" t="s">
        <v>187</v>
      </c>
      <c r="N17" s="537" t="s">
        <v>188</v>
      </c>
      <c r="O17" s="538">
        <v>1.1362257614593394</v>
      </c>
      <c r="P17" s="101"/>
      <c r="Q17" s="102"/>
      <c r="S17" s="536" t="s">
        <v>187</v>
      </c>
      <c r="T17" s="537" t="s">
        <v>188</v>
      </c>
      <c r="U17" s="538">
        <v>1.1423584268442086</v>
      </c>
      <c r="V17" s="101"/>
      <c r="W17" s="102"/>
      <c r="Y17" s="536" t="s">
        <v>187</v>
      </c>
      <c r="Z17" s="537" t="s">
        <v>188</v>
      </c>
      <c r="AA17" s="538">
        <v>1.1423584268442086</v>
      </c>
      <c r="AB17" s="101"/>
      <c r="AC17" s="102"/>
      <c r="AE17" s="536" t="s">
        <v>187</v>
      </c>
      <c r="AF17" s="537" t="s">
        <v>188</v>
      </c>
      <c r="AG17" s="538">
        <v>1.1423584268442086</v>
      </c>
      <c r="AH17" s="101"/>
      <c r="AI17" s="102"/>
    </row>
    <row r="18" spans="1:55" x14ac:dyDescent="0.2">
      <c r="A18" s="84"/>
      <c r="B18" s="85"/>
      <c r="C18" s="85"/>
    </row>
    <row r="19" spans="1:55" x14ac:dyDescent="0.2">
      <c r="B19" s="85"/>
      <c r="C19" s="85"/>
    </row>
    <row r="20" spans="1:55" ht="13.2" thickBot="1" x14ac:dyDescent="0.25">
      <c r="A20" s="2929" t="s">
        <v>1016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2931"/>
      <c r="AY20" s="2931"/>
      <c r="AZ20" s="2931"/>
      <c r="BA20" s="4"/>
    </row>
    <row r="21" spans="1:55" ht="13.2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x14ac:dyDescent="0.3">
      <c r="A22" s="2936" t="s">
        <v>962</v>
      </c>
      <c r="B22" s="418" t="s">
        <v>56</v>
      </c>
      <c r="C22" s="1532">
        <f>'hydro en &amp; capcost voltage wise'!E19/2</f>
        <v>0</v>
      </c>
      <c r="D22" s="1532">
        <f>'hydro en &amp; capcost voltage wise'!F19/2</f>
        <v>0</v>
      </c>
      <c r="E22" s="1532">
        <f>'hydro en &amp; capcost voltage wise'!G19/2</f>
        <v>0</v>
      </c>
      <c r="F22" s="1532">
        <f>'hydro en &amp; capcost voltage wise'!H19/2</f>
        <v>143.03824279352114</v>
      </c>
      <c r="G22" s="1532">
        <f>'hydro en &amp; capcost voltage wise'!I19/2</f>
        <v>164.65556589977493</v>
      </c>
      <c r="H22" s="1532">
        <f>'hydro en &amp; capcost voltage wise'!J19/2</f>
        <v>172.38838744221007</v>
      </c>
      <c r="I22" s="780" t="s">
        <v>595</v>
      </c>
      <c r="J22" s="615">
        <v>301.23</v>
      </c>
      <c r="K22" s="165"/>
      <c r="L22" s="165"/>
      <c r="M22" s="165"/>
    </row>
    <row r="23" spans="1:55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5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5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5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5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5" hidden="1" x14ac:dyDescent="0.2">
      <c r="A28" s="2936" t="s">
        <v>0</v>
      </c>
      <c r="B28" s="418" t="s">
        <v>56</v>
      </c>
      <c r="C28" s="1040"/>
      <c r="D28" s="1040"/>
      <c r="E28" s="1040"/>
      <c r="F28" s="1040"/>
      <c r="G28" s="1040"/>
      <c r="H28" s="1040"/>
      <c r="I28" s="165"/>
      <c r="J28" s="615"/>
    </row>
    <row r="29" spans="1:55" hidden="1" x14ac:dyDescent="0.2">
      <c r="A29" s="2942"/>
      <c r="B29" s="489" t="s">
        <v>88</v>
      </c>
      <c r="C29" s="658"/>
      <c r="D29" s="658"/>
      <c r="E29" s="658"/>
      <c r="F29" s="658"/>
      <c r="G29" s="658"/>
      <c r="H29" s="658"/>
    </row>
    <row r="30" spans="1:55" hidden="1" x14ac:dyDescent="0.2">
      <c r="A30" s="2936" t="s">
        <v>1</v>
      </c>
      <c r="B30" s="12" t="s">
        <v>56</v>
      </c>
      <c r="C30" s="1036"/>
      <c r="D30" s="1036"/>
      <c r="E30" s="1036"/>
      <c r="F30" s="1036"/>
      <c r="G30" s="1036"/>
      <c r="H30" s="1036"/>
      <c r="I30" s="165"/>
      <c r="J30" s="615"/>
    </row>
    <row r="31" spans="1:55" hidden="1" x14ac:dyDescent="0.2">
      <c r="A31" s="2937"/>
      <c r="B31" s="83" t="s">
        <v>88</v>
      </c>
      <c r="C31" s="311"/>
      <c r="D31" s="311"/>
      <c r="E31" s="311"/>
      <c r="F31" s="311"/>
      <c r="G31" s="311"/>
      <c r="H31" s="311"/>
      <c r="K31" s="184"/>
    </row>
    <row r="32" spans="1:55" hidden="1" x14ac:dyDescent="0.2">
      <c r="A32" s="2936" t="s">
        <v>2</v>
      </c>
      <c r="B32" s="12" t="s">
        <v>56</v>
      </c>
      <c r="C32" s="1037"/>
      <c r="D32" s="1037"/>
      <c r="E32" s="1037"/>
      <c r="F32" s="1037"/>
      <c r="G32" s="1037"/>
      <c r="H32" s="1037"/>
      <c r="I32" s="165"/>
      <c r="J32" s="615"/>
    </row>
    <row r="33" spans="1:11" hidden="1" x14ac:dyDescent="0.2">
      <c r="A33" s="2937"/>
      <c r="B33" s="83" t="s">
        <v>88</v>
      </c>
      <c r="C33" s="311"/>
      <c r="D33" s="311"/>
      <c r="E33" s="311"/>
      <c r="F33" s="311"/>
      <c r="G33" s="311"/>
      <c r="H33" s="311"/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hidden="1" x14ac:dyDescent="0.2">
      <c r="A36" s="3082" t="s">
        <v>4</v>
      </c>
      <c r="B36" s="571" t="s">
        <v>56</v>
      </c>
      <c r="C36" s="1533"/>
      <c r="D36" s="1533"/>
      <c r="E36" s="1533"/>
      <c r="F36" s="1533"/>
      <c r="G36" s="1533"/>
      <c r="H36" s="1533"/>
      <c r="I36" s="165"/>
      <c r="J36" s="615"/>
    </row>
    <row r="37" spans="1:11" hidden="1" x14ac:dyDescent="0.2">
      <c r="A37" s="3087"/>
      <c r="B37" s="575" t="s">
        <v>88</v>
      </c>
      <c r="C37" s="576"/>
      <c r="D37" s="576"/>
      <c r="E37" s="1534"/>
      <c r="F37" s="576"/>
      <c r="G37" s="576"/>
      <c r="H37" s="576"/>
    </row>
    <row r="38" spans="1:11" x14ac:dyDescent="0.2">
      <c r="A38" s="2936" t="s">
        <v>5</v>
      </c>
      <c r="B38" s="12" t="s">
        <v>56</v>
      </c>
      <c r="C38" s="1037">
        <f>'Gen. Energy Cost'!C38</f>
        <v>0</v>
      </c>
      <c r="D38" s="1037">
        <f>'Gen. Energy Cost'!D38</f>
        <v>0</v>
      </c>
      <c r="E38" s="1037">
        <f>'Gen. Energy Cost'!E38</f>
        <v>0</v>
      </c>
      <c r="F38" s="1037">
        <f>'Gen. Energy Cost'!F38</f>
        <v>84.525620000000004</v>
      </c>
      <c r="G38" s="1037">
        <f>'Gen. Energy Cost'!G38</f>
        <v>84.525599999999997</v>
      </c>
      <c r="H38" s="1037">
        <f>'Gen. Energy Cost'!H38</f>
        <v>84.525620000000004</v>
      </c>
      <c r="I38" s="165"/>
      <c r="J38" s="615"/>
      <c r="K38" s="184"/>
    </row>
    <row r="39" spans="1:11" x14ac:dyDescent="0.2">
      <c r="A39" s="2937"/>
      <c r="B39" s="83" t="s">
        <v>88</v>
      </c>
      <c r="C39" s="311">
        <f>'Gen. Energy Cost'!C39</f>
        <v>0</v>
      </c>
      <c r="D39" s="311">
        <f>'Gen. Energy Cost'!D39</f>
        <v>0</v>
      </c>
      <c r="E39" s="311">
        <f>'Gen. Energy Cost'!E39</f>
        <v>0</v>
      </c>
      <c r="F39" s="311">
        <f>'Gen. Energy Cost'!F39</f>
        <v>39.289046578981946</v>
      </c>
      <c r="G39" s="311">
        <f>'Gen. Energy Cost'!G39</f>
        <v>39.227940964165178</v>
      </c>
      <c r="H39" s="311">
        <f>'Gen. Energy Cost'!H39</f>
        <v>39.227940845596024</v>
      </c>
    </row>
    <row r="40" spans="1:11" x14ac:dyDescent="0.2">
      <c r="A40" s="2936" t="s">
        <v>803</v>
      </c>
      <c r="B40" s="12" t="s">
        <v>56</v>
      </c>
      <c r="C40" s="1037" t="e">
        <f>'Gen. Energy Cost'!#REF!</f>
        <v>#REF!</v>
      </c>
      <c r="D40" s="1037" t="e">
        <f>'Gen. Energy Cost'!#REF!</f>
        <v>#REF!</v>
      </c>
      <c r="E40" s="1037" t="e">
        <f>'Gen. Energy Cost'!#REF!</f>
        <v>#REF!</v>
      </c>
      <c r="F40" s="1037" t="e">
        <f>'Gen. Energy Cost'!#REF!</f>
        <v>#REF!</v>
      </c>
      <c r="G40" s="1037" t="e">
        <f>'Gen. Energy Cost'!#REF!</f>
        <v>#REF!</v>
      </c>
      <c r="H40" s="1037" t="e">
        <f>'Gen. Energy Cost'!#REF!</f>
        <v>#REF!</v>
      </c>
      <c r="I40" s="165"/>
      <c r="J40" s="615"/>
      <c r="K40" s="184"/>
    </row>
    <row r="41" spans="1:11" x14ac:dyDescent="0.2">
      <c r="A41" s="2937"/>
      <c r="B41" s="83" t="s">
        <v>88</v>
      </c>
      <c r="C41" s="311" t="e">
        <f>'Gen. Energy Cost'!#REF!</f>
        <v>#REF!</v>
      </c>
      <c r="D41" s="311" t="e">
        <f>'Gen. Energy Cost'!#REF!</f>
        <v>#REF!</v>
      </c>
      <c r="E41" s="311" t="e">
        <f>'Gen. Energy Cost'!#REF!</f>
        <v>#REF!</v>
      </c>
      <c r="F41" s="311" t="e">
        <f>'Gen. Energy Cost'!#REF!</f>
        <v>#REF!</v>
      </c>
      <c r="G41" s="311" t="e">
        <f>'Gen. Energy Cost'!#REF!</f>
        <v>#REF!</v>
      </c>
      <c r="H41" s="311" t="e">
        <f>'Gen. Energy Cost'!#REF!</f>
        <v>#REF!</v>
      </c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hidden="1" x14ac:dyDescent="0.2">
      <c r="A46" s="3082" t="s">
        <v>9</v>
      </c>
      <c r="B46" s="571" t="s">
        <v>56</v>
      </c>
      <c r="C46" s="1533"/>
      <c r="D46" s="1533"/>
      <c r="E46" s="1533"/>
      <c r="F46" s="1533"/>
      <c r="G46" s="1533"/>
      <c r="H46" s="1533"/>
      <c r="I46" s="165"/>
      <c r="J46" s="615"/>
    </row>
    <row r="47" spans="1:11" hidden="1" x14ac:dyDescent="0.2">
      <c r="A47" s="3083"/>
      <c r="B47" s="575" t="s">
        <v>88</v>
      </c>
      <c r="C47" s="576"/>
      <c r="D47" s="576"/>
      <c r="E47" s="576"/>
      <c r="F47" s="576"/>
      <c r="G47" s="576"/>
      <c r="H47" s="576"/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hidden="1" x14ac:dyDescent="0.2">
      <c r="A50" s="3085" t="s">
        <v>11</v>
      </c>
      <c r="B50" s="12" t="s">
        <v>56</v>
      </c>
      <c r="C50" s="1536"/>
      <c r="D50" s="1536"/>
      <c r="E50" s="1536"/>
      <c r="F50" s="1536"/>
      <c r="G50" s="1536"/>
      <c r="H50" s="1536"/>
      <c r="I50" s="165"/>
    </row>
    <row r="51" spans="1:11" hidden="1" x14ac:dyDescent="0.2">
      <c r="A51" s="3086"/>
      <c r="B51" s="83" t="s">
        <v>88</v>
      </c>
      <c r="C51" s="1537"/>
      <c r="D51" s="1537"/>
      <c r="E51" s="1537"/>
      <c r="F51" s="1537"/>
      <c r="G51" s="1537"/>
      <c r="H51" s="1537"/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x14ac:dyDescent="0.2">
      <c r="A54" s="2936" t="s">
        <v>643</v>
      </c>
      <c r="B54" s="12" t="s">
        <v>56</v>
      </c>
      <c r="C54" s="1041">
        <f>'Gen. Energy Cost'!C48</f>
        <v>0</v>
      </c>
      <c r="D54" s="1041">
        <f>'Gen. Energy Cost'!D48</f>
        <v>0</v>
      </c>
      <c r="E54" s="1041">
        <f>'Gen. Energy Cost'!E48</f>
        <v>0</v>
      </c>
      <c r="F54" s="1041">
        <f>'Gen. Energy Cost'!F48</f>
        <v>26.049679999999999</v>
      </c>
      <c r="G54" s="1041">
        <f>'Gen. Energy Cost'!G48</f>
        <v>25.811679999999999</v>
      </c>
      <c r="H54" s="1041">
        <f>'Gen. Energy Cost'!H48</f>
        <v>26.049720000000001</v>
      </c>
      <c r="I54" s="165"/>
      <c r="K54" s="184"/>
    </row>
    <row r="55" spans="1:11" x14ac:dyDescent="0.2">
      <c r="A55" s="2937"/>
      <c r="B55" s="83" t="s">
        <v>88</v>
      </c>
      <c r="C55" s="1206">
        <f>'Gen. Energy Cost'!C49</f>
        <v>0</v>
      </c>
      <c r="D55" s="1206">
        <f>'Gen. Energy Cost'!D49</f>
        <v>0</v>
      </c>
      <c r="E55" s="1206">
        <f>'Gen. Energy Cost'!E49</f>
        <v>0</v>
      </c>
      <c r="F55" s="1206">
        <f>'Gen. Energy Cost'!F49</f>
        <v>40.421014751456447</v>
      </c>
      <c r="G55" s="1206">
        <f>'Gen. Energy Cost'!G49</f>
        <v>40.442195564129108</v>
      </c>
      <c r="H55" s="1206">
        <f>'Gen. Energy Cost'!H49</f>
        <v>40.421011224185143</v>
      </c>
    </row>
    <row r="56" spans="1:11" x14ac:dyDescent="0.2">
      <c r="A56" s="2936" t="s">
        <v>13</v>
      </c>
      <c r="B56" s="12" t="s">
        <v>56</v>
      </c>
      <c r="C56" s="1041">
        <f>'Gen. Energy Cost'!C54</f>
        <v>0</v>
      </c>
      <c r="D56" s="1041">
        <f>'Gen. Energy Cost'!D54</f>
        <v>0</v>
      </c>
      <c r="E56" s="1041">
        <f>'Gen. Energy Cost'!E54</f>
        <v>0</v>
      </c>
      <c r="F56" s="1041">
        <f>'Gen. Energy Cost'!F54</f>
        <v>150.1927</v>
      </c>
      <c r="G56" s="1041">
        <f>'Gen. Energy Cost'!G54</f>
        <v>130.619</v>
      </c>
      <c r="H56" s="1041">
        <f>'Gen. Energy Cost'!H54</f>
        <v>134.74469999999999</v>
      </c>
      <c r="I56" s="165"/>
      <c r="J56" s="615"/>
      <c r="K56" s="184"/>
    </row>
    <row r="57" spans="1:11" x14ac:dyDescent="0.2">
      <c r="A57" s="2937"/>
      <c r="B57" s="83" t="s">
        <v>88</v>
      </c>
      <c r="C57" s="311">
        <f>'Gen. Energy Cost'!C55</f>
        <v>0</v>
      </c>
      <c r="D57" s="311">
        <f>'Gen. Energy Cost'!D55</f>
        <v>0</v>
      </c>
      <c r="E57" s="311">
        <f>'Gen. Energy Cost'!E55</f>
        <v>0</v>
      </c>
      <c r="F57" s="311">
        <f>'Gen. Energy Cost'!F55</f>
        <v>47.688996196781417</v>
      </c>
      <c r="G57" s="311">
        <f>'Gen. Energy Cost'!G55</f>
        <v>48.291132699244585</v>
      </c>
      <c r="H57" s="311">
        <f>'Gen. Energy Cost'!H55</f>
        <v>48.190826549760025</v>
      </c>
    </row>
    <row r="58" spans="1:11" x14ac:dyDescent="0.2">
      <c r="A58" s="2936" t="s">
        <v>14</v>
      </c>
      <c r="B58" s="12" t="s">
        <v>56</v>
      </c>
      <c r="C58" s="1041">
        <f>'Gen. Energy Cost'!C42</f>
        <v>0</v>
      </c>
      <c r="D58" s="1041">
        <f>'Gen. Energy Cost'!D42</f>
        <v>0</v>
      </c>
      <c r="E58" s="1041">
        <f>'Gen. Energy Cost'!E42</f>
        <v>0</v>
      </c>
      <c r="F58" s="1041">
        <f>'Gen. Energy Cost'!F42</f>
        <v>410.24100000000004</v>
      </c>
      <c r="G58" s="1041">
        <f>'Gen. Energy Cost'!G42</f>
        <v>423.89049999999997</v>
      </c>
      <c r="H58" s="1041">
        <f>'Gen. Energy Cost'!H42</f>
        <v>297.45983999999999</v>
      </c>
      <c r="I58" s="165"/>
      <c r="K58" s="184"/>
    </row>
    <row r="59" spans="1:11" x14ac:dyDescent="0.2">
      <c r="A59" s="2937"/>
      <c r="B59" s="83" t="s">
        <v>88</v>
      </c>
      <c r="C59" s="311" t="e">
        <f>'Gen. Energy Cost'!C43</f>
        <v>#DIV/0!</v>
      </c>
      <c r="D59" s="311" t="e">
        <f>'Gen. Energy Cost'!D43</f>
        <v>#DIV/0!</v>
      </c>
      <c r="E59" s="311" t="e">
        <f>'Gen. Energy Cost'!E43</f>
        <v>#DIV/0!</v>
      </c>
      <c r="F59" s="311">
        <f>'Gen. Energy Cost'!F43</f>
        <v>16.360073257141064</v>
      </c>
      <c r="G59" s="311">
        <f>'Gen. Energy Cost'!G43</f>
        <v>16.149669524586059</v>
      </c>
      <c r="H59" s="311">
        <f>'Gen. Energy Cost'!H43</f>
        <v>17.055875654499228</v>
      </c>
    </row>
    <row r="60" spans="1:11" hidden="1" x14ac:dyDescent="0.2">
      <c r="A60" s="2936" t="s">
        <v>15</v>
      </c>
      <c r="B60" s="12" t="s">
        <v>56</v>
      </c>
      <c r="C60" s="1042"/>
      <c r="D60" s="1042"/>
      <c r="E60" s="1042"/>
      <c r="F60" s="1042"/>
      <c r="G60" s="1042"/>
      <c r="H60" s="1042"/>
      <c r="I60" s="165"/>
    </row>
    <row r="61" spans="1:11" hidden="1" x14ac:dyDescent="0.2">
      <c r="A61" s="2937"/>
      <c r="B61" s="83" t="s">
        <v>88</v>
      </c>
      <c r="C61" s="658"/>
      <c r="D61" s="658"/>
      <c r="E61" s="658"/>
      <c r="F61" s="658"/>
      <c r="G61" s="658"/>
      <c r="H61" s="658"/>
    </row>
    <row r="62" spans="1:11" hidden="1" x14ac:dyDescent="0.2">
      <c r="A62" s="2936" t="s">
        <v>111</v>
      </c>
      <c r="B62" s="12" t="s">
        <v>56</v>
      </c>
      <c r="C62" s="1042"/>
      <c r="D62" s="1042"/>
      <c r="E62" s="1042"/>
      <c r="F62" s="1042"/>
      <c r="G62" s="1042"/>
      <c r="H62" s="1042"/>
      <c r="I62" s="165"/>
    </row>
    <row r="63" spans="1:11" hidden="1" x14ac:dyDescent="0.2">
      <c r="A63" s="2937"/>
      <c r="B63" s="83" t="s">
        <v>88</v>
      </c>
      <c r="C63" s="311"/>
      <c r="D63" s="311"/>
      <c r="E63" s="311"/>
      <c r="F63" s="311"/>
      <c r="G63" s="311"/>
      <c r="H63" s="311"/>
    </row>
    <row r="64" spans="1:11" hidden="1" x14ac:dyDescent="0.2">
      <c r="A64" s="2936" t="s">
        <v>422</v>
      </c>
      <c r="B64" s="12" t="s">
        <v>56</v>
      </c>
      <c r="C64" s="1041"/>
      <c r="D64" s="1041"/>
      <c r="E64" s="1041"/>
      <c r="F64" s="1041"/>
      <c r="G64" s="1041"/>
      <c r="H64" s="1041"/>
      <c r="I64" s="165"/>
    </row>
    <row r="65" spans="1:73" hidden="1" x14ac:dyDescent="0.2">
      <c r="A65" s="2937"/>
      <c r="B65" s="83" t="s">
        <v>88</v>
      </c>
      <c r="C65" s="311"/>
      <c r="D65" s="311"/>
      <c r="E65" s="311"/>
      <c r="F65" s="311"/>
      <c r="G65" s="311"/>
      <c r="H65" s="311"/>
    </row>
    <row r="66" spans="1:73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3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3" hidden="1" x14ac:dyDescent="0.2">
      <c r="A68" s="2936" t="s">
        <v>464</v>
      </c>
      <c r="B68" s="12" t="s">
        <v>56</v>
      </c>
      <c r="C68" s="1041"/>
      <c r="D68" s="1041"/>
      <c r="E68" s="1041"/>
      <c r="F68" s="1041"/>
      <c r="G68" s="1041"/>
      <c r="H68" s="1041"/>
      <c r="I68" s="165"/>
    </row>
    <row r="69" spans="1:73" hidden="1" x14ac:dyDescent="0.2">
      <c r="A69" s="2937"/>
      <c r="B69" s="83" t="s">
        <v>88</v>
      </c>
      <c r="C69" s="311"/>
      <c r="D69" s="311"/>
      <c r="E69" s="311"/>
      <c r="F69" s="311"/>
      <c r="G69" s="311"/>
      <c r="H69" s="311"/>
    </row>
    <row r="70" spans="1:73" hidden="1" x14ac:dyDescent="0.2">
      <c r="A70" s="2944" t="s">
        <v>538</v>
      </c>
      <c r="B70" s="12" t="s">
        <v>56</v>
      </c>
      <c r="C70" s="1041"/>
      <c r="D70" s="1042"/>
      <c r="E70" s="1041"/>
      <c r="F70" s="1041"/>
      <c r="G70" s="1041"/>
      <c r="H70" s="1041"/>
      <c r="I70" s="165"/>
    </row>
    <row r="71" spans="1:73" hidden="1" x14ac:dyDescent="0.2">
      <c r="A71" s="2937"/>
      <c r="B71" s="83" t="s">
        <v>88</v>
      </c>
      <c r="C71" s="311"/>
      <c r="D71" s="658"/>
      <c r="E71" s="311"/>
      <c r="F71" s="311"/>
      <c r="G71" s="311"/>
      <c r="H71" s="311"/>
    </row>
    <row r="72" spans="1:73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3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3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3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hidden="1" x14ac:dyDescent="0.2">
      <c r="A76" s="2936" t="s">
        <v>817</v>
      </c>
      <c r="B76" s="197" t="s">
        <v>56</v>
      </c>
      <c r="C76" s="1193"/>
      <c r="D76" s="1193"/>
      <c r="E76" s="1193"/>
      <c r="F76" s="1193"/>
      <c r="G76" s="1193"/>
      <c r="H76" s="1193"/>
      <c r="I76" s="124"/>
    </row>
    <row r="77" spans="1:73" s="372" customFormat="1" hidden="1" x14ac:dyDescent="0.2">
      <c r="A77" s="2939"/>
      <c r="B77" s="83" t="s">
        <v>88</v>
      </c>
      <c r="C77" s="1194"/>
      <c r="D77" s="1194"/>
      <c r="E77" s="1194"/>
      <c r="F77" s="1194"/>
      <c r="G77" s="1194"/>
      <c r="H77" s="1194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hidden="1" x14ac:dyDescent="0.2">
      <c r="A78" s="2936" t="s">
        <v>818</v>
      </c>
      <c r="B78" s="197" t="s">
        <v>56</v>
      </c>
      <c r="C78" s="1193"/>
      <c r="D78" s="1193"/>
      <c r="E78" s="1193"/>
      <c r="F78" s="1193"/>
      <c r="G78" s="1193"/>
      <c r="H78" s="1193"/>
      <c r="I78" s="124"/>
    </row>
    <row r="79" spans="1:73" hidden="1" x14ac:dyDescent="0.2">
      <c r="A79" s="2939"/>
      <c r="B79" s="83" t="s">
        <v>88</v>
      </c>
      <c r="C79" s="1194"/>
      <c r="D79" s="1194"/>
      <c r="E79" s="1194"/>
      <c r="F79" s="1194"/>
      <c r="G79" s="1194"/>
      <c r="H79" s="1194"/>
      <c r="I79" s="124"/>
    </row>
    <row r="80" spans="1:73" hidden="1" x14ac:dyDescent="0.2">
      <c r="A80" s="2936" t="s">
        <v>819</v>
      </c>
      <c r="B80" s="197" t="s">
        <v>56</v>
      </c>
      <c r="C80" s="1193"/>
      <c r="D80" s="1193"/>
      <c r="E80" s="1193"/>
      <c r="F80" s="1193"/>
      <c r="G80" s="1193"/>
      <c r="H80" s="1193"/>
      <c r="I80" s="124"/>
    </row>
    <row r="81" spans="1:12" hidden="1" x14ac:dyDescent="0.2">
      <c r="A81" s="2939"/>
      <c r="B81" s="83" t="s">
        <v>88</v>
      </c>
      <c r="C81" s="1194"/>
      <c r="D81" s="1194"/>
      <c r="E81" s="1194"/>
      <c r="F81" s="1194"/>
      <c r="G81" s="1194"/>
      <c r="H81" s="1194"/>
      <c r="I81" s="1540"/>
    </row>
    <row r="82" spans="1:12" ht="42.75" customHeight="1" x14ac:dyDescent="0.2">
      <c r="A82" s="1085" t="s">
        <v>175</v>
      </c>
      <c r="B82" s="1086" t="s">
        <v>56</v>
      </c>
      <c r="C82" s="1087" t="e">
        <f t="shared" ref="C82:H82" si="2">SUM(C22,C24,C26,C28,C30,C32,C34,C36,C38,C40,C42,C44,C46,C48,C50,C52,C54,C56,C58,C60,C62,C64,C66,C68,C70,C72,C74,C76)</f>
        <v>#REF!</v>
      </c>
      <c r="D82" s="1087" t="e">
        <f t="shared" si="2"/>
        <v>#REF!</v>
      </c>
      <c r="E82" s="1087" t="e">
        <f t="shared" si="2"/>
        <v>#REF!</v>
      </c>
      <c r="F82" s="1087" t="e">
        <f t="shared" si="2"/>
        <v>#REF!</v>
      </c>
      <c r="G82" s="1087" t="e">
        <f t="shared" si="2"/>
        <v>#REF!</v>
      </c>
      <c r="H82" s="1087" t="e">
        <f t="shared" si="2"/>
        <v>#REF!</v>
      </c>
      <c r="I82" s="1088" t="e">
        <f>C82+D82+E82+F82+G82+H82</f>
        <v>#REF!</v>
      </c>
      <c r="J82" s="317"/>
      <c r="K82" s="1204"/>
      <c r="L82" s="184"/>
    </row>
    <row r="83" spans="1:12" ht="42.75" customHeight="1" x14ac:dyDescent="0.2">
      <c r="A83" s="1085" t="s">
        <v>1023</v>
      </c>
      <c r="B83" s="1086" t="s">
        <v>968</v>
      </c>
      <c r="C83" s="1087" t="e">
        <f>C38*C39+C40*C41+C54*C55+C56*C57+C58*C59</f>
        <v>#REF!</v>
      </c>
      <c r="D83" s="1087" t="e">
        <f t="shared" ref="D83:H83" si="3">D38*D39+D40*D41+D54*D55+D56*D57+D58*D59</f>
        <v>#REF!</v>
      </c>
      <c r="E83" s="1087" t="e">
        <f t="shared" si="3"/>
        <v>#REF!</v>
      </c>
      <c r="F83" s="1087" t="e">
        <f t="shared" si="3"/>
        <v>#REF!</v>
      </c>
      <c r="G83" s="1087" t="e">
        <f t="shared" si="3"/>
        <v>#REF!</v>
      </c>
      <c r="H83" s="1087" t="e">
        <f t="shared" si="3"/>
        <v>#REF!</v>
      </c>
      <c r="I83" s="1088" t="e">
        <f>C83+D83+E83+F83+G83+H83</f>
        <v>#REF!</v>
      </c>
      <c r="J83" s="317"/>
      <c r="K83" s="1204"/>
      <c r="L83" s="184"/>
    </row>
    <row r="85" spans="1:12" hidden="1" x14ac:dyDescent="0.2">
      <c r="A85" s="4"/>
      <c r="C85" s="1541" t="e">
        <f t="shared" ref="C85:H85" si="4">C161/C82</f>
        <v>#REF!</v>
      </c>
      <c r="D85" s="1541" t="e">
        <f t="shared" si="4"/>
        <v>#REF!</v>
      </c>
      <c r="E85" s="1541" t="e">
        <f t="shared" si="4"/>
        <v>#REF!</v>
      </c>
      <c r="F85" s="1541" t="e">
        <f t="shared" si="4"/>
        <v>#REF!</v>
      </c>
      <c r="G85" s="1541" t="e">
        <f t="shared" si="4"/>
        <v>#REF!</v>
      </c>
      <c r="H85" s="1541" t="e">
        <f t="shared" si="4"/>
        <v>#REF!</v>
      </c>
      <c r="L85" s="1205"/>
    </row>
    <row r="86" spans="1:12" hidden="1" x14ac:dyDescent="0.2">
      <c r="A86" s="4"/>
      <c r="C86" s="214" t="e">
        <f t="shared" ref="C86:H86" si="5">C82*C6</f>
        <v>#REF!</v>
      </c>
      <c r="D86" s="214" t="e">
        <f t="shared" si="5"/>
        <v>#REF!</v>
      </c>
      <c r="E86" s="214" t="e">
        <f t="shared" si="5"/>
        <v>#REF!</v>
      </c>
      <c r="F86" s="214" t="e">
        <f t="shared" si="5"/>
        <v>#REF!</v>
      </c>
      <c r="G86" s="214" t="e">
        <f t="shared" si="5"/>
        <v>#REF!</v>
      </c>
      <c r="H86" s="214" t="e">
        <f t="shared" si="5"/>
        <v>#REF!</v>
      </c>
      <c r="L86" s="1205"/>
    </row>
    <row r="87" spans="1:12" hidden="1" x14ac:dyDescent="0.2">
      <c r="A87" s="47" t="s">
        <v>389</v>
      </c>
      <c r="B87" s="47" t="s">
        <v>94</v>
      </c>
      <c r="C87" s="1039" t="e">
        <f t="shared" ref="C87:H87" si="6">C59*C58+C57*C56+C55*C54+C41*C40+C39*C38</f>
        <v>#DIV/0!</v>
      </c>
      <c r="D87" s="1039" t="e">
        <f t="shared" si="6"/>
        <v>#DIV/0!</v>
      </c>
      <c r="E87" s="1039" t="e">
        <f t="shared" si="6"/>
        <v>#DIV/0!</v>
      </c>
      <c r="F87" s="1039" t="e">
        <f t="shared" si="6"/>
        <v>#REF!</v>
      </c>
      <c r="G87" s="1039" t="e">
        <f t="shared" si="6"/>
        <v>#REF!</v>
      </c>
      <c r="H87" s="1039" t="e">
        <f t="shared" si="6"/>
        <v>#REF!</v>
      </c>
      <c r="I87" s="1039">
        <f>(I38*I39)+(I40*I41)+(I54*I55)+(I56*I57)+(I58*I59)</f>
        <v>0</v>
      </c>
      <c r="J87" s="1039">
        <f>(J38*J39)+(J40*J41)+(J54*J55)+(J56*J57)+(J58*J59)</f>
        <v>0</v>
      </c>
    </row>
    <row r="88" spans="1:12" hidden="1" x14ac:dyDescent="0.2"/>
    <row r="89" spans="1:12" hidden="1" x14ac:dyDescent="0.2">
      <c r="A89" s="47" t="s">
        <v>389</v>
      </c>
      <c r="B89" s="484" t="s">
        <v>746</v>
      </c>
      <c r="C89" s="1615" t="e">
        <f t="shared" ref="C89:H89" si="7">C87/1000000</f>
        <v>#DIV/0!</v>
      </c>
      <c r="D89" s="1043" t="e">
        <f t="shared" si="7"/>
        <v>#DIV/0!</v>
      </c>
      <c r="E89" s="1043" t="e">
        <f t="shared" si="7"/>
        <v>#DIV/0!</v>
      </c>
      <c r="F89" s="1043" t="e">
        <f t="shared" si="7"/>
        <v>#REF!</v>
      </c>
      <c r="G89" s="1043" t="e">
        <f t="shared" si="7"/>
        <v>#REF!</v>
      </c>
      <c r="H89" s="1073" t="e">
        <f t="shared" si="7"/>
        <v>#REF!</v>
      </c>
      <c r="I89" s="1088" t="e">
        <f>C89+D89+E89+F89+G89+H89</f>
        <v>#DIV/0!</v>
      </c>
    </row>
    <row r="90" spans="1:12" hidden="1" x14ac:dyDescent="0.2">
      <c r="B90" s="415"/>
      <c r="C90" s="150"/>
      <c r="D90" s="150"/>
      <c r="E90" s="150"/>
      <c r="F90" s="150"/>
      <c r="G90" s="150"/>
      <c r="H90" s="150"/>
    </row>
    <row r="91" spans="1:12" hidden="1" x14ac:dyDescent="0.2">
      <c r="B91" s="415"/>
      <c r="C91" s="150"/>
      <c r="D91" s="150"/>
      <c r="E91" s="150"/>
      <c r="F91" s="150"/>
      <c r="G91" s="150"/>
      <c r="H91" s="150"/>
    </row>
    <row r="92" spans="1:12" ht="18" hidden="1" x14ac:dyDescent="0.2">
      <c r="A92" s="1094" t="s">
        <v>747</v>
      </c>
      <c r="B92" s="1089" t="s">
        <v>748</v>
      </c>
      <c r="C92" s="1090" t="e">
        <f>I89</f>
        <v>#DIV/0!</v>
      </c>
      <c r="D92" s="150"/>
      <c r="E92" s="150"/>
      <c r="F92" s="150"/>
      <c r="G92" s="150"/>
      <c r="H92" s="150"/>
    </row>
    <row r="93" spans="1:12" ht="36" hidden="1" x14ac:dyDescent="0.2">
      <c r="A93" s="1094" t="s">
        <v>749</v>
      </c>
      <c r="B93" s="1089" t="s">
        <v>56</v>
      </c>
      <c r="C93" s="1090" t="e">
        <f>I82</f>
        <v>#REF!</v>
      </c>
      <c r="D93" s="150"/>
      <c r="E93" s="150"/>
      <c r="F93" s="150"/>
      <c r="G93" s="150"/>
      <c r="H93" s="150"/>
    </row>
    <row r="94" spans="1:12" ht="18" hidden="1" x14ac:dyDescent="0.2">
      <c r="A94" s="1094" t="s">
        <v>750</v>
      </c>
      <c r="B94" s="1089" t="s">
        <v>751</v>
      </c>
      <c r="C94" s="1091" t="e">
        <f>C92/C93</f>
        <v>#DIV/0!</v>
      </c>
      <c r="D94" s="150"/>
      <c r="E94" s="150"/>
      <c r="F94" s="150"/>
      <c r="G94" s="150"/>
      <c r="H94" s="150"/>
    </row>
    <row r="95" spans="1:12" ht="28.8" hidden="1" x14ac:dyDescent="0.2">
      <c r="A95" s="1092" t="s">
        <v>790</v>
      </c>
      <c r="B95" s="1093" t="s">
        <v>751</v>
      </c>
      <c r="C95" s="1095" t="e">
        <f>C94/C99*100</f>
        <v>#DIV/0!</v>
      </c>
      <c r="D95">
        <v>13.686699022890487</v>
      </c>
      <c r="E95" s="1117">
        <v>2.0799999999999999E-2</v>
      </c>
      <c r="H95" s="241"/>
    </row>
    <row r="96" spans="1:12" hidden="1" x14ac:dyDescent="0.2">
      <c r="B96" s="415"/>
      <c r="C96" s="150"/>
      <c r="H96" s="241"/>
    </row>
    <row r="97" spans="1:13" hidden="1" x14ac:dyDescent="0.2">
      <c r="B97" s="415"/>
      <c r="C97" s="150"/>
    </row>
    <row r="98" spans="1:13" hidden="1" x14ac:dyDescent="0.2">
      <c r="A98" s="415" t="s">
        <v>789</v>
      </c>
      <c r="B98" s="415"/>
      <c r="C98" s="1096">
        <v>3</v>
      </c>
    </row>
    <row r="99" spans="1:13" hidden="1" x14ac:dyDescent="0.2">
      <c r="C99" s="241">
        <f>100-C98</f>
        <v>97</v>
      </c>
    </row>
    <row r="100" spans="1:13" x14ac:dyDescent="0.2">
      <c r="C100" s="241"/>
    </row>
    <row r="101" spans="1:13" ht="13.2" thickBot="1" x14ac:dyDescent="0.25">
      <c r="A101" s="2929" t="s">
        <v>1017</v>
      </c>
      <c r="B101" s="2930"/>
      <c r="C101" s="2930"/>
      <c r="D101" s="2930"/>
      <c r="E101" s="2930"/>
      <c r="F101" s="2930"/>
      <c r="G101" s="2930"/>
      <c r="H101" s="2930"/>
    </row>
    <row r="102" spans="1:13" ht="13.2" thickBot="1" x14ac:dyDescent="0.25">
      <c r="A102" s="1250" t="s">
        <v>61</v>
      </c>
      <c r="B102" s="23" t="s">
        <v>36</v>
      </c>
      <c r="C102" s="425">
        <f>C21</f>
        <v>46023</v>
      </c>
      <c r="D102" s="425">
        <f t="shared" ref="D102:H102" si="8">D21</f>
        <v>46054</v>
      </c>
      <c r="E102" s="425">
        <f t="shared" si="8"/>
        <v>46082</v>
      </c>
      <c r="F102" s="425">
        <f t="shared" si="8"/>
        <v>46113</v>
      </c>
      <c r="G102" s="425">
        <f t="shared" si="8"/>
        <v>46143</v>
      </c>
      <c r="H102" s="425">
        <f t="shared" si="8"/>
        <v>46174</v>
      </c>
    </row>
    <row r="103" spans="1:13" ht="14.4" x14ac:dyDescent="0.3">
      <c r="A103" s="2936" t="s">
        <v>962</v>
      </c>
      <c r="B103" s="418" t="s">
        <v>56</v>
      </c>
      <c r="C103" s="1532">
        <f>'hydro en &amp; capcost voltage wise'!E19/2</f>
        <v>0</v>
      </c>
      <c r="D103" s="1532">
        <f>'hydro en &amp; capcost voltage wise'!F19/2</f>
        <v>0</v>
      </c>
      <c r="E103" s="1532">
        <f>'hydro en &amp; capcost voltage wise'!G19/2</f>
        <v>0</v>
      </c>
      <c r="F103" s="1532">
        <f>'hydro en &amp; capcost voltage wise'!H19/2</f>
        <v>143.03824279352114</v>
      </c>
      <c r="G103" s="1532">
        <f>'hydro en &amp; capcost voltage wise'!I19/2</f>
        <v>164.65556589977493</v>
      </c>
      <c r="H103" s="1532">
        <f>'hydro en &amp; capcost voltage wise'!J19/2</f>
        <v>172.38838744221007</v>
      </c>
      <c r="I103" s="780" t="s">
        <v>595</v>
      </c>
      <c r="J103" s="615">
        <v>301.23</v>
      </c>
      <c r="K103" s="165"/>
      <c r="L103" s="165"/>
      <c r="M103" s="165"/>
    </row>
    <row r="104" spans="1:13" x14ac:dyDescent="0.2">
      <c r="A104" s="2942"/>
      <c r="B104" s="489" t="s">
        <v>88</v>
      </c>
      <c r="C104" s="1690"/>
      <c r="D104" s="778"/>
      <c r="E104" s="778"/>
      <c r="F104" s="778"/>
      <c r="G104" s="778"/>
      <c r="H104" s="778"/>
      <c r="M104" s="165"/>
    </row>
    <row r="105" spans="1:13" hidden="1" x14ac:dyDescent="0.2">
      <c r="A105" s="2936" t="s">
        <v>58</v>
      </c>
      <c r="B105" s="418" t="s">
        <v>56</v>
      </c>
      <c r="C105" s="779"/>
      <c r="D105" s="779"/>
      <c r="E105" s="779"/>
      <c r="F105" s="779"/>
      <c r="G105" s="779"/>
      <c r="H105" s="779"/>
      <c r="I105" s="165"/>
      <c r="M105" s="165"/>
    </row>
    <row r="106" spans="1:13" hidden="1" x14ac:dyDescent="0.2">
      <c r="A106" s="2942"/>
      <c r="B106" s="489" t="s">
        <v>88</v>
      </c>
      <c r="C106" s="778"/>
      <c r="D106" s="778"/>
      <c r="E106" s="778"/>
      <c r="F106" s="778"/>
      <c r="G106" s="778"/>
      <c r="H106" s="778"/>
      <c r="M106" s="165"/>
    </row>
    <row r="107" spans="1:13" hidden="1" x14ac:dyDescent="0.2">
      <c r="A107" s="2936" t="s">
        <v>65</v>
      </c>
      <c r="B107" s="418" t="s">
        <v>56</v>
      </c>
      <c r="C107" s="779"/>
      <c r="D107" s="779"/>
      <c r="E107" s="779"/>
      <c r="F107" s="779"/>
      <c r="G107" s="779"/>
      <c r="H107" s="779"/>
      <c r="I107" s="165"/>
      <c r="M107" s="165"/>
    </row>
    <row r="108" spans="1:13" hidden="1" x14ac:dyDescent="0.2">
      <c r="A108" s="2942"/>
      <c r="B108" s="489" t="s">
        <v>88</v>
      </c>
      <c r="C108" s="778"/>
      <c r="D108" s="778"/>
      <c r="E108" s="778"/>
      <c r="F108" s="778"/>
      <c r="G108" s="778"/>
      <c r="H108" s="778"/>
      <c r="M108" s="165"/>
    </row>
    <row r="109" spans="1:13" x14ac:dyDescent="0.2">
      <c r="A109" s="2936" t="s">
        <v>0</v>
      </c>
      <c r="B109" s="418" t="s">
        <v>56</v>
      </c>
      <c r="C109" s="1040">
        <f>'Gen. Energy Cost'!C34</f>
        <v>0</v>
      </c>
      <c r="D109" s="1040">
        <f>'Gen. Energy Cost'!D34</f>
        <v>0</v>
      </c>
      <c r="E109" s="1040">
        <f>'Gen. Energy Cost'!E34</f>
        <v>0</v>
      </c>
      <c r="F109" s="1040">
        <f>'Gen. Energy Cost'!F34</f>
        <v>0</v>
      </c>
      <c r="G109" s="1040">
        <f>'Gen. Energy Cost'!G34</f>
        <v>0</v>
      </c>
      <c r="H109" s="1040">
        <f>'Gen. Energy Cost'!H34</f>
        <v>0</v>
      </c>
      <c r="I109" s="165"/>
      <c r="J109" s="615"/>
      <c r="M109" s="165"/>
    </row>
    <row r="110" spans="1:13" x14ac:dyDescent="0.2">
      <c r="A110" s="2942"/>
      <c r="B110" s="489" t="s">
        <v>88</v>
      </c>
      <c r="C110" s="658">
        <f>'Gen. Energy Cost'!C35</f>
        <v>0</v>
      </c>
      <c r="D110" s="658">
        <f>'Gen. Energy Cost'!D35</f>
        <v>0</v>
      </c>
      <c r="E110" s="658">
        <f>'Gen. Energy Cost'!E35</f>
        <v>0</v>
      </c>
      <c r="F110" s="658">
        <f>'Gen. Energy Cost'!F35</f>
        <v>0</v>
      </c>
      <c r="G110" s="658">
        <f>'Gen. Energy Cost'!G35</f>
        <v>0</v>
      </c>
      <c r="H110" s="658">
        <f>'Gen. Energy Cost'!H35</f>
        <v>0</v>
      </c>
      <c r="M110" s="165"/>
    </row>
    <row r="111" spans="1:13" x14ac:dyDescent="0.2">
      <c r="A111" s="2936" t="s">
        <v>1</v>
      </c>
      <c r="B111" s="12" t="s">
        <v>56</v>
      </c>
      <c r="C111" s="1036">
        <f>'Gen. Energy Cost'!C30</f>
        <v>0</v>
      </c>
      <c r="D111" s="1036">
        <f>'Gen. Energy Cost'!D30</f>
        <v>0</v>
      </c>
      <c r="E111" s="1036">
        <f>'Gen. Energy Cost'!E30</f>
        <v>0</v>
      </c>
      <c r="F111" s="1036">
        <f>'Gen. Energy Cost'!F30</f>
        <v>28.956569999999999</v>
      </c>
      <c r="G111" s="1036">
        <f>'Gen. Energy Cost'!G30</f>
        <v>28.59515</v>
      </c>
      <c r="H111" s="1036">
        <f>'Gen. Energy Cost'!H30</f>
        <v>29.376000000000001</v>
      </c>
      <c r="I111" s="165"/>
      <c r="J111" s="615"/>
      <c r="M111" s="165"/>
    </row>
    <row r="112" spans="1:13" x14ac:dyDescent="0.2">
      <c r="A112" s="2937"/>
      <c r="B112" s="83" t="s">
        <v>88</v>
      </c>
      <c r="C112" s="311">
        <f>'Gen. Energy Cost'!C31</f>
        <v>0</v>
      </c>
      <c r="D112" s="311">
        <f>'Gen. Energy Cost'!D31</f>
        <v>0</v>
      </c>
      <c r="E112" s="311">
        <f>'Gen. Energy Cost'!E31</f>
        <v>0</v>
      </c>
      <c r="F112" s="311">
        <f>'Gen. Energy Cost'!F31</f>
        <v>42.229763079079881</v>
      </c>
      <c r="G112" s="311">
        <f>'Gen. Energy Cost'!G31</f>
        <v>42.260102956369884</v>
      </c>
      <c r="H112" s="311">
        <f>'Gen. Energy Cost'!H31</f>
        <v>42.195489390339063</v>
      </c>
      <c r="K112" s="184"/>
      <c r="M112" s="165"/>
    </row>
    <row r="113" spans="1:13" x14ac:dyDescent="0.2">
      <c r="A113" s="2936" t="s">
        <v>2</v>
      </c>
      <c r="B113" s="12" t="s">
        <v>56</v>
      </c>
      <c r="C113" s="1037">
        <f>'Gen. Energy Cost'!C32</f>
        <v>0</v>
      </c>
      <c r="D113" s="1037">
        <f>'Gen. Energy Cost'!D32</f>
        <v>0</v>
      </c>
      <c r="E113" s="1037">
        <f>'Gen. Energy Cost'!E32</f>
        <v>0</v>
      </c>
      <c r="F113" s="1037">
        <f>'Gen. Energy Cost'!F32</f>
        <v>36.936</v>
      </c>
      <c r="G113" s="1037">
        <f>'Gen. Energy Cost'!G32</f>
        <v>37.37397</v>
      </c>
      <c r="H113" s="1037">
        <f>'Gen. Energy Cost'!H32</f>
        <v>36.936</v>
      </c>
      <c r="I113" s="165"/>
      <c r="J113" s="615"/>
      <c r="M113" s="165"/>
    </row>
    <row r="114" spans="1:13" x14ac:dyDescent="0.2">
      <c r="A114" s="2937"/>
      <c r="B114" s="83" t="s">
        <v>88</v>
      </c>
      <c r="C114" s="311">
        <f>'Gen. Energy Cost'!C33</f>
        <v>0</v>
      </c>
      <c r="D114" s="311">
        <f>'Gen. Energy Cost'!D33</f>
        <v>0</v>
      </c>
      <c r="E114" s="311">
        <f>'Gen. Energy Cost'!E33</f>
        <v>0</v>
      </c>
      <c r="F114" s="311">
        <f>'Gen. Energy Cost'!F33</f>
        <v>39.827255265756989</v>
      </c>
      <c r="G114" s="311">
        <f>'Gen. Energy Cost'!G33</f>
        <v>39.806455725573706</v>
      </c>
      <c r="H114" s="311">
        <f>'Gen. Energy Cost'!H33</f>
        <v>39.827255265756989</v>
      </c>
      <c r="M114" s="165"/>
    </row>
    <row r="115" spans="1:13" hidden="1" x14ac:dyDescent="0.2">
      <c r="A115" s="2936" t="s">
        <v>3</v>
      </c>
      <c r="B115" s="12" t="s">
        <v>56</v>
      </c>
      <c r="C115" s="1691"/>
      <c r="D115" s="1691"/>
      <c r="E115" s="1691"/>
      <c r="F115" s="1691"/>
      <c r="G115" s="1691"/>
      <c r="H115" s="1691"/>
      <c r="I115" s="165"/>
      <c r="M115" s="165"/>
    </row>
    <row r="116" spans="1:13" hidden="1" x14ac:dyDescent="0.2">
      <c r="A116" s="2937"/>
      <c r="B116" s="83" t="s">
        <v>88</v>
      </c>
      <c r="C116" s="311"/>
      <c r="D116" s="311"/>
      <c r="E116" s="311"/>
      <c r="F116" s="311"/>
      <c r="G116" s="311"/>
      <c r="H116" s="311"/>
      <c r="M116" s="165"/>
    </row>
    <row r="117" spans="1:13" x14ac:dyDescent="0.2">
      <c r="A117" s="2936" t="s">
        <v>4</v>
      </c>
      <c r="B117" s="12" t="s">
        <v>56</v>
      </c>
      <c r="C117" s="1037" t="e">
        <f>'Gen. Energy Cost'!#REF!</f>
        <v>#REF!</v>
      </c>
      <c r="D117" s="1037" t="e">
        <f>'Gen. Energy Cost'!#REF!</f>
        <v>#REF!</v>
      </c>
      <c r="E117" s="1037" t="e">
        <f>'Gen. Energy Cost'!#REF!</f>
        <v>#REF!</v>
      </c>
      <c r="F117" s="1037" t="e">
        <f>'Gen. Energy Cost'!#REF!</f>
        <v>#REF!</v>
      </c>
      <c r="G117" s="1037" t="e">
        <f>'Gen. Energy Cost'!#REF!</f>
        <v>#REF!</v>
      </c>
      <c r="H117" s="1037" t="e">
        <f>'Gen. Energy Cost'!#REF!</f>
        <v>#REF!</v>
      </c>
      <c r="I117" s="165"/>
      <c r="J117" s="615"/>
      <c r="M117" s="165"/>
    </row>
    <row r="118" spans="1:13" x14ac:dyDescent="0.2">
      <c r="A118" s="2942"/>
      <c r="B118" s="83" t="s">
        <v>88</v>
      </c>
      <c r="C118" s="311" t="e">
        <f>'Gen. Energy Cost'!#REF!</f>
        <v>#REF!</v>
      </c>
      <c r="D118" s="311" t="e">
        <f>'Gen. Energy Cost'!#REF!</f>
        <v>#REF!</v>
      </c>
      <c r="E118" s="311" t="e">
        <f>'Gen. Energy Cost'!#REF!</f>
        <v>#REF!</v>
      </c>
      <c r="F118" s="311" t="e">
        <f>'Gen. Energy Cost'!#REF!</f>
        <v>#REF!</v>
      </c>
      <c r="G118" s="311" t="e">
        <f>'Gen. Energy Cost'!#REF!</f>
        <v>#REF!</v>
      </c>
      <c r="H118" s="311" t="e">
        <f>'Gen. Energy Cost'!#REF!</f>
        <v>#REF!</v>
      </c>
      <c r="M118" s="165"/>
    </row>
    <row r="119" spans="1:13" hidden="1" x14ac:dyDescent="0.2">
      <c r="A119" s="2936" t="s">
        <v>5</v>
      </c>
      <c r="B119" s="12" t="s">
        <v>56</v>
      </c>
      <c r="C119" s="1037"/>
      <c r="D119" s="1037"/>
      <c r="E119" s="1037"/>
      <c r="F119" s="1037"/>
      <c r="G119" s="1037"/>
      <c r="H119" s="1037"/>
      <c r="I119" s="165"/>
      <c r="J119" s="615"/>
      <c r="K119" s="184"/>
      <c r="M119" s="165"/>
    </row>
    <row r="120" spans="1:13" hidden="1" x14ac:dyDescent="0.2">
      <c r="A120" s="2937"/>
      <c r="B120" s="83" t="s">
        <v>88</v>
      </c>
      <c r="C120" s="311"/>
      <c r="D120" s="311"/>
      <c r="E120" s="311"/>
      <c r="F120" s="311"/>
      <c r="G120" s="1325"/>
      <c r="H120" s="1325"/>
      <c r="M120" s="165"/>
    </row>
    <row r="121" spans="1:13" hidden="1" x14ac:dyDescent="0.2">
      <c r="A121" s="2936" t="s">
        <v>803</v>
      </c>
      <c r="B121" s="12" t="s">
        <v>56</v>
      </c>
      <c r="C121" s="1037"/>
      <c r="D121" s="1037"/>
      <c r="E121" s="1037"/>
      <c r="F121" s="1037"/>
      <c r="G121" s="1037"/>
      <c r="H121" s="1037"/>
      <c r="I121" s="165"/>
      <c r="J121" s="615"/>
      <c r="K121" s="184"/>
      <c r="M121" s="165"/>
    </row>
    <row r="122" spans="1:13" hidden="1" x14ac:dyDescent="0.2">
      <c r="A122" s="2937"/>
      <c r="B122" s="83" t="s">
        <v>88</v>
      </c>
      <c r="C122" s="311"/>
      <c r="D122" s="311"/>
      <c r="E122" s="311"/>
      <c r="F122" s="311"/>
      <c r="G122" s="311"/>
      <c r="H122" s="311"/>
      <c r="M122" s="165"/>
    </row>
    <row r="123" spans="1:13" hidden="1" x14ac:dyDescent="0.2">
      <c r="A123" s="2936" t="s">
        <v>7</v>
      </c>
      <c r="B123" s="12" t="s">
        <v>56</v>
      </c>
      <c r="C123" s="1691"/>
      <c r="D123" s="1691"/>
      <c r="E123" s="1691"/>
      <c r="F123" s="1691"/>
      <c r="G123" s="1691"/>
      <c r="H123" s="1691"/>
      <c r="I123" s="165"/>
      <c r="M123" s="165"/>
    </row>
    <row r="124" spans="1:13" hidden="1" x14ac:dyDescent="0.2">
      <c r="A124" s="2937"/>
      <c r="B124" s="83" t="s">
        <v>88</v>
      </c>
      <c r="C124" s="311"/>
      <c r="D124" s="311"/>
      <c r="E124" s="311"/>
      <c r="F124" s="311"/>
      <c r="G124" s="311"/>
      <c r="H124" s="311"/>
      <c r="M124" s="165"/>
    </row>
    <row r="125" spans="1:13" hidden="1" x14ac:dyDescent="0.2">
      <c r="A125" s="2936" t="s">
        <v>8</v>
      </c>
      <c r="B125" s="12" t="s">
        <v>56</v>
      </c>
      <c r="C125" s="1691"/>
      <c r="D125" s="1691"/>
      <c r="E125" s="1691"/>
      <c r="F125" s="1691"/>
      <c r="G125" s="1691"/>
      <c r="H125" s="1691"/>
      <c r="I125" s="165"/>
      <c r="M125" s="165"/>
    </row>
    <row r="126" spans="1:13" hidden="1" x14ac:dyDescent="0.2">
      <c r="A126" s="2937"/>
      <c r="B126" s="83" t="s">
        <v>88</v>
      </c>
      <c r="C126" s="311"/>
      <c r="D126" s="311"/>
      <c r="E126" s="311"/>
      <c r="F126" s="311"/>
      <c r="G126" s="311"/>
      <c r="H126" s="311"/>
      <c r="M126" s="165"/>
    </row>
    <row r="127" spans="1:13" hidden="1" x14ac:dyDescent="0.2">
      <c r="A127" s="2936" t="s">
        <v>9</v>
      </c>
      <c r="B127" s="12" t="s">
        <v>56</v>
      </c>
      <c r="C127" s="1037"/>
      <c r="D127" s="1037"/>
      <c r="E127" s="1037"/>
      <c r="F127" s="1037"/>
      <c r="G127" s="1037"/>
      <c r="H127" s="1037"/>
      <c r="I127" s="165"/>
      <c r="J127" s="615"/>
      <c r="M127" s="165"/>
    </row>
    <row r="128" spans="1:13" hidden="1" x14ac:dyDescent="0.2">
      <c r="A128" s="2937"/>
      <c r="B128" s="83" t="s">
        <v>88</v>
      </c>
      <c r="C128" s="311"/>
      <c r="D128" s="311"/>
      <c r="E128" s="311"/>
      <c r="F128" s="311"/>
      <c r="G128" s="311"/>
      <c r="H128" s="311"/>
      <c r="M128" s="165"/>
    </row>
    <row r="129" spans="1:13" hidden="1" x14ac:dyDescent="0.2">
      <c r="A129" s="2936" t="s">
        <v>10</v>
      </c>
      <c r="B129" s="12" t="s">
        <v>56</v>
      </c>
      <c r="C129" s="1691"/>
      <c r="D129" s="1691"/>
      <c r="E129" s="1691"/>
      <c r="F129" s="1691"/>
      <c r="G129" s="1691"/>
      <c r="H129" s="1691"/>
      <c r="I129" s="165"/>
      <c r="M129" s="165"/>
    </row>
    <row r="130" spans="1:13" hidden="1" x14ac:dyDescent="0.2">
      <c r="A130" s="2937"/>
      <c r="B130" s="83" t="s">
        <v>88</v>
      </c>
      <c r="C130" s="311"/>
      <c r="D130" s="311"/>
      <c r="E130" s="311"/>
      <c r="F130" s="311"/>
      <c r="G130" s="311"/>
      <c r="H130" s="311"/>
      <c r="M130" s="165"/>
    </row>
    <row r="131" spans="1:13" x14ac:dyDescent="0.2">
      <c r="A131" s="3085" t="s">
        <v>11</v>
      </c>
      <c r="B131" s="12" t="s">
        <v>56</v>
      </c>
      <c r="C131" s="1536" t="e">
        <f>'Gen. Energy Cost'!#REF!</f>
        <v>#REF!</v>
      </c>
      <c r="D131" s="1536" t="e">
        <f>'Gen. Energy Cost'!#REF!</f>
        <v>#REF!</v>
      </c>
      <c r="E131" s="1536" t="e">
        <f>'Gen. Energy Cost'!#REF!</f>
        <v>#REF!</v>
      </c>
      <c r="F131" s="1536" t="e">
        <f>'Gen. Energy Cost'!#REF!</f>
        <v>#REF!</v>
      </c>
      <c r="G131" s="1536" t="e">
        <f>'Gen. Energy Cost'!#REF!</f>
        <v>#REF!</v>
      </c>
      <c r="H131" s="1536" t="e">
        <f>'Gen. Energy Cost'!#REF!</f>
        <v>#REF!</v>
      </c>
      <c r="I131" s="165"/>
      <c r="M131" s="165"/>
    </row>
    <row r="132" spans="1:13" x14ac:dyDescent="0.2">
      <c r="A132" s="3086"/>
      <c r="B132" s="83" t="s">
        <v>88</v>
      </c>
      <c r="C132" s="1537" t="e">
        <f>'Gen. Energy Cost'!#REF!</f>
        <v>#REF!</v>
      </c>
      <c r="D132" s="1537" t="e">
        <f>'Gen. Energy Cost'!#REF!</f>
        <v>#REF!</v>
      </c>
      <c r="E132" s="1537" t="e">
        <f>'Gen. Energy Cost'!#REF!</f>
        <v>#REF!</v>
      </c>
      <c r="F132" s="1537" t="e">
        <f>'Gen. Energy Cost'!#REF!</f>
        <v>#REF!</v>
      </c>
      <c r="G132" s="1537" t="e">
        <f>'Gen. Energy Cost'!#REF!</f>
        <v>#REF!</v>
      </c>
      <c r="H132" s="1537" t="e">
        <f>'Gen. Energy Cost'!#REF!</f>
        <v>#REF!</v>
      </c>
      <c r="M132" s="165"/>
    </row>
    <row r="133" spans="1:13" hidden="1" x14ac:dyDescent="0.2">
      <c r="A133" s="2936" t="s">
        <v>12</v>
      </c>
      <c r="B133" s="12" t="s">
        <v>56</v>
      </c>
      <c r="C133" s="1692"/>
      <c r="D133" s="1692"/>
      <c r="E133" s="1692"/>
      <c r="F133" s="1692"/>
      <c r="G133" s="1692"/>
      <c r="H133" s="1692"/>
      <c r="I133" s="165"/>
      <c r="M133" s="165"/>
    </row>
    <row r="134" spans="1:13" hidden="1" x14ac:dyDescent="0.2">
      <c r="A134" s="2937"/>
      <c r="B134" s="83" t="s">
        <v>88</v>
      </c>
      <c r="C134" s="1693"/>
      <c r="D134" s="1693"/>
      <c r="E134" s="1693"/>
      <c r="F134" s="1693"/>
      <c r="G134" s="1692"/>
      <c r="H134" s="1693"/>
      <c r="M134" s="165"/>
    </row>
    <row r="135" spans="1:13" hidden="1" x14ac:dyDescent="0.2">
      <c r="A135" s="2936" t="s">
        <v>643</v>
      </c>
      <c r="B135" s="12" t="s">
        <v>56</v>
      </c>
      <c r="C135" s="1041"/>
      <c r="D135" s="1041"/>
      <c r="E135" s="1041"/>
      <c r="F135" s="1041"/>
      <c r="G135" s="1041"/>
      <c r="H135" s="1041"/>
      <c r="I135" s="165"/>
      <c r="K135" s="184"/>
      <c r="M135" s="165"/>
    </row>
    <row r="136" spans="1:13" hidden="1" x14ac:dyDescent="0.2">
      <c r="A136" s="2937"/>
      <c r="B136" s="83" t="s">
        <v>88</v>
      </c>
      <c r="C136" s="1206"/>
      <c r="D136" s="1206"/>
      <c r="E136" s="1206"/>
      <c r="F136" s="1206"/>
      <c r="G136" s="1206"/>
      <c r="H136" s="1206"/>
      <c r="M136" s="165"/>
    </row>
    <row r="137" spans="1:13" hidden="1" x14ac:dyDescent="0.2">
      <c r="A137" s="2936" t="s">
        <v>13</v>
      </c>
      <c r="B137" s="12" t="s">
        <v>56</v>
      </c>
      <c r="C137" s="1041"/>
      <c r="D137" s="1041"/>
      <c r="E137" s="1041"/>
      <c r="F137" s="1538"/>
      <c r="G137" s="1538"/>
      <c r="H137" s="1042"/>
      <c r="I137" s="165"/>
      <c r="J137" s="615"/>
      <c r="K137" s="184"/>
      <c r="M137" s="165"/>
    </row>
    <row r="138" spans="1:13" hidden="1" x14ac:dyDescent="0.2">
      <c r="A138" s="2937"/>
      <c r="B138" s="83" t="s">
        <v>88</v>
      </c>
      <c r="C138" s="311"/>
      <c r="D138" s="311"/>
      <c r="E138" s="311"/>
      <c r="F138" s="1539"/>
      <c r="G138" s="1539"/>
      <c r="H138" s="658"/>
      <c r="M138" s="165"/>
    </row>
    <row r="139" spans="1:13" hidden="1" x14ac:dyDescent="0.2">
      <c r="A139" s="2936" t="s">
        <v>14</v>
      </c>
      <c r="B139" s="12" t="s">
        <v>56</v>
      </c>
      <c r="C139" s="1041"/>
      <c r="D139" s="1041"/>
      <c r="E139" s="1041"/>
      <c r="F139" s="1041"/>
      <c r="G139" s="1041"/>
      <c r="H139" s="1042"/>
      <c r="I139" s="165"/>
      <c r="K139" s="184"/>
      <c r="M139" s="165"/>
    </row>
    <row r="140" spans="1:13" hidden="1" x14ac:dyDescent="0.2">
      <c r="A140" s="2937"/>
      <c r="B140" s="83" t="s">
        <v>88</v>
      </c>
      <c r="C140" s="311"/>
      <c r="D140" s="311"/>
      <c r="E140" s="311"/>
      <c r="F140" s="311"/>
      <c r="G140" s="311"/>
      <c r="H140" s="311"/>
      <c r="M140" s="165"/>
    </row>
    <row r="141" spans="1:13" hidden="1" x14ac:dyDescent="0.2">
      <c r="A141" s="2936" t="s">
        <v>15</v>
      </c>
      <c r="B141" s="12" t="s">
        <v>56</v>
      </c>
      <c r="C141" s="1042"/>
      <c r="D141" s="1042"/>
      <c r="E141" s="1042"/>
      <c r="F141" s="1042"/>
      <c r="G141" s="1042"/>
      <c r="H141" s="1042"/>
      <c r="I141" s="165"/>
      <c r="M141" s="165"/>
    </row>
    <row r="142" spans="1:13" hidden="1" x14ac:dyDescent="0.2">
      <c r="A142" s="2937"/>
      <c r="B142" s="83" t="s">
        <v>88</v>
      </c>
      <c r="C142" s="658"/>
      <c r="D142" s="658"/>
      <c r="E142" s="658"/>
      <c r="F142" s="658"/>
      <c r="G142" s="658"/>
      <c r="H142" s="658"/>
      <c r="M142" s="165"/>
    </row>
    <row r="143" spans="1:13" x14ac:dyDescent="0.2">
      <c r="A143" s="2936" t="s">
        <v>111</v>
      </c>
      <c r="B143" s="12" t="s">
        <v>56</v>
      </c>
      <c r="C143" s="1042">
        <f>'Gen. Energy Cost'!C36</f>
        <v>0</v>
      </c>
      <c r="D143" s="1042">
        <f>'Gen. Energy Cost'!D36</f>
        <v>0</v>
      </c>
      <c r="E143" s="1042">
        <f>'Gen. Energy Cost'!E36</f>
        <v>0</v>
      </c>
      <c r="F143" s="1042">
        <f>'Gen. Energy Cost'!F36</f>
        <v>0</v>
      </c>
      <c r="G143" s="1042">
        <f>'Gen. Energy Cost'!G36</f>
        <v>0</v>
      </c>
      <c r="H143" s="1042">
        <f>'Gen. Energy Cost'!H36</f>
        <v>0</v>
      </c>
      <c r="I143" s="165"/>
      <c r="M143" s="165"/>
    </row>
    <row r="144" spans="1:13" x14ac:dyDescent="0.2">
      <c r="A144" s="2937"/>
      <c r="B144" s="83" t="s">
        <v>88</v>
      </c>
      <c r="C144" s="311">
        <f>'Gen. Energy Cost'!C37</f>
        <v>0</v>
      </c>
      <c r="D144" s="311">
        <f>'Gen. Energy Cost'!D37</f>
        <v>0</v>
      </c>
      <c r="E144" s="311">
        <f>'Gen. Energy Cost'!E37</f>
        <v>0</v>
      </c>
      <c r="F144" s="311">
        <f>'Gen. Energy Cost'!F37</f>
        <v>0</v>
      </c>
      <c r="G144" s="311">
        <f>'Gen. Energy Cost'!G37</f>
        <v>0</v>
      </c>
      <c r="H144" s="311">
        <f>'Gen. Energy Cost'!H37</f>
        <v>0</v>
      </c>
      <c r="M144" s="165"/>
    </row>
    <row r="145" spans="1:70" hidden="1" x14ac:dyDescent="0.2">
      <c r="A145" s="2936" t="s">
        <v>422</v>
      </c>
      <c r="B145" s="12" t="s">
        <v>56</v>
      </c>
      <c r="C145" s="1041"/>
      <c r="D145" s="1041"/>
      <c r="E145" s="1041"/>
      <c r="F145" s="1041"/>
      <c r="G145" s="1041"/>
      <c r="H145" s="1041"/>
      <c r="I145" s="165"/>
    </row>
    <row r="146" spans="1:70" hidden="1" x14ac:dyDescent="0.2">
      <c r="A146" s="2937"/>
      <c r="B146" s="83" t="s">
        <v>88</v>
      </c>
      <c r="C146" s="311"/>
      <c r="D146" s="311"/>
      <c r="E146" s="311"/>
      <c r="F146" s="311"/>
      <c r="G146" s="311"/>
      <c r="H146" s="311"/>
    </row>
    <row r="147" spans="1:70" hidden="1" x14ac:dyDescent="0.2">
      <c r="A147" s="3082" t="s">
        <v>463</v>
      </c>
      <c r="B147" s="571" t="s">
        <v>56</v>
      </c>
      <c r="C147" s="574"/>
      <c r="D147" s="574"/>
      <c r="E147" s="574"/>
      <c r="F147" s="574"/>
      <c r="G147" s="574"/>
      <c r="H147" s="574"/>
      <c r="I147" s="165"/>
    </row>
    <row r="148" spans="1:70" hidden="1" x14ac:dyDescent="0.2">
      <c r="A148" s="3083"/>
      <c r="B148" s="575" t="s">
        <v>88</v>
      </c>
      <c r="C148" s="576"/>
      <c r="D148" s="576"/>
      <c r="E148" s="576"/>
      <c r="F148" s="576"/>
      <c r="G148" s="576"/>
      <c r="H148" s="576"/>
    </row>
    <row r="149" spans="1:70" hidden="1" x14ac:dyDescent="0.2">
      <c r="A149" s="2936" t="s">
        <v>464</v>
      </c>
      <c r="B149" s="12" t="s">
        <v>56</v>
      </c>
      <c r="C149" s="1041"/>
      <c r="D149" s="1041"/>
      <c r="E149" s="1041"/>
      <c r="F149" s="1041"/>
      <c r="G149" s="1041"/>
      <c r="H149" s="1041"/>
      <c r="I149" s="165"/>
    </row>
    <row r="150" spans="1:70" hidden="1" x14ac:dyDescent="0.2">
      <c r="A150" s="2937"/>
      <c r="B150" s="83" t="s">
        <v>88</v>
      </c>
      <c r="C150" s="311"/>
      <c r="D150" s="311"/>
      <c r="E150" s="311"/>
      <c r="F150" s="311"/>
      <c r="G150" s="311"/>
      <c r="H150" s="311"/>
    </row>
    <row r="151" spans="1:70" hidden="1" x14ac:dyDescent="0.2">
      <c r="A151" s="2944" t="s">
        <v>538</v>
      </c>
      <c r="B151" s="12" t="s">
        <v>56</v>
      </c>
      <c r="C151" s="1041"/>
      <c r="D151" s="1042"/>
      <c r="E151" s="1041"/>
      <c r="F151" s="1041"/>
      <c r="G151" s="1041"/>
      <c r="H151" s="1041"/>
      <c r="I151" s="165"/>
    </row>
    <row r="152" spans="1:70" hidden="1" x14ac:dyDescent="0.2">
      <c r="A152" s="2937"/>
      <c r="B152" s="83" t="s">
        <v>88</v>
      </c>
      <c r="C152" s="311"/>
      <c r="D152" s="658"/>
      <c r="E152" s="311"/>
      <c r="F152" s="311"/>
      <c r="G152" s="311"/>
      <c r="H152" s="311"/>
    </row>
    <row r="153" spans="1:70" hidden="1" x14ac:dyDescent="0.2">
      <c r="A153" s="3082" t="s">
        <v>19</v>
      </c>
      <c r="B153" s="571" t="s">
        <v>56</v>
      </c>
      <c r="C153" s="577"/>
      <c r="D153" s="577"/>
      <c r="E153" s="577"/>
      <c r="F153" s="577"/>
      <c r="G153" s="577"/>
      <c r="H153" s="578"/>
      <c r="I153" s="165"/>
      <c r="J153" s="165"/>
      <c r="K153" s="165"/>
    </row>
    <row r="154" spans="1:70" hidden="1" x14ac:dyDescent="0.2">
      <c r="A154" s="3083"/>
      <c r="B154" s="571" t="s">
        <v>88</v>
      </c>
      <c r="C154" s="577"/>
      <c r="D154" s="577"/>
      <c r="E154" s="577"/>
      <c r="F154" s="577"/>
      <c r="G154" s="577"/>
      <c r="H154" s="577"/>
    </row>
    <row r="155" spans="1:70" hidden="1" x14ac:dyDescent="0.2">
      <c r="A155" s="3082" t="s">
        <v>740</v>
      </c>
      <c r="B155" s="1120" t="s">
        <v>56</v>
      </c>
      <c r="C155" s="1121"/>
      <c r="D155" s="1121"/>
      <c r="E155" s="1121"/>
      <c r="F155" s="1121"/>
      <c r="G155" s="1121"/>
      <c r="H155" s="1121"/>
    </row>
    <row r="156" spans="1:70" s="372" customFormat="1" hidden="1" x14ac:dyDescent="0.2">
      <c r="A156" s="3084"/>
      <c r="B156" s="575" t="s">
        <v>88</v>
      </c>
      <c r="C156" s="1122"/>
      <c r="D156" s="1122"/>
      <c r="E156" s="1122"/>
      <c r="F156" s="1122"/>
      <c r="G156" s="1122"/>
      <c r="H156" s="1122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</row>
    <row r="157" spans="1:70" hidden="1" x14ac:dyDescent="0.2">
      <c r="A157" s="2936" t="s">
        <v>817</v>
      </c>
      <c r="B157" s="197" t="s">
        <v>56</v>
      </c>
      <c r="C157" s="1193"/>
      <c r="D157" s="1193"/>
      <c r="E157" s="1193"/>
      <c r="F157" s="1193"/>
      <c r="G157" s="1193"/>
      <c r="H157" s="1193"/>
      <c r="I157" s="124"/>
    </row>
    <row r="158" spans="1:70" s="372" customFormat="1" hidden="1" x14ac:dyDescent="0.2">
      <c r="A158" s="2939"/>
      <c r="B158" s="83" t="s">
        <v>88</v>
      </c>
      <c r="C158" s="1194"/>
      <c r="D158" s="1194"/>
      <c r="E158" s="1194"/>
      <c r="F158" s="1194"/>
      <c r="G158" s="1194"/>
      <c r="H158" s="1194"/>
      <c r="I158" s="1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</row>
    <row r="159" spans="1:70" hidden="1" x14ac:dyDescent="0.2">
      <c r="A159" s="2936" t="s">
        <v>818</v>
      </c>
      <c r="B159" s="197" t="s">
        <v>56</v>
      </c>
      <c r="C159" s="1193"/>
      <c r="D159" s="1193"/>
      <c r="E159" s="1193"/>
      <c r="F159" s="1193"/>
      <c r="G159" s="1193"/>
      <c r="H159" s="1193"/>
      <c r="I159" s="124"/>
    </row>
    <row r="160" spans="1:70" hidden="1" x14ac:dyDescent="0.2">
      <c r="A160" s="2939"/>
      <c r="B160" s="83" t="s">
        <v>88</v>
      </c>
      <c r="C160" s="1194"/>
      <c r="D160" s="1194"/>
      <c r="E160" s="1194"/>
      <c r="F160" s="1194"/>
      <c r="G160" s="1194"/>
      <c r="H160" s="1194"/>
      <c r="I160" s="124"/>
    </row>
    <row r="161" spans="1:12" hidden="1" x14ac:dyDescent="0.2">
      <c r="A161" s="2936" t="s">
        <v>819</v>
      </c>
      <c r="B161" s="197" t="s">
        <v>56</v>
      </c>
      <c r="C161" s="1193"/>
      <c r="D161" s="1193"/>
      <c r="E161" s="1193"/>
      <c r="F161" s="1193"/>
      <c r="G161" s="1193"/>
      <c r="H161" s="1193"/>
      <c r="I161" s="124"/>
    </row>
    <row r="162" spans="1:12" hidden="1" x14ac:dyDescent="0.2">
      <c r="A162" s="2939"/>
      <c r="B162" s="83" t="s">
        <v>88</v>
      </c>
      <c r="C162" s="1194"/>
      <c r="D162" s="1194"/>
      <c r="E162" s="1194"/>
      <c r="F162" s="1194"/>
      <c r="G162" s="1194"/>
      <c r="H162" s="1194"/>
      <c r="I162" s="1540"/>
    </row>
    <row r="163" spans="1:12" ht="42.75" customHeight="1" x14ac:dyDescent="0.2">
      <c r="A163" s="1085" t="s">
        <v>175</v>
      </c>
      <c r="B163" s="1086" t="s">
        <v>56</v>
      </c>
      <c r="C163" s="1087" t="e">
        <f t="shared" ref="C163:H163" si="9">SUM(C103,C105,C107,C109,C111,C113,C115,C117,C119,C121,C123,C125,C127,C129,C131,C133,C135,C137,C139,C141,C143,C145,C147,C149,C151,C153,C155,C157,C159,C161)</f>
        <v>#REF!</v>
      </c>
      <c r="D163" s="1087" t="e">
        <f t="shared" si="9"/>
        <v>#REF!</v>
      </c>
      <c r="E163" s="1087" t="e">
        <f t="shared" si="9"/>
        <v>#REF!</v>
      </c>
      <c r="F163" s="1087" t="e">
        <f t="shared" si="9"/>
        <v>#REF!</v>
      </c>
      <c r="G163" s="1087" t="e">
        <f t="shared" si="9"/>
        <v>#REF!</v>
      </c>
      <c r="H163" s="1087" t="e">
        <f t="shared" si="9"/>
        <v>#REF!</v>
      </c>
      <c r="I163" s="1088" t="e">
        <f>C163+D163+E163+F163+G163+H163</f>
        <v>#REF!</v>
      </c>
      <c r="J163" s="317"/>
      <c r="K163" s="1204"/>
      <c r="L163" s="184"/>
    </row>
    <row r="164" spans="1:12" ht="39.75" customHeight="1" x14ac:dyDescent="0.2">
      <c r="A164" s="1085" t="s">
        <v>1023</v>
      </c>
      <c r="B164" s="1086" t="s">
        <v>968</v>
      </c>
      <c r="C164" s="1087" t="e">
        <f>C109*C110+C111*C112+C113*C114+C117*C118+C131*C132+C143*C144</f>
        <v>#REF!</v>
      </c>
      <c r="D164" s="1087" t="e">
        <f t="shared" ref="D164:H164" si="10">D109*D110+D111*D112+D113*D114+D117*D118+D131*D132+D143*D144</f>
        <v>#REF!</v>
      </c>
      <c r="E164" s="1087" t="e">
        <f t="shared" si="10"/>
        <v>#REF!</v>
      </c>
      <c r="F164" s="1087" t="e">
        <f t="shared" si="10"/>
        <v>#REF!</v>
      </c>
      <c r="G164" s="1087" t="e">
        <f t="shared" si="10"/>
        <v>#REF!</v>
      </c>
      <c r="H164" s="1087" t="e">
        <f t="shared" si="10"/>
        <v>#REF!</v>
      </c>
      <c r="I164" s="1088" t="e">
        <f>C164+D164+E164+F164+G164+H164</f>
        <v>#REF!</v>
      </c>
    </row>
    <row r="165" spans="1:12" ht="39.75" customHeight="1" x14ac:dyDescent="0.2"/>
    <row r="167" spans="1:12" s="1697" customFormat="1" ht="25.2" x14ac:dyDescent="0.2">
      <c r="A167" s="1694" t="s">
        <v>1018</v>
      </c>
      <c r="B167" s="1695" t="s">
        <v>56</v>
      </c>
      <c r="C167" s="1696" t="e">
        <f>C82</f>
        <v>#REF!</v>
      </c>
      <c r="D167" s="1696" t="e">
        <f t="shared" ref="D167:G167" si="11">D82</f>
        <v>#REF!</v>
      </c>
      <c r="E167" s="1696" t="e">
        <f t="shared" si="11"/>
        <v>#REF!</v>
      </c>
      <c r="F167" s="1696" t="e">
        <f t="shared" si="11"/>
        <v>#REF!</v>
      </c>
      <c r="G167" s="1696" t="e">
        <f t="shared" si="11"/>
        <v>#REF!</v>
      </c>
      <c r="H167" s="1696" t="e">
        <f>H82</f>
        <v>#REF!</v>
      </c>
      <c r="J167" s="1698"/>
      <c r="K167" s="1699"/>
      <c r="L167" s="1700"/>
    </row>
    <row r="168" spans="1:12" s="1697" customFormat="1" ht="25.2" x14ac:dyDescent="0.2">
      <c r="A168" s="1694" t="s">
        <v>1019</v>
      </c>
      <c r="B168" s="1695" t="s">
        <v>56</v>
      </c>
      <c r="C168" s="1696" t="e">
        <f>C163</f>
        <v>#REF!</v>
      </c>
      <c r="D168" s="1696" t="e">
        <f t="shared" ref="D168:H168" si="12">D163</f>
        <v>#REF!</v>
      </c>
      <c r="E168" s="1696" t="e">
        <f t="shared" si="12"/>
        <v>#REF!</v>
      </c>
      <c r="F168" s="1696" t="e">
        <f t="shared" si="12"/>
        <v>#REF!</v>
      </c>
      <c r="G168" s="1696" t="e">
        <f t="shared" si="12"/>
        <v>#REF!</v>
      </c>
      <c r="H168" s="1696" t="e">
        <f t="shared" si="12"/>
        <v>#REF!</v>
      </c>
      <c r="J168" s="1698"/>
      <c r="K168" s="1699"/>
      <c r="L168" s="1700"/>
    </row>
    <row r="169" spans="1:12" s="1697" customFormat="1" ht="25.2" x14ac:dyDescent="0.2">
      <c r="A169" s="1694" t="s">
        <v>1020</v>
      </c>
      <c r="B169" s="1695" t="s">
        <v>56</v>
      </c>
      <c r="C169" s="1696" t="e">
        <f>C167+C168</f>
        <v>#REF!</v>
      </c>
      <c r="D169" s="1696" t="e">
        <f t="shared" ref="D169:H169" si="13">D167+D168</f>
        <v>#REF!</v>
      </c>
      <c r="E169" s="1696" t="e">
        <f t="shared" si="13"/>
        <v>#REF!</v>
      </c>
      <c r="F169" s="1696" t="e">
        <f t="shared" si="13"/>
        <v>#REF!</v>
      </c>
      <c r="G169" s="1696" t="e">
        <f t="shared" si="13"/>
        <v>#REF!</v>
      </c>
      <c r="H169" s="1696" t="e">
        <f t="shared" si="13"/>
        <v>#REF!</v>
      </c>
      <c r="J169" s="1698"/>
      <c r="K169" s="1699"/>
      <c r="L169" s="1700"/>
    </row>
    <row r="170" spans="1:12" s="1697" customFormat="1" ht="37.799999999999997" x14ac:dyDescent="0.2">
      <c r="A170" s="1701" t="s">
        <v>1021</v>
      </c>
      <c r="B170" s="1702" t="s">
        <v>56</v>
      </c>
      <c r="C170" s="1703" t="e">
        <f>C169*'Loss %'!$E$4</f>
        <v>#REF!</v>
      </c>
      <c r="D170" s="1703" t="e">
        <f>D169*'Loss %'!$E$4</f>
        <v>#REF!</v>
      </c>
      <c r="E170" s="1703" t="e">
        <f>E169*'Loss %'!$E$4</f>
        <v>#REF!</v>
      </c>
      <c r="F170" s="1703" t="e">
        <f>F169*'Loss %'!$E$4</f>
        <v>#REF!</v>
      </c>
      <c r="G170" s="1703" t="e">
        <f>G169*'Loss %'!$E$4</f>
        <v>#REF!</v>
      </c>
      <c r="H170" s="1703" t="e">
        <f>H169*'Loss %'!$E$4</f>
        <v>#REF!</v>
      </c>
      <c r="J170" s="1698"/>
      <c r="K170" s="1699"/>
      <c r="L170" s="1700"/>
    </row>
    <row r="171" spans="1:12" s="1697" customFormat="1" ht="37.799999999999997" x14ac:dyDescent="0.2">
      <c r="A171" s="1701" t="s">
        <v>1022</v>
      </c>
      <c r="B171" s="1702" t="s">
        <v>56</v>
      </c>
      <c r="C171" s="1703" t="e">
        <f>C169*'Loss %'!$E$3</f>
        <v>#REF!</v>
      </c>
      <c r="D171" s="1703" t="e">
        <f>D169*'Loss %'!$E$3</f>
        <v>#REF!</v>
      </c>
      <c r="E171" s="1703" t="e">
        <f>E169*'Loss %'!$E$3</f>
        <v>#REF!</v>
      </c>
      <c r="F171" s="1703" t="e">
        <f>F169*'Loss %'!$E$3</f>
        <v>#REF!</v>
      </c>
      <c r="G171" s="1703" t="e">
        <f>G169*'Loss %'!$E$3</f>
        <v>#REF!</v>
      </c>
      <c r="H171" s="1703" t="e">
        <f>H169*'Loss %'!$E$3</f>
        <v>#REF!</v>
      </c>
      <c r="J171" s="1698"/>
      <c r="K171" s="1699"/>
      <c r="L171" s="1700"/>
    </row>
    <row r="172" spans="1:12" s="1697" customFormat="1" x14ac:dyDescent="0.2">
      <c r="A172" s="1694"/>
      <c r="B172" s="1695"/>
      <c r="C172" s="1696"/>
      <c r="D172" s="1696"/>
      <c r="E172" s="1696"/>
      <c r="F172" s="1696"/>
      <c r="G172" s="1696"/>
      <c r="H172" s="1696"/>
      <c r="J172" s="1698"/>
      <c r="K172" s="1699"/>
      <c r="L172" s="1700"/>
    </row>
    <row r="174" spans="1:12" x14ac:dyDescent="0.2">
      <c r="C174" s="1286"/>
      <c r="D174" s="1286"/>
      <c r="E174" s="1286"/>
      <c r="F174" s="1286"/>
      <c r="G174" s="1286"/>
      <c r="H174" s="1286"/>
    </row>
    <row r="175" spans="1:12" s="1697" customFormat="1" ht="25.2" x14ac:dyDescent="0.2">
      <c r="A175" s="1694" t="s">
        <v>1024</v>
      </c>
      <c r="B175" s="1695" t="s">
        <v>968</v>
      </c>
      <c r="C175" s="1696" t="e">
        <f>C83</f>
        <v>#REF!</v>
      </c>
      <c r="D175" s="1696" t="e">
        <f t="shared" ref="D175:H175" si="14">D83</f>
        <v>#REF!</v>
      </c>
      <c r="E175" s="1696" t="e">
        <f t="shared" si="14"/>
        <v>#REF!</v>
      </c>
      <c r="F175" s="1696" t="e">
        <f t="shared" si="14"/>
        <v>#REF!</v>
      </c>
      <c r="G175" s="1696" t="e">
        <f t="shared" si="14"/>
        <v>#REF!</v>
      </c>
      <c r="H175" s="1696" t="e">
        <f t="shared" si="14"/>
        <v>#REF!</v>
      </c>
      <c r="J175" s="1698"/>
      <c r="K175" s="1699"/>
      <c r="L175" s="1700"/>
    </row>
    <row r="176" spans="1:12" s="1697" customFormat="1" ht="25.2" x14ac:dyDescent="0.2">
      <c r="A176" s="1694" t="s">
        <v>1025</v>
      </c>
      <c r="B176" s="1695" t="s">
        <v>968</v>
      </c>
      <c r="C176" s="1696" t="e">
        <f>C164</f>
        <v>#REF!</v>
      </c>
      <c r="D176" s="1696" t="e">
        <f t="shared" ref="D176:H176" si="15">D164</f>
        <v>#REF!</v>
      </c>
      <c r="E176" s="1696" t="e">
        <f t="shared" si="15"/>
        <v>#REF!</v>
      </c>
      <c r="F176" s="1696" t="e">
        <f t="shared" si="15"/>
        <v>#REF!</v>
      </c>
      <c r="G176" s="1696" t="e">
        <f t="shared" si="15"/>
        <v>#REF!</v>
      </c>
      <c r="H176" s="1696" t="e">
        <f t="shared" si="15"/>
        <v>#REF!</v>
      </c>
      <c r="J176" s="1698"/>
      <c r="K176" s="1699"/>
      <c r="L176" s="1700"/>
    </row>
    <row r="177" spans="1:12" s="1697" customFormat="1" ht="25.2" x14ac:dyDescent="0.2">
      <c r="A177" s="1694" t="s">
        <v>1026</v>
      </c>
      <c r="B177" s="1695" t="s">
        <v>968</v>
      </c>
      <c r="C177" s="1696" t="e">
        <f>C175+C176</f>
        <v>#REF!</v>
      </c>
      <c r="D177" s="1696" t="e">
        <f t="shared" ref="D177" si="16">D175+D176</f>
        <v>#REF!</v>
      </c>
      <c r="E177" s="1696" t="e">
        <f t="shared" ref="E177" si="17">E175+E176</f>
        <v>#REF!</v>
      </c>
      <c r="F177" s="1696" t="e">
        <f t="shared" ref="F177" si="18">F175+F176</f>
        <v>#REF!</v>
      </c>
      <c r="G177" s="1696" t="e">
        <f t="shared" ref="G177" si="19">G175+G176</f>
        <v>#REF!</v>
      </c>
      <c r="H177" s="1696" t="e">
        <f t="shared" ref="H177" si="20">H175+H176</f>
        <v>#REF!</v>
      </c>
      <c r="J177" s="1698"/>
      <c r="K177" s="1699"/>
      <c r="L177" s="1700"/>
    </row>
    <row r="178" spans="1:12" s="1697" customFormat="1" ht="37.799999999999997" x14ac:dyDescent="0.2">
      <c r="A178" s="1701" t="s">
        <v>1027</v>
      </c>
      <c r="B178" s="1702" t="s">
        <v>968</v>
      </c>
      <c r="C178" s="1703" t="e">
        <f>C177*'Loss %'!$E$4</f>
        <v>#REF!</v>
      </c>
      <c r="D178" s="1703" t="e">
        <f>D177*'Loss %'!$E$4</f>
        <v>#REF!</v>
      </c>
      <c r="E178" s="1703" t="e">
        <f>E177*'Loss %'!$E$4</f>
        <v>#REF!</v>
      </c>
      <c r="F178" s="1703" t="e">
        <f>F177*'Loss %'!$E$4</f>
        <v>#REF!</v>
      </c>
      <c r="G178" s="1703" t="e">
        <f>G177*'Loss %'!$E$4</f>
        <v>#REF!</v>
      </c>
      <c r="H178" s="1703" t="e">
        <f>H177*'Loss %'!$E$4</f>
        <v>#REF!</v>
      </c>
      <c r="J178" s="1698"/>
      <c r="K178" s="1699"/>
      <c r="L178" s="1700"/>
    </row>
    <row r="179" spans="1:12" s="1697" customFormat="1" ht="37.799999999999997" x14ac:dyDescent="0.2">
      <c r="A179" s="1701" t="s">
        <v>1028</v>
      </c>
      <c r="B179" s="1702" t="s">
        <v>968</v>
      </c>
      <c r="C179" s="1703" t="e">
        <f>C177*'Loss %'!$E$3</f>
        <v>#REF!</v>
      </c>
      <c r="D179" s="1703" t="e">
        <f>D177*'Loss %'!$E$3</f>
        <v>#REF!</v>
      </c>
      <c r="E179" s="1703" t="e">
        <f>E177*'Loss %'!$E$3</f>
        <v>#REF!</v>
      </c>
      <c r="F179" s="1703" t="e">
        <f>F177*'Loss %'!$E$3</f>
        <v>#REF!</v>
      </c>
      <c r="G179" s="1703" t="e">
        <f>G177*'Loss %'!$E$3</f>
        <v>#REF!</v>
      </c>
      <c r="H179" s="1703" t="e">
        <f>H177*'Loss %'!$E$3</f>
        <v>#REF!</v>
      </c>
      <c r="J179" s="1698"/>
      <c r="K179" s="1699"/>
      <c r="L179" s="1700"/>
    </row>
    <row r="184" spans="1:12" x14ac:dyDescent="0.2">
      <c r="B184">
        <v>33</v>
      </c>
      <c r="C184" s="1286" t="e">
        <f>'Gen. Energy Cost 33'!C129</f>
        <v>#REF!</v>
      </c>
      <c r="D184" s="1286" t="e">
        <f>'Gen. Energy Cost 33'!D129</f>
        <v>#REF!</v>
      </c>
      <c r="E184" s="1286" t="e">
        <f>'Gen. Energy Cost 33'!E129</f>
        <v>#REF!</v>
      </c>
      <c r="F184" s="1286" t="e">
        <f>'Gen. Energy Cost 33'!F129</f>
        <v>#REF!</v>
      </c>
      <c r="G184" s="1286" t="e">
        <f>'Gen. Energy Cost 33'!G129</f>
        <v>#REF!</v>
      </c>
      <c r="H184" s="1286" t="e">
        <f>'Gen. Energy Cost 33'!H129</f>
        <v>#REF!</v>
      </c>
    </row>
    <row r="186" spans="1:12" x14ac:dyDescent="0.2">
      <c r="C186" s="1286" t="e">
        <f>C178+C179+C184</f>
        <v>#REF!</v>
      </c>
      <c r="D186" s="1286" t="e">
        <f t="shared" ref="D186:H186" si="21">D178+D179+D184</f>
        <v>#REF!</v>
      </c>
      <c r="E186" s="1286" t="e">
        <f t="shared" si="21"/>
        <v>#REF!</v>
      </c>
      <c r="F186" s="1286" t="e">
        <f t="shared" si="21"/>
        <v>#REF!</v>
      </c>
      <c r="G186" s="1286" t="e">
        <f t="shared" si="21"/>
        <v>#REF!</v>
      </c>
      <c r="H186" s="1286" t="e">
        <f t="shared" si="21"/>
        <v>#REF!</v>
      </c>
    </row>
    <row r="188" spans="1:12" x14ac:dyDescent="0.2">
      <c r="C188" t="e">
        <f>'Gen. Energy Cost'!C74</f>
        <v>#DIV/0!</v>
      </c>
      <c r="D188" t="e">
        <f>'Gen. Energy Cost'!D74</f>
        <v>#DIV/0!</v>
      </c>
      <c r="E188" t="e">
        <f>'Gen. Energy Cost'!E74</f>
        <v>#DIV/0!</v>
      </c>
      <c r="F188">
        <f>'Gen. Energy Cost'!F74</f>
        <v>41135.637809293497</v>
      </c>
      <c r="G188">
        <f>'Gen. Energy Cost'!G74</f>
        <v>34937.319352503917</v>
      </c>
      <c r="H188">
        <f>'Gen. Energy Cost'!H74</f>
        <v>35377.841691582595</v>
      </c>
    </row>
    <row r="190" spans="1:12" x14ac:dyDescent="0.2">
      <c r="C190" s="1286" t="e">
        <f>C186-C188</f>
        <v>#REF!</v>
      </c>
      <c r="D190" s="1286" t="e">
        <f t="shared" ref="D190:H190" si="22">D186-D188</f>
        <v>#REF!</v>
      </c>
      <c r="E190" s="1286" t="e">
        <f t="shared" si="22"/>
        <v>#REF!</v>
      </c>
      <c r="F190" s="1286" t="e">
        <f t="shared" si="22"/>
        <v>#REF!</v>
      </c>
      <c r="G190" s="1286" t="e">
        <f t="shared" si="22"/>
        <v>#REF!</v>
      </c>
      <c r="H190" s="1286" t="e">
        <f t="shared" si="22"/>
        <v>#REF!</v>
      </c>
    </row>
    <row r="195" spans="2:8" x14ac:dyDescent="0.2">
      <c r="B195">
        <v>33</v>
      </c>
      <c r="C195" t="e">
        <f>'Gen. Energy Cost 33'!C98</f>
        <v>#REF!</v>
      </c>
      <c r="D195" t="e">
        <f>'Gen. Energy Cost 33'!D98</f>
        <v>#REF!</v>
      </c>
      <c r="E195" t="e">
        <f>'Gen. Energy Cost 33'!E98</f>
        <v>#REF!</v>
      </c>
      <c r="F195" t="e">
        <f>'Gen. Energy Cost 33'!F98</f>
        <v>#REF!</v>
      </c>
      <c r="G195" t="e">
        <f>'Gen. Energy Cost 33'!G98</f>
        <v>#REF!</v>
      </c>
      <c r="H195" t="e">
        <f>'Gen. Energy Cost 33'!H98</f>
        <v>#REF!</v>
      </c>
    </row>
    <row r="197" spans="2:8" x14ac:dyDescent="0.2">
      <c r="C197" s="1286" t="e">
        <f>C195+C170+C171</f>
        <v>#REF!</v>
      </c>
      <c r="D197" s="1286" t="e">
        <f t="shared" ref="D197:H197" si="23">D195+D170+D171</f>
        <v>#REF!</v>
      </c>
      <c r="E197" s="1286" t="e">
        <f t="shared" si="23"/>
        <v>#REF!</v>
      </c>
      <c r="F197" s="1286" t="e">
        <f t="shared" si="23"/>
        <v>#REF!</v>
      </c>
      <c r="G197" s="1286" t="e">
        <f t="shared" si="23"/>
        <v>#REF!</v>
      </c>
      <c r="H197" s="1286" t="e">
        <f t="shared" si="23"/>
        <v>#REF!</v>
      </c>
    </row>
    <row r="199" spans="2:8" x14ac:dyDescent="0.2">
      <c r="C199" s="1286" t="e">
        <f>C197-'Gen. Energy Cost'!C70</f>
        <v>#REF!</v>
      </c>
      <c r="D199" s="1286" t="e">
        <f>D197-'Gen. Energy Cost'!D70</f>
        <v>#REF!</v>
      </c>
      <c r="E199" s="1286" t="e">
        <f>E197-'Gen. Energy Cost'!E70</f>
        <v>#REF!</v>
      </c>
      <c r="F199" s="1286" t="e">
        <f>F197-'Gen. Energy Cost'!F70</f>
        <v>#REF!</v>
      </c>
      <c r="G199" s="1286" t="e">
        <f>G197-'Gen. Energy Cost'!G70</f>
        <v>#REF!</v>
      </c>
      <c r="H199" s="1286" t="e">
        <f>H197-'Gen. Energy Cost'!H70</f>
        <v>#REF!</v>
      </c>
    </row>
  </sheetData>
  <dataConsolidate/>
  <mergeCells count="90">
    <mergeCell ref="A159:A160"/>
    <mergeCell ref="A161:A162"/>
    <mergeCell ref="A147:A148"/>
    <mergeCell ref="A149:A150"/>
    <mergeCell ref="A151:A152"/>
    <mergeCell ref="A153:A154"/>
    <mergeCell ref="A155:A156"/>
    <mergeCell ref="A157:A158"/>
    <mergeCell ref="A145:A146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21:A122"/>
    <mergeCell ref="A80:A81"/>
    <mergeCell ref="A101:H101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78:A79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54:A55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Y20:AZ20"/>
    <mergeCell ref="A22:A23"/>
    <mergeCell ref="A24:A25"/>
    <mergeCell ref="A26:A27"/>
    <mergeCell ref="A28:A29"/>
    <mergeCell ref="AU20:AV20"/>
    <mergeCell ref="AW20:AX20"/>
    <mergeCell ref="A30:A31"/>
    <mergeCell ref="AJ20:AN20"/>
    <mergeCell ref="AO20:AP20"/>
    <mergeCell ref="AQ20:AR20"/>
    <mergeCell ref="AS20:AT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A20:H20"/>
    <mergeCell ref="J20:K20"/>
    <mergeCell ref="L20:M20"/>
    <mergeCell ref="N20:O20"/>
    <mergeCell ref="P20:Q20"/>
    <mergeCell ref="R20:S20"/>
    <mergeCell ref="T20:U20"/>
    <mergeCell ref="V20:W20"/>
    <mergeCell ref="S8:W8"/>
    <mergeCell ref="A4:H4"/>
    <mergeCell ref="J4:L4"/>
    <mergeCell ref="A8:E8"/>
    <mergeCell ref="G8:K8"/>
    <mergeCell ref="M8:Q8"/>
  </mergeCells>
  <pageMargins left="0.75" right="0.26" top="1" bottom="1" header="0" footer="0"/>
  <pageSetup paperSize="9" scale="47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5522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35522" r:id="rId4" name="CommandButton2"/>
      </mc:Fallback>
    </mc:AlternateContent>
    <mc:AlternateContent xmlns:mc="http://schemas.openxmlformats.org/markup-compatibility/2006">
      <mc:Choice Requires="x14">
        <control shapeId="235521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35521" r:id="rId6" name="CommandButton1"/>
      </mc:Fallback>
    </mc:AlternateContent>
  </control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45">
    <tabColor theme="9"/>
    <pageSetUpPr fitToPage="1"/>
  </sheetPr>
  <dimension ref="A1:BU122"/>
  <sheetViews>
    <sheetView showGridLines="0" showWhiteSpace="0" topLeftCell="AA1" workbookViewId="0">
      <selection activeCell="C168" sqref="C168:C170"/>
    </sheetView>
  </sheetViews>
  <sheetFormatPr defaultColWidth="11" defaultRowHeight="12.6" x14ac:dyDescent="0.2"/>
  <cols>
    <col min="1" max="1" width="25.36328125" customWidth="1"/>
    <col min="2" max="2" width="11.6328125" bestFit="1" customWidth="1"/>
    <col min="3" max="8" width="20" bestFit="1" customWidth="1"/>
    <col min="9" max="9" width="12.453125" bestFit="1" customWidth="1"/>
    <col min="12" max="12" width="20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6" max="36" width="19" bestFit="1" customWidth="1"/>
    <col min="37" max="37" width="20" bestFit="1" customWidth="1"/>
    <col min="38" max="39" width="20" customWidth="1"/>
  </cols>
  <sheetData>
    <row r="1" spans="1:39" s="27" customFormat="1" ht="22.2" x14ac:dyDescent="0.35">
      <c r="A1" s="3" t="s">
        <v>174</v>
      </c>
      <c r="F1" s="943"/>
      <c r="G1" s="943"/>
    </row>
    <row r="2" spans="1:39" ht="22.2" x14ac:dyDescent="0.35">
      <c r="F2" s="943"/>
      <c r="G2" s="943"/>
    </row>
    <row r="4" spans="1:39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9" ht="13.2" thickBot="1" x14ac:dyDescent="0.25">
      <c r="A5" s="26"/>
      <c r="B5" s="23" t="s">
        <v>36</v>
      </c>
      <c r="C5" s="425">
        <f>'Gen. Capacity 33'!C4</f>
        <v>46023</v>
      </c>
      <c r="D5" s="425">
        <f>'Gen. Capacity 33'!D4</f>
        <v>46054</v>
      </c>
      <c r="E5" s="425">
        <f>'Gen. Capacity 33'!E4</f>
        <v>46082</v>
      </c>
      <c r="F5" s="425">
        <f>'Gen. Capacity 33'!F4</f>
        <v>46113</v>
      </c>
      <c r="G5" s="425">
        <f>'Gen. Capacity 33'!G4</f>
        <v>46143</v>
      </c>
      <c r="H5" s="425">
        <f>'Gen. Capacity 33'!H4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8" t="e">
        <f t="shared" ref="C6:H6" si="0">C105/C104</f>
        <v>#REF!</v>
      </c>
      <c r="D6" s="388" t="e">
        <f t="shared" si="0"/>
        <v>#REF!</v>
      </c>
      <c r="E6" s="388" t="e">
        <f t="shared" si="0"/>
        <v>#REF!</v>
      </c>
      <c r="F6" s="388" t="e">
        <f t="shared" si="0"/>
        <v>#REF!</v>
      </c>
      <c r="G6" s="388" t="e">
        <f t="shared" si="0"/>
        <v>#REF!</v>
      </c>
      <c r="H6" s="388" t="e">
        <f t="shared" si="0"/>
        <v>#REF!</v>
      </c>
      <c r="I6" s="426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9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2" t="s">
        <v>20</v>
      </c>
      <c r="B10" s="581" t="e">
        <f>$C$101*'tx consumer data'!O78</f>
        <v>#REF!</v>
      </c>
      <c r="C10" s="1357">
        <v>1</v>
      </c>
      <c r="D10" s="1044">
        <f>C10*C17</f>
        <v>1.1423584268442086</v>
      </c>
      <c r="E10" s="1045" t="e">
        <f>$C$6*D10</f>
        <v>#REF!</v>
      </c>
      <c r="F10" s="402"/>
      <c r="G10" s="352" t="s">
        <v>20</v>
      </c>
      <c r="H10" s="581" t="e">
        <f>$D$101*'tx consumer data'!O78</f>
        <v>#REF!</v>
      </c>
      <c r="I10" s="1357">
        <v>1</v>
      </c>
      <c r="J10" s="1044">
        <f>I10*I17</f>
        <v>1.1423584268442086</v>
      </c>
      <c r="K10" s="1045" t="e">
        <f>$D$6*J10</f>
        <v>#REF!</v>
      </c>
      <c r="L10" s="402"/>
      <c r="M10" s="352" t="s">
        <v>20</v>
      </c>
      <c r="N10" s="581" t="e">
        <f>$E$101*'tx consumer data'!O78</f>
        <v>#REF!</v>
      </c>
      <c r="O10" s="1357">
        <v>1</v>
      </c>
      <c r="P10" s="1044">
        <f>O10*O17</f>
        <v>1.1396653481966488</v>
      </c>
      <c r="Q10" s="1045" t="e">
        <f>$E$6*P10</f>
        <v>#REF!</v>
      </c>
      <c r="R10" s="402"/>
      <c r="S10" s="352" t="s">
        <v>20</v>
      </c>
      <c r="T10" s="581" t="e">
        <f>$F$101*'tx consumer data'!O78</f>
        <v>#REF!</v>
      </c>
      <c r="U10" s="1357">
        <v>1</v>
      </c>
      <c r="V10" s="1044">
        <f>U10*U17</f>
        <v>1.1423584268442086</v>
      </c>
      <c r="W10" s="1045" t="e">
        <f>$F$6*V10</f>
        <v>#REF!</v>
      </c>
      <c r="X10" s="402"/>
      <c r="Y10" s="352" t="s">
        <v>20</v>
      </c>
      <c r="Z10" s="581" t="e">
        <f>$G$101*'tx consumer data'!O78</f>
        <v>#REF!</v>
      </c>
      <c r="AA10" s="1357">
        <v>1</v>
      </c>
      <c r="AB10" s="1044">
        <f>AA10*AA17</f>
        <v>1.1423584268442086</v>
      </c>
      <c r="AC10" s="1045" t="e">
        <f>$G$6*AB10</f>
        <v>#REF!</v>
      </c>
      <c r="AD10" s="402"/>
      <c r="AE10" s="352" t="s">
        <v>20</v>
      </c>
      <c r="AF10" s="581" t="e">
        <f>$H$101*'tx consumer data'!O78</f>
        <v>#REF!</v>
      </c>
      <c r="AG10" s="1357">
        <v>1</v>
      </c>
      <c r="AH10" s="1044">
        <f>AG10*AG17</f>
        <v>1.1423584268442086</v>
      </c>
      <c r="AI10" s="1045" t="e">
        <f>$H$6*AH10</f>
        <v>#REF!</v>
      </c>
      <c r="AJ10" s="402"/>
      <c r="AK10" s="402"/>
      <c r="AL10" s="402"/>
      <c r="AM10" s="402"/>
    </row>
    <row r="11" spans="1:39" x14ac:dyDescent="0.2">
      <c r="A11" s="352" t="s">
        <v>21</v>
      </c>
      <c r="B11" s="581" t="e">
        <f>$C$101*'tx consumer data'!O79</f>
        <v>#REF!</v>
      </c>
      <c r="C11" s="1357">
        <v>1.3</v>
      </c>
      <c r="D11" s="1044">
        <f>C11*C17</f>
        <v>1.4850659548974712</v>
      </c>
      <c r="E11" s="1045" t="e">
        <f>$C$6*D11</f>
        <v>#REF!</v>
      </c>
      <c r="F11" s="402"/>
      <c r="G11" s="352" t="s">
        <v>21</v>
      </c>
      <c r="H11" s="581" t="e">
        <f>$D$101*'tx consumer data'!O79</f>
        <v>#REF!</v>
      </c>
      <c r="I11" s="1357">
        <v>1.3</v>
      </c>
      <c r="J11" s="1044">
        <f>I11*I17</f>
        <v>1.4850659548974712</v>
      </c>
      <c r="K11" s="1045" t="e">
        <f>$D$6*J11</f>
        <v>#REF!</v>
      </c>
      <c r="L11" s="402"/>
      <c r="M11" s="352" t="s">
        <v>21</v>
      </c>
      <c r="N11" s="581" t="e">
        <f>$C$101*'tx consumer data'!O79</f>
        <v>#REF!</v>
      </c>
      <c r="O11" s="1357">
        <v>1.3</v>
      </c>
      <c r="P11" s="1044">
        <f>O11*O17</f>
        <v>1.4815649526556434</v>
      </c>
      <c r="Q11" s="1045" t="e">
        <f>$E$6*P11</f>
        <v>#REF!</v>
      </c>
      <c r="R11" s="402"/>
      <c r="S11" s="352" t="s">
        <v>21</v>
      </c>
      <c r="T11" s="581" t="e">
        <f>$F$101*'tx consumer data'!O79</f>
        <v>#REF!</v>
      </c>
      <c r="U11" s="1357">
        <v>1.3</v>
      </c>
      <c r="V11" s="1044">
        <f>U11*U17</f>
        <v>1.4850659548974712</v>
      </c>
      <c r="W11" s="1045" t="e">
        <f>$F$6*V11</f>
        <v>#REF!</v>
      </c>
      <c r="X11" s="402"/>
      <c r="Y11" s="352" t="s">
        <v>21</v>
      </c>
      <c r="Z11" s="581" t="e">
        <f>$G$101*'tx consumer data'!O79</f>
        <v>#REF!</v>
      </c>
      <c r="AA11" s="1357">
        <v>1.3</v>
      </c>
      <c r="AB11" s="1044">
        <f>AA11*AA17</f>
        <v>1.4850659548974712</v>
      </c>
      <c r="AC11" s="1045" t="e">
        <f>$G$6*AB11</f>
        <v>#REF!</v>
      </c>
      <c r="AD11" s="402"/>
      <c r="AE11" s="352" t="s">
        <v>21</v>
      </c>
      <c r="AF11" s="581" t="e">
        <f>$H$101*'tx consumer data'!O79</f>
        <v>#REF!</v>
      </c>
      <c r="AG11" s="1357">
        <v>1.3</v>
      </c>
      <c r="AH11" s="1044">
        <f>AG11*AG17</f>
        <v>1.4850659548974712</v>
      </c>
      <c r="AI11" s="1045" t="e">
        <f>$H$6*AH11</f>
        <v>#REF!</v>
      </c>
      <c r="AJ11" s="402"/>
      <c r="AK11" s="402"/>
      <c r="AL11" s="402"/>
      <c r="AM11" s="402"/>
    </row>
    <row r="12" spans="1:39" ht="13.2" thickBot="1" x14ac:dyDescent="0.25">
      <c r="A12" s="353" t="s">
        <v>22</v>
      </c>
      <c r="B12" s="582" t="e">
        <f>$C$101*'tx consumer data'!O80</f>
        <v>#REF!</v>
      </c>
      <c r="C12" s="1530">
        <v>0.6</v>
      </c>
      <c r="D12" s="1046">
        <f>C12*C17</f>
        <v>0.6854150561065252</v>
      </c>
      <c r="E12" s="1047" t="e">
        <f>$C$6*D12</f>
        <v>#REF!</v>
      </c>
      <c r="F12" s="402"/>
      <c r="G12" s="353" t="s">
        <v>22</v>
      </c>
      <c r="H12" s="582" t="e">
        <f>$D$101*'tx consumer data'!O80</f>
        <v>#REF!</v>
      </c>
      <c r="I12" s="1530">
        <v>0.6</v>
      </c>
      <c r="J12" s="1046">
        <f>I12*I17</f>
        <v>0.6854150561065252</v>
      </c>
      <c r="K12" s="1047" t="e">
        <f>$D$6*J12</f>
        <v>#REF!</v>
      </c>
      <c r="L12" s="402"/>
      <c r="M12" s="353" t="s">
        <v>22</v>
      </c>
      <c r="N12" s="582" t="e">
        <f>$E$101*'tx consumer data'!O80</f>
        <v>#REF!</v>
      </c>
      <c r="O12" s="1530">
        <v>0.6</v>
      </c>
      <c r="P12" s="1046">
        <f>O12*O17</f>
        <v>0.68379920891798929</v>
      </c>
      <c r="Q12" s="1047" t="e">
        <f>$E$6*P12</f>
        <v>#REF!</v>
      </c>
      <c r="R12" s="402"/>
      <c r="S12" s="353" t="s">
        <v>22</v>
      </c>
      <c r="T12" s="582" t="e">
        <f>$F$101*'tx consumer data'!O80</f>
        <v>#REF!</v>
      </c>
      <c r="U12" s="1530">
        <v>0.6</v>
      </c>
      <c r="V12" s="1046">
        <f>U12*U17</f>
        <v>0.6854150561065252</v>
      </c>
      <c r="W12" s="1047" t="e">
        <f>$F$6*V12</f>
        <v>#REF!</v>
      </c>
      <c r="X12" s="402"/>
      <c r="Y12" s="353" t="s">
        <v>22</v>
      </c>
      <c r="Z12" s="582" t="e">
        <f>$G$101*'tx consumer data'!O80</f>
        <v>#REF!</v>
      </c>
      <c r="AA12" s="1530">
        <v>0.6</v>
      </c>
      <c r="AB12" s="1046">
        <f>AA12*AA17</f>
        <v>0.6854150561065252</v>
      </c>
      <c r="AC12" s="1047" t="e">
        <f>$G$6*AB12</f>
        <v>#REF!</v>
      </c>
      <c r="AD12" s="402"/>
      <c r="AE12" s="353" t="s">
        <v>22</v>
      </c>
      <c r="AF12" s="582" t="e">
        <f>$H$101*'tx consumer data'!O80</f>
        <v>#REF!</v>
      </c>
      <c r="AG12" s="1530">
        <v>0.6</v>
      </c>
      <c r="AH12" s="1046">
        <f>AG12*AG17</f>
        <v>0.6854150561065252</v>
      </c>
      <c r="AI12" s="1047" t="e">
        <f>$H$6*AH12</f>
        <v>#REF!</v>
      </c>
      <c r="AJ12" s="402"/>
      <c r="AK12" s="402"/>
      <c r="AL12" s="402"/>
      <c r="AM12" s="402"/>
    </row>
    <row r="13" spans="1:39" ht="13.2" thickBot="1" x14ac:dyDescent="0.25">
      <c r="A13" s="99"/>
      <c r="B13" s="1531" t="e">
        <f>B10+B11+B12</f>
        <v>#REF!</v>
      </c>
      <c r="C13" s="85"/>
      <c r="E13" s="100"/>
      <c r="F13" s="402"/>
      <c r="G13" s="99"/>
      <c r="H13" s="399"/>
      <c r="I13" s="85"/>
      <c r="K13" s="100"/>
      <c r="L13" s="402"/>
      <c r="M13" s="99"/>
      <c r="N13" s="399"/>
      <c r="O13" s="85"/>
      <c r="Q13" s="100"/>
      <c r="R13" s="402"/>
      <c r="S13" s="99"/>
      <c r="T13" s="399"/>
      <c r="U13" s="85"/>
      <c r="W13" s="100"/>
      <c r="X13" s="402"/>
      <c r="Y13" s="99"/>
      <c r="Z13" s="399"/>
      <c r="AA13" s="85"/>
      <c r="AC13" s="100"/>
      <c r="AD13" s="402"/>
      <c r="AE13" s="99"/>
      <c r="AF13" s="399"/>
      <c r="AG13" s="85"/>
      <c r="AI13" s="100"/>
      <c r="AJ13" s="402"/>
      <c r="AK13" s="402"/>
      <c r="AL13" s="402"/>
      <c r="AM13" s="402"/>
    </row>
    <row r="14" spans="1:39" x14ac:dyDescent="0.2">
      <c r="A14" s="531" t="s">
        <v>179</v>
      </c>
      <c r="B14" s="532" t="s">
        <v>60</v>
      </c>
      <c r="C14" s="533" t="e">
        <f>C6*SUM(B10:B12)</f>
        <v>#REF!</v>
      </c>
      <c r="E14" s="100"/>
      <c r="F14" s="402"/>
      <c r="G14" s="531" t="s">
        <v>179</v>
      </c>
      <c r="H14" s="532" t="s">
        <v>60</v>
      </c>
      <c r="I14" s="533" t="e">
        <f>D6*SUM(H10:H12)</f>
        <v>#REF!</v>
      </c>
      <c r="K14" s="100"/>
      <c r="M14" s="531" t="s">
        <v>179</v>
      </c>
      <c r="N14" s="532" t="s">
        <v>60</v>
      </c>
      <c r="O14" s="533" t="e">
        <f>E6*SUM(N10:N12)</f>
        <v>#REF!</v>
      </c>
      <c r="Q14" s="100"/>
      <c r="S14" s="531" t="s">
        <v>179</v>
      </c>
      <c r="T14" s="532" t="s">
        <v>60</v>
      </c>
      <c r="U14" s="533" t="e">
        <f>F6*SUM(T10:T12)</f>
        <v>#REF!</v>
      </c>
      <c r="W14" s="100"/>
      <c r="Y14" s="531" t="s">
        <v>179</v>
      </c>
      <c r="Z14" s="532" t="s">
        <v>60</v>
      </c>
      <c r="AA14" s="533" t="e">
        <f>G6*SUM(Z10:Z12)</f>
        <v>#REF!</v>
      </c>
      <c r="AC14" s="100"/>
      <c r="AE14" s="531" t="s">
        <v>179</v>
      </c>
      <c r="AF14" s="532" t="s">
        <v>60</v>
      </c>
      <c r="AG14" s="533" t="e">
        <f>H6*SUM(AF10:AF12)</f>
        <v>#REF!</v>
      </c>
      <c r="AI14" s="100"/>
    </row>
    <row r="15" spans="1:39" x14ac:dyDescent="0.2">
      <c r="A15" s="534" t="s">
        <v>180</v>
      </c>
      <c r="B15" s="85" t="s">
        <v>60</v>
      </c>
      <c r="C15" s="535" t="e">
        <f>SUMPRODUCT(B10:B12,E10:E12)</f>
        <v>#REF!</v>
      </c>
      <c r="E15" s="100"/>
      <c r="G15" s="534" t="s">
        <v>180</v>
      </c>
      <c r="H15" s="85" t="s">
        <v>60</v>
      </c>
      <c r="I15" s="535" t="e">
        <f>SUMPRODUCT(H10:H12,K10:K12)</f>
        <v>#REF!</v>
      </c>
      <c r="K15" s="100"/>
      <c r="M15" s="534" t="s">
        <v>180</v>
      </c>
      <c r="N15" s="85" t="s">
        <v>60</v>
      </c>
      <c r="O15" s="535" t="e">
        <f>SUMPRODUCT(N10:N12,Q10:Q12)</f>
        <v>#REF!</v>
      </c>
      <c r="Q15" s="100"/>
      <c r="S15" s="534" t="s">
        <v>180</v>
      </c>
      <c r="T15" s="85" t="s">
        <v>60</v>
      </c>
      <c r="U15" s="535" t="e">
        <f>SUMPRODUCT(T10:T12,W10:W12)</f>
        <v>#REF!</v>
      </c>
      <c r="W15" s="100"/>
      <c r="Y15" s="534" t="s">
        <v>180</v>
      </c>
      <c r="Z15" s="85" t="s">
        <v>60</v>
      </c>
      <c r="AA15" s="535" t="e">
        <f>SUMPRODUCT(Z10:Z12,AC10:AC12)</f>
        <v>#REF!</v>
      </c>
      <c r="AC15" s="100"/>
      <c r="AE15" s="534" t="s">
        <v>180</v>
      </c>
      <c r="AF15" s="85" t="s">
        <v>60</v>
      </c>
      <c r="AG15" s="535" t="e">
        <f>SUMPRODUCT(AF10:AF12,AI10:AI12)</f>
        <v>#REF!</v>
      </c>
      <c r="AI15" s="100"/>
    </row>
    <row r="16" spans="1:39" x14ac:dyDescent="0.2">
      <c r="A16" s="534" t="s">
        <v>184</v>
      </c>
      <c r="B16" s="85" t="s">
        <v>60</v>
      </c>
      <c r="C16" s="535" t="e">
        <f>C14-C15</f>
        <v>#REF!</v>
      </c>
      <c r="E16" s="100"/>
      <c r="G16" s="534" t="s">
        <v>184</v>
      </c>
      <c r="H16" s="85" t="s">
        <v>60</v>
      </c>
      <c r="I16" s="535" t="e">
        <f>I14-I15</f>
        <v>#REF!</v>
      </c>
      <c r="K16" s="100"/>
      <c r="M16" s="534" t="s">
        <v>184</v>
      </c>
      <c r="N16" s="85" t="s">
        <v>60</v>
      </c>
      <c r="O16" s="535" t="e">
        <f>O14-O15</f>
        <v>#REF!</v>
      </c>
      <c r="Q16" s="100"/>
      <c r="S16" s="534" t="s">
        <v>184</v>
      </c>
      <c r="T16" s="85" t="s">
        <v>60</v>
      </c>
      <c r="U16" s="535" t="e">
        <f>U14-U15</f>
        <v>#REF!</v>
      </c>
      <c r="W16" s="100"/>
      <c r="Y16" s="534" t="s">
        <v>184</v>
      </c>
      <c r="Z16" s="85" t="s">
        <v>60</v>
      </c>
      <c r="AA16" s="535" t="e">
        <f>AA14-AA15</f>
        <v>#REF!</v>
      </c>
      <c r="AC16" s="100"/>
      <c r="AE16" s="534" t="s">
        <v>184</v>
      </c>
      <c r="AF16" s="85" t="s">
        <v>60</v>
      </c>
      <c r="AG16" s="535" t="e">
        <f>AG14-AG15</f>
        <v>#REF!</v>
      </c>
      <c r="AI16" s="100"/>
    </row>
    <row r="17" spans="1:55" ht="13.2" thickBot="1" x14ac:dyDescent="0.25">
      <c r="A17" s="536" t="s">
        <v>187</v>
      </c>
      <c r="B17" s="537" t="s">
        <v>188</v>
      </c>
      <c r="C17" s="538">
        <v>1.1423584268442086</v>
      </c>
      <c r="D17" s="101"/>
      <c r="E17" s="102"/>
      <c r="G17" s="536" t="s">
        <v>187</v>
      </c>
      <c r="H17" s="537" t="s">
        <v>188</v>
      </c>
      <c r="I17" s="538">
        <v>1.1423584268442086</v>
      </c>
      <c r="J17" s="101"/>
      <c r="K17" s="102"/>
      <c r="M17" s="536" t="s">
        <v>187</v>
      </c>
      <c r="N17" s="537" t="s">
        <v>188</v>
      </c>
      <c r="O17" s="538">
        <v>1.1396653481966488</v>
      </c>
      <c r="P17" s="101"/>
      <c r="Q17" s="102"/>
      <c r="S17" s="536" t="s">
        <v>187</v>
      </c>
      <c r="T17" s="537" t="s">
        <v>188</v>
      </c>
      <c r="U17" s="538">
        <v>1.1423584268442086</v>
      </c>
      <c r="V17" s="101"/>
      <c r="W17" s="102"/>
      <c r="Y17" s="536" t="s">
        <v>187</v>
      </c>
      <c r="Z17" s="537" t="s">
        <v>188</v>
      </c>
      <c r="AA17" s="538">
        <v>1.1423584268442086</v>
      </c>
      <c r="AB17" s="101"/>
      <c r="AC17" s="102"/>
      <c r="AE17" s="536" t="s">
        <v>187</v>
      </c>
      <c r="AF17" s="537" t="s">
        <v>188</v>
      </c>
      <c r="AG17" s="538">
        <v>1.1423584268442086</v>
      </c>
      <c r="AH17" s="101"/>
      <c r="AI17" s="102"/>
    </row>
    <row r="18" spans="1:55" ht="13.2" thickTop="1" x14ac:dyDescent="0.2">
      <c r="A18" s="84"/>
      <c r="B18" s="85"/>
      <c r="C18" s="85"/>
    </row>
    <row r="19" spans="1:55" x14ac:dyDescent="0.2">
      <c r="B19" s="85"/>
      <c r="C19" s="85"/>
    </row>
    <row r="20" spans="1:55" ht="13.2" hidden="1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2931"/>
      <c r="AY20" s="2931"/>
      <c r="AZ20" s="2931"/>
      <c r="BA20" s="4"/>
    </row>
    <row r="21" spans="1:55" ht="13.2" hidden="1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hidden="1" x14ac:dyDescent="0.3">
      <c r="A22" s="2936" t="s">
        <v>962</v>
      </c>
      <c r="B22" s="418" t="s">
        <v>56</v>
      </c>
      <c r="C22" s="1532">
        <f>'hydro en &amp; capcost voltage wise'!E11</f>
        <v>0</v>
      </c>
      <c r="D22" s="1532">
        <f>'hydro en &amp; capcost voltage wise'!F11</f>
        <v>0</v>
      </c>
      <c r="E22" s="1532">
        <f>'hydro en &amp; capcost voltage wise'!G11</f>
        <v>0</v>
      </c>
      <c r="F22" s="1532">
        <f>'hydro en &amp; capcost voltage wise'!H11</f>
        <v>118.04267202251317</v>
      </c>
      <c r="G22" s="1532">
        <f>'hydro en &amp; capcost voltage wise'!I11</f>
        <v>118.143844932752</v>
      </c>
      <c r="H22" s="1532">
        <f>'hydro en &amp; capcost voltage wise'!J11</f>
        <v>150.32677299670164</v>
      </c>
      <c r="I22" s="780" t="s">
        <v>595</v>
      </c>
      <c r="J22" s="615">
        <v>301.23</v>
      </c>
      <c r="K22" s="165"/>
      <c r="L22" s="165"/>
      <c r="M22" s="165"/>
    </row>
    <row r="23" spans="1:55" hidden="1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5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5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5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5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5" hidden="1" x14ac:dyDescent="0.2">
      <c r="A28" s="2936" t="s">
        <v>0</v>
      </c>
      <c r="B28" s="418" t="s">
        <v>56</v>
      </c>
      <c r="C28" s="1040"/>
      <c r="D28" s="1040"/>
      <c r="E28" s="1040"/>
      <c r="F28" s="1040"/>
      <c r="G28" s="1040"/>
      <c r="H28" s="1040"/>
      <c r="I28" s="165"/>
      <c r="J28" s="615"/>
    </row>
    <row r="29" spans="1:55" hidden="1" x14ac:dyDescent="0.2">
      <c r="A29" s="2942"/>
      <c r="B29" s="489" t="s">
        <v>88</v>
      </c>
      <c r="C29" s="658"/>
      <c r="D29" s="658"/>
      <c r="E29" s="658"/>
      <c r="F29" s="658"/>
      <c r="G29" s="658"/>
      <c r="H29" s="658"/>
    </row>
    <row r="30" spans="1:55" hidden="1" x14ac:dyDescent="0.2">
      <c r="A30" s="2936" t="s">
        <v>1</v>
      </c>
      <c r="B30" s="12" t="s">
        <v>56</v>
      </c>
      <c r="C30" s="1036"/>
      <c r="D30" s="1036"/>
      <c r="E30" s="1036"/>
      <c r="F30" s="1036"/>
      <c r="G30" s="1036"/>
      <c r="H30" s="1036"/>
      <c r="I30" s="165"/>
      <c r="J30" s="615"/>
    </row>
    <row r="31" spans="1:55" hidden="1" x14ac:dyDescent="0.2">
      <c r="A31" s="2937"/>
      <c r="B31" s="83" t="s">
        <v>88</v>
      </c>
      <c r="C31" s="311"/>
      <c r="D31" s="311"/>
      <c r="E31" s="311"/>
      <c r="F31" s="311"/>
      <c r="G31" s="311"/>
      <c r="H31" s="311"/>
      <c r="K31" s="184"/>
    </row>
    <row r="32" spans="1:55" hidden="1" x14ac:dyDescent="0.2">
      <c r="A32" s="2936" t="s">
        <v>2</v>
      </c>
      <c r="B32" s="12" t="s">
        <v>56</v>
      </c>
      <c r="C32" s="1037"/>
      <c r="D32" s="1037"/>
      <c r="E32" s="1037"/>
      <c r="F32" s="1037"/>
      <c r="G32" s="1037"/>
      <c r="H32" s="1037"/>
      <c r="I32" s="165"/>
      <c r="J32" s="615"/>
    </row>
    <row r="33" spans="1:11" hidden="1" x14ac:dyDescent="0.2">
      <c r="A33" s="2937"/>
      <c r="B33" s="83" t="s">
        <v>88</v>
      </c>
      <c r="C33" s="311"/>
      <c r="D33" s="311"/>
      <c r="E33" s="311"/>
      <c r="F33" s="311"/>
      <c r="G33" s="311"/>
      <c r="H33" s="311"/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hidden="1" x14ac:dyDescent="0.2">
      <c r="A36" s="3082" t="s">
        <v>4</v>
      </c>
      <c r="B36" s="571" t="s">
        <v>56</v>
      </c>
      <c r="C36" s="1533"/>
      <c r="D36" s="1533"/>
      <c r="E36" s="1533"/>
      <c r="F36" s="1533"/>
      <c r="G36" s="1533"/>
      <c r="H36" s="1533"/>
      <c r="I36" s="165"/>
      <c r="J36" s="615"/>
    </row>
    <row r="37" spans="1:11" hidden="1" x14ac:dyDescent="0.2">
      <c r="A37" s="3087"/>
      <c r="B37" s="575" t="s">
        <v>88</v>
      </c>
      <c r="C37" s="576"/>
      <c r="D37" s="576"/>
      <c r="E37" s="1534"/>
      <c r="F37" s="576"/>
      <c r="G37" s="576"/>
      <c r="H37" s="576"/>
    </row>
    <row r="38" spans="1:11" hidden="1" x14ac:dyDescent="0.2">
      <c r="A38" s="2936" t="s">
        <v>5</v>
      </c>
      <c r="B38" s="12" t="s">
        <v>56</v>
      </c>
      <c r="C38" s="1037">
        <f>'Gen. Energy Cost'!C38</f>
        <v>0</v>
      </c>
      <c r="D38" s="1037">
        <f>'Gen. Energy Cost'!D38</f>
        <v>0</v>
      </c>
      <c r="E38" s="1037">
        <f>'Gen. Energy Cost'!E38</f>
        <v>0</v>
      </c>
      <c r="F38" s="1037">
        <f>'Gen. Energy Cost'!F38</f>
        <v>84.525620000000004</v>
      </c>
      <c r="G38" s="1037">
        <f>'Gen. Energy Cost'!G38</f>
        <v>84.525599999999997</v>
      </c>
      <c r="H38" s="1037">
        <f>'Gen. Energy Cost'!H38</f>
        <v>84.525620000000004</v>
      </c>
      <c r="I38" s="165"/>
      <c r="J38" s="615"/>
      <c r="K38" s="184"/>
    </row>
    <row r="39" spans="1:11" hidden="1" x14ac:dyDescent="0.2">
      <c r="A39" s="2937"/>
      <c r="B39" s="83" t="s">
        <v>88</v>
      </c>
      <c r="C39" s="311">
        <f>'Gen. Energy Cost'!C39</f>
        <v>0</v>
      </c>
      <c r="D39" s="311">
        <f>'Gen. Energy Cost'!D39</f>
        <v>0</v>
      </c>
      <c r="E39" s="311">
        <f>'Gen. Energy Cost'!E39</f>
        <v>0</v>
      </c>
      <c r="F39" s="311">
        <f>'Gen. Energy Cost'!F39</f>
        <v>39.289046578981946</v>
      </c>
      <c r="G39" s="311">
        <f>'Gen. Energy Cost'!G39</f>
        <v>39.227940964165178</v>
      </c>
      <c r="H39" s="311">
        <f>'Gen. Energy Cost'!H39</f>
        <v>39.227940845596024</v>
      </c>
    </row>
    <row r="40" spans="1:11" hidden="1" x14ac:dyDescent="0.2">
      <c r="A40" s="2936" t="s">
        <v>803</v>
      </c>
      <c r="B40" s="12" t="s">
        <v>56</v>
      </c>
      <c r="C40" s="1037" t="e">
        <f>'Gen. Energy Cost'!#REF!</f>
        <v>#REF!</v>
      </c>
      <c r="D40" s="1037" t="e">
        <f>'Gen. Energy Cost'!#REF!</f>
        <v>#REF!</v>
      </c>
      <c r="E40" s="1037" t="e">
        <f>'Gen. Energy Cost'!#REF!</f>
        <v>#REF!</v>
      </c>
      <c r="F40" s="1037" t="e">
        <f>'Gen. Energy Cost'!#REF!</f>
        <v>#REF!</v>
      </c>
      <c r="G40" s="1037" t="e">
        <f>'Gen. Energy Cost'!#REF!</f>
        <v>#REF!</v>
      </c>
      <c r="H40" s="1037" t="e">
        <f>'Gen. Energy Cost'!#REF!</f>
        <v>#REF!</v>
      </c>
      <c r="I40" s="165"/>
      <c r="J40" s="615"/>
      <c r="K40" s="184"/>
    </row>
    <row r="41" spans="1:11" hidden="1" x14ac:dyDescent="0.2">
      <c r="A41" s="2937"/>
      <c r="B41" s="83" t="s">
        <v>88</v>
      </c>
      <c r="C41" s="311" t="e">
        <f>'Gen. Energy Cost'!#REF!</f>
        <v>#REF!</v>
      </c>
      <c r="D41" s="311" t="e">
        <f>'Gen. Energy Cost'!#REF!</f>
        <v>#REF!</v>
      </c>
      <c r="E41" s="311" t="e">
        <f>'Gen. Energy Cost'!#REF!</f>
        <v>#REF!</v>
      </c>
      <c r="F41" s="311" t="e">
        <f>'Gen. Energy Cost'!#REF!</f>
        <v>#REF!</v>
      </c>
      <c r="G41" s="311" t="e">
        <f>'Gen. Energy Cost'!#REF!</f>
        <v>#REF!</v>
      </c>
      <c r="H41" s="311" t="e">
        <f>'Gen. Energy Cost'!#REF!</f>
        <v>#REF!</v>
      </c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hidden="1" x14ac:dyDescent="0.2">
      <c r="A46" s="3082" t="s">
        <v>9</v>
      </c>
      <c r="B46" s="571" t="s">
        <v>56</v>
      </c>
      <c r="C46" s="1533"/>
      <c r="D46" s="1533"/>
      <c r="E46" s="1533"/>
      <c r="F46" s="1533"/>
      <c r="G46" s="1533"/>
      <c r="H46" s="1533"/>
      <c r="I46" s="165"/>
      <c r="J46" s="615"/>
    </row>
    <row r="47" spans="1:11" hidden="1" x14ac:dyDescent="0.2">
      <c r="A47" s="3083"/>
      <c r="B47" s="575" t="s">
        <v>88</v>
      </c>
      <c r="C47" s="576"/>
      <c r="D47" s="576"/>
      <c r="E47" s="576"/>
      <c r="F47" s="576"/>
      <c r="G47" s="576"/>
      <c r="H47" s="576"/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hidden="1" x14ac:dyDescent="0.2">
      <c r="A50" s="3085" t="s">
        <v>11</v>
      </c>
      <c r="B50" s="12" t="s">
        <v>56</v>
      </c>
      <c r="C50" s="1536"/>
      <c r="D50" s="1536"/>
      <c r="E50" s="1536"/>
      <c r="F50" s="1536"/>
      <c r="G50" s="1536"/>
      <c r="H50" s="1536"/>
      <c r="I50" s="165"/>
    </row>
    <row r="51" spans="1:11" hidden="1" x14ac:dyDescent="0.2">
      <c r="A51" s="3086"/>
      <c r="B51" s="83" t="s">
        <v>88</v>
      </c>
      <c r="C51" s="1537"/>
      <c r="D51" s="1537"/>
      <c r="E51" s="1537"/>
      <c r="F51" s="1537"/>
      <c r="G51" s="1537"/>
      <c r="H51" s="1537"/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hidden="1" x14ac:dyDescent="0.2">
      <c r="A54" s="2936" t="s">
        <v>643</v>
      </c>
      <c r="B54" s="12" t="s">
        <v>56</v>
      </c>
      <c r="C54" s="1041">
        <f>'Gen. Energy Cost'!C48</f>
        <v>0</v>
      </c>
      <c r="D54" s="1041">
        <f>'Gen. Energy Cost'!D48</f>
        <v>0</v>
      </c>
      <c r="E54" s="1041">
        <f>'Gen. Energy Cost'!E48</f>
        <v>0</v>
      </c>
      <c r="F54" s="1041">
        <f>'Gen. Energy Cost'!F48</f>
        <v>26.049679999999999</v>
      </c>
      <c r="G54" s="1041">
        <f>'Gen. Energy Cost'!G48</f>
        <v>25.811679999999999</v>
      </c>
      <c r="H54" s="1041">
        <f>'Gen. Energy Cost'!H48</f>
        <v>26.049720000000001</v>
      </c>
      <c r="I54" s="165"/>
      <c r="K54" s="184"/>
    </row>
    <row r="55" spans="1:11" hidden="1" x14ac:dyDescent="0.2">
      <c r="A55" s="2937"/>
      <c r="B55" s="83" t="s">
        <v>88</v>
      </c>
      <c r="C55" s="1206">
        <f>'Gen. Energy Cost'!C49</f>
        <v>0</v>
      </c>
      <c r="D55" s="1206">
        <f>'Gen. Energy Cost'!D49</f>
        <v>0</v>
      </c>
      <c r="E55" s="1206">
        <f>'Gen. Energy Cost'!E49</f>
        <v>0</v>
      </c>
      <c r="F55" s="1206">
        <f>'Gen. Energy Cost'!F49</f>
        <v>40.421014751456447</v>
      </c>
      <c r="G55" s="1206">
        <f>'Gen. Energy Cost'!G49</f>
        <v>40.442195564129108</v>
      </c>
      <c r="H55" s="1206">
        <f>'Gen. Energy Cost'!H49</f>
        <v>40.421011224185143</v>
      </c>
    </row>
    <row r="56" spans="1:11" hidden="1" x14ac:dyDescent="0.2">
      <c r="A56" s="2936" t="s">
        <v>13</v>
      </c>
      <c r="B56" s="12" t="s">
        <v>56</v>
      </c>
      <c r="C56" s="1041">
        <f>'Gen. Energy Cost'!C54</f>
        <v>0</v>
      </c>
      <c r="D56" s="1041">
        <f>'Gen. Energy Cost'!D54</f>
        <v>0</v>
      </c>
      <c r="E56" s="1041">
        <f>'Gen. Energy Cost'!E54</f>
        <v>0</v>
      </c>
      <c r="F56" s="1041">
        <f>'Gen. Energy Cost'!F54</f>
        <v>150.1927</v>
      </c>
      <c r="G56" s="1041">
        <f>'Gen. Energy Cost'!G54</f>
        <v>130.619</v>
      </c>
      <c r="H56" s="1041">
        <f>'Gen. Energy Cost'!H54</f>
        <v>134.74469999999999</v>
      </c>
      <c r="I56" s="165"/>
      <c r="J56" s="615"/>
      <c r="K56" s="184"/>
    </row>
    <row r="57" spans="1:11" hidden="1" x14ac:dyDescent="0.2">
      <c r="A57" s="2937"/>
      <c r="B57" s="83" t="s">
        <v>88</v>
      </c>
      <c r="C57" s="311">
        <f>'Gen. Energy Cost'!C55</f>
        <v>0</v>
      </c>
      <c r="D57" s="311">
        <f>'Gen. Energy Cost'!D55</f>
        <v>0</v>
      </c>
      <c r="E57" s="311">
        <f>'Gen. Energy Cost'!E55</f>
        <v>0</v>
      </c>
      <c r="F57" s="311">
        <f>'Gen. Energy Cost'!F55</f>
        <v>47.688996196781417</v>
      </c>
      <c r="G57" s="311">
        <f>'Gen. Energy Cost'!G55</f>
        <v>48.291132699244585</v>
      </c>
      <c r="H57" s="311">
        <f>'Gen. Energy Cost'!H55</f>
        <v>48.190826549760025</v>
      </c>
    </row>
    <row r="58" spans="1:11" hidden="1" x14ac:dyDescent="0.2">
      <c r="A58" s="2936" t="s">
        <v>14</v>
      </c>
      <c r="B58" s="12" t="s">
        <v>56</v>
      </c>
      <c r="C58" s="1041">
        <f>'Gen. Energy Cost'!C42</f>
        <v>0</v>
      </c>
      <c r="D58" s="1041">
        <f>'Gen. Energy Cost'!D42</f>
        <v>0</v>
      </c>
      <c r="E58" s="1041">
        <f>'Gen. Energy Cost'!E42</f>
        <v>0</v>
      </c>
      <c r="F58" s="1041">
        <f>'Gen. Energy Cost'!F42</f>
        <v>410.24100000000004</v>
      </c>
      <c r="G58" s="1041">
        <f>'Gen. Energy Cost'!G42</f>
        <v>423.89049999999997</v>
      </c>
      <c r="H58" s="1041">
        <f>'Gen. Energy Cost'!H42</f>
        <v>297.45983999999999</v>
      </c>
      <c r="I58" s="165"/>
      <c r="K58" s="184"/>
    </row>
    <row r="59" spans="1:11" hidden="1" x14ac:dyDescent="0.2">
      <c r="A59" s="2937"/>
      <c r="B59" s="83" t="s">
        <v>88</v>
      </c>
      <c r="C59" s="311" t="e">
        <f>'Gen. Energy Cost'!C43</f>
        <v>#DIV/0!</v>
      </c>
      <c r="D59" s="311" t="e">
        <f>'Gen. Energy Cost'!D43</f>
        <v>#DIV/0!</v>
      </c>
      <c r="E59" s="311" t="e">
        <f>'Gen. Energy Cost'!E43</f>
        <v>#DIV/0!</v>
      </c>
      <c r="F59" s="311">
        <f>'Gen. Energy Cost'!F43</f>
        <v>16.360073257141064</v>
      </c>
      <c r="G59" s="311">
        <f>'Gen. Energy Cost'!G43</f>
        <v>16.149669524586059</v>
      </c>
      <c r="H59" s="311">
        <f>'Gen. Energy Cost'!H43</f>
        <v>17.055875654499228</v>
      </c>
    </row>
    <row r="60" spans="1:11" hidden="1" x14ac:dyDescent="0.2">
      <c r="A60" s="2936" t="s">
        <v>15</v>
      </c>
      <c r="B60" s="12" t="s">
        <v>56</v>
      </c>
      <c r="C60" s="1042"/>
      <c r="D60" s="1042"/>
      <c r="E60" s="1042"/>
      <c r="F60" s="1042"/>
      <c r="G60" s="1042"/>
      <c r="H60" s="1042"/>
      <c r="I60" s="165"/>
    </row>
    <row r="61" spans="1:11" hidden="1" x14ac:dyDescent="0.2">
      <c r="A61" s="2937"/>
      <c r="B61" s="83" t="s">
        <v>88</v>
      </c>
      <c r="C61" s="658"/>
      <c r="D61" s="658"/>
      <c r="E61" s="658"/>
      <c r="F61" s="658"/>
      <c r="G61" s="658"/>
      <c r="H61" s="658"/>
    </row>
    <row r="62" spans="1:11" hidden="1" x14ac:dyDescent="0.2">
      <c r="A62" s="2936" t="s">
        <v>111</v>
      </c>
      <c r="B62" s="12" t="s">
        <v>56</v>
      </c>
      <c r="C62" s="1042"/>
      <c r="D62" s="1042"/>
      <c r="E62" s="1042"/>
      <c r="F62" s="1042"/>
      <c r="G62" s="1042"/>
      <c r="H62" s="1042"/>
      <c r="I62" s="165"/>
    </row>
    <row r="63" spans="1:11" hidden="1" x14ac:dyDescent="0.2">
      <c r="A63" s="2937"/>
      <c r="B63" s="83" t="s">
        <v>88</v>
      </c>
      <c r="C63" s="311"/>
      <c r="D63" s="311"/>
      <c r="E63" s="311"/>
      <c r="F63" s="311"/>
      <c r="G63" s="311"/>
      <c r="H63" s="311"/>
    </row>
    <row r="64" spans="1:11" hidden="1" x14ac:dyDescent="0.2">
      <c r="A64" s="2936" t="s">
        <v>422</v>
      </c>
      <c r="B64" s="12" t="s">
        <v>56</v>
      </c>
      <c r="C64" s="1041"/>
      <c r="D64" s="1041"/>
      <c r="E64" s="1041"/>
      <c r="F64" s="1041"/>
      <c r="G64" s="1041"/>
      <c r="H64" s="1041"/>
      <c r="I64" s="165"/>
    </row>
    <row r="65" spans="1:73" hidden="1" x14ac:dyDescent="0.2">
      <c r="A65" s="2937"/>
      <c r="B65" s="83" t="s">
        <v>88</v>
      </c>
      <c r="C65" s="311"/>
      <c r="D65" s="311"/>
      <c r="E65" s="311"/>
      <c r="F65" s="311"/>
      <c r="G65" s="311"/>
      <c r="H65" s="311"/>
    </row>
    <row r="66" spans="1:73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3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3" hidden="1" x14ac:dyDescent="0.2">
      <c r="A68" s="2936" t="s">
        <v>464</v>
      </c>
      <c r="B68" s="12" t="s">
        <v>56</v>
      </c>
      <c r="C68" s="1041"/>
      <c r="D68" s="1041"/>
      <c r="E68" s="1041"/>
      <c r="F68" s="1041"/>
      <c r="G68" s="1041"/>
      <c r="H68" s="1041"/>
      <c r="I68" s="165"/>
    </row>
    <row r="69" spans="1:73" hidden="1" x14ac:dyDescent="0.2">
      <c r="A69" s="2937"/>
      <c r="B69" s="83" t="s">
        <v>88</v>
      </c>
      <c r="C69" s="311"/>
      <c r="D69" s="311"/>
      <c r="E69" s="311"/>
      <c r="F69" s="311"/>
      <c r="G69" s="311"/>
      <c r="H69" s="311"/>
    </row>
    <row r="70" spans="1:73" hidden="1" x14ac:dyDescent="0.2">
      <c r="A70" s="2944" t="s">
        <v>538</v>
      </c>
      <c r="B70" s="12" t="s">
        <v>56</v>
      </c>
      <c r="C70" s="1041"/>
      <c r="D70" s="1042"/>
      <c r="E70" s="1041"/>
      <c r="F70" s="1041"/>
      <c r="G70" s="1041"/>
      <c r="H70" s="1041"/>
      <c r="I70" s="165"/>
    </row>
    <row r="71" spans="1:73" hidden="1" x14ac:dyDescent="0.2">
      <c r="A71" s="2937"/>
      <c r="B71" s="83" t="s">
        <v>88</v>
      </c>
      <c r="C71" s="311"/>
      <c r="D71" s="658"/>
      <c r="E71" s="311"/>
      <c r="F71" s="311"/>
      <c r="G71" s="311"/>
      <c r="H71" s="311"/>
    </row>
    <row r="72" spans="1:73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3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3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3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hidden="1" x14ac:dyDescent="0.2">
      <c r="A76" s="2936" t="s">
        <v>817</v>
      </c>
      <c r="B76" s="197" t="s">
        <v>56</v>
      </c>
      <c r="C76" s="1193"/>
      <c r="D76" s="1193"/>
      <c r="E76" s="1193"/>
      <c r="F76" s="1193"/>
      <c r="G76" s="1193"/>
      <c r="H76" s="1193"/>
      <c r="I76" s="124"/>
    </row>
    <row r="77" spans="1:73" s="372" customFormat="1" hidden="1" x14ac:dyDescent="0.2">
      <c r="A77" s="2939"/>
      <c r="B77" s="83" t="s">
        <v>88</v>
      </c>
      <c r="C77" s="1194"/>
      <c r="D77" s="1194"/>
      <c r="E77" s="1194"/>
      <c r="F77" s="1194"/>
      <c r="G77" s="1194"/>
      <c r="H77" s="1194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hidden="1" x14ac:dyDescent="0.2">
      <c r="A78" s="2936" t="s">
        <v>818</v>
      </c>
      <c r="B78" s="197" t="s">
        <v>56</v>
      </c>
      <c r="C78" s="1193"/>
      <c r="D78" s="1193"/>
      <c r="E78" s="1193"/>
      <c r="F78" s="1193"/>
      <c r="G78" s="1193"/>
      <c r="H78" s="1193"/>
      <c r="I78" s="124"/>
    </row>
    <row r="79" spans="1:73" hidden="1" x14ac:dyDescent="0.2">
      <c r="A79" s="2939"/>
      <c r="B79" s="83" t="s">
        <v>88</v>
      </c>
      <c r="C79" s="1194"/>
      <c r="D79" s="1194"/>
      <c r="E79" s="1194"/>
      <c r="F79" s="1194"/>
      <c r="G79" s="1194"/>
      <c r="H79" s="1194"/>
      <c r="I79" s="124"/>
    </row>
    <row r="80" spans="1:73" hidden="1" x14ac:dyDescent="0.2">
      <c r="A80" s="2936" t="s">
        <v>819</v>
      </c>
      <c r="B80" s="197" t="s">
        <v>56</v>
      </c>
      <c r="C80" s="1193"/>
      <c r="D80" s="1193"/>
      <c r="E80" s="1193"/>
      <c r="F80" s="1193"/>
      <c r="G80" s="1193"/>
      <c r="H80" s="1193"/>
      <c r="I80" s="124"/>
    </row>
    <row r="81" spans="1:12" hidden="1" x14ac:dyDescent="0.2">
      <c r="A81" s="2939"/>
      <c r="B81" s="83" t="s">
        <v>88</v>
      </c>
      <c r="C81" s="1194"/>
      <c r="D81" s="1194"/>
      <c r="E81" s="1194"/>
      <c r="F81" s="1194"/>
      <c r="G81" s="1194"/>
      <c r="H81" s="1194"/>
      <c r="I81" s="1540"/>
    </row>
    <row r="82" spans="1:12" ht="42.75" hidden="1" customHeight="1" x14ac:dyDescent="0.2">
      <c r="A82" s="1085" t="s">
        <v>175</v>
      </c>
      <c r="B82" s="1086" t="s">
        <v>56</v>
      </c>
      <c r="C82" s="1087" t="e">
        <f t="shared" ref="C82:H82" si="2">SUM(C22,C24,C26,C28,C30,C32,C34,C36,C38,C40,C42,C44,C46,C48,C50,C52,C54,C56,C58,C60,C62,C64,C66,C68,C70,C72,C74,C76)</f>
        <v>#REF!</v>
      </c>
      <c r="D82" s="1087" t="e">
        <f t="shared" si="2"/>
        <v>#REF!</v>
      </c>
      <c r="E82" s="1087" t="e">
        <f t="shared" si="2"/>
        <v>#REF!</v>
      </c>
      <c r="F82" s="1087" t="e">
        <f t="shared" si="2"/>
        <v>#REF!</v>
      </c>
      <c r="G82" s="1087" t="e">
        <f t="shared" si="2"/>
        <v>#REF!</v>
      </c>
      <c r="H82" s="1087" t="e">
        <f t="shared" si="2"/>
        <v>#REF!</v>
      </c>
      <c r="I82" s="1088" t="e">
        <f>C82+D82+E82+F82+G82+H82</f>
        <v>#REF!</v>
      </c>
      <c r="J82" s="317"/>
      <c r="K82" s="1204"/>
      <c r="L82" s="184"/>
    </row>
    <row r="84" spans="1:12" hidden="1" x14ac:dyDescent="0.2">
      <c r="A84" s="4"/>
      <c r="C84" s="1541" t="e">
        <f t="shared" ref="C84:H84" si="3">C106/C82</f>
        <v>#REF!</v>
      </c>
      <c r="D84" s="1541" t="e">
        <f t="shared" si="3"/>
        <v>#REF!</v>
      </c>
      <c r="E84" s="1541" t="e">
        <f t="shared" si="3"/>
        <v>#REF!</v>
      </c>
      <c r="F84" s="1541" t="e">
        <f t="shared" si="3"/>
        <v>#REF!</v>
      </c>
      <c r="G84" s="1541" t="e">
        <f t="shared" si="3"/>
        <v>#REF!</v>
      </c>
      <c r="H84" s="1541" t="e">
        <f t="shared" si="3"/>
        <v>#REF!</v>
      </c>
      <c r="L84" s="1205"/>
    </row>
    <row r="85" spans="1:12" hidden="1" x14ac:dyDescent="0.2">
      <c r="A85" s="4"/>
      <c r="C85" s="214" t="e">
        <f t="shared" ref="C85:H85" si="4">C82*C6</f>
        <v>#REF!</v>
      </c>
      <c r="D85" s="214" t="e">
        <f t="shared" si="4"/>
        <v>#REF!</v>
      </c>
      <c r="E85" s="214" t="e">
        <f t="shared" si="4"/>
        <v>#REF!</v>
      </c>
      <c r="F85" s="214" t="e">
        <f t="shared" si="4"/>
        <v>#REF!</v>
      </c>
      <c r="G85" s="214" t="e">
        <f t="shared" si="4"/>
        <v>#REF!</v>
      </c>
      <c r="H85" s="214" t="e">
        <f t="shared" si="4"/>
        <v>#REF!</v>
      </c>
      <c r="L85" s="1205"/>
    </row>
    <row r="86" spans="1:12" hidden="1" x14ac:dyDescent="0.2">
      <c r="A86" s="47" t="s">
        <v>389</v>
      </c>
      <c r="B86" s="47" t="s">
        <v>94</v>
      </c>
      <c r="C86" s="1039" t="e">
        <f t="shared" ref="C86:H86" si="5">C59*C58+C57*C56+C55*C54+C41*C40+C39*C38</f>
        <v>#DIV/0!</v>
      </c>
      <c r="D86" s="1039" t="e">
        <f t="shared" si="5"/>
        <v>#DIV/0!</v>
      </c>
      <c r="E86" s="1039" t="e">
        <f t="shared" si="5"/>
        <v>#DIV/0!</v>
      </c>
      <c r="F86" s="1039" t="e">
        <f t="shared" si="5"/>
        <v>#REF!</v>
      </c>
      <c r="G86" s="1039" t="e">
        <f t="shared" si="5"/>
        <v>#REF!</v>
      </c>
      <c r="H86" s="1039" t="e">
        <f t="shared" si="5"/>
        <v>#REF!</v>
      </c>
      <c r="I86" s="1039">
        <f>(I38*I39)+(I40*I41)+(I54*I55)+(I56*I57)+(I58*I59)</f>
        <v>0</v>
      </c>
      <c r="J86" s="1039">
        <f>(J38*J39)+(J40*J41)+(J54*J55)+(J56*J57)+(J58*J59)</f>
        <v>0</v>
      </c>
    </row>
    <row r="87" spans="1:12" hidden="1" x14ac:dyDescent="0.2"/>
    <row r="88" spans="1:12" hidden="1" x14ac:dyDescent="0.2">
      <c r="A88" s="47" t="s">
        <v>389</v>
      </c>
      <c r="B88" s="484" t="s">
        <v>746</v>
      </c>
      <c r="C88" s="1615" t="e">
        <f t="shared" ref="C88:H88" si="6">C86/1000000</f>
        <v>#DIV/0!</v>
      </c>
      <c r="D88" s="1043" t="e">
        <f t="shared" si="6"/>
        <v>#DIV/0!</v>
      </c>
      <c r="E88" s="1043" t="e">
        <f t="shared" si="6"/>
        <v>#DIV/0!</v>
      </c>
      <c r="F88" s="1043" t="e">
        <f t="shared" si="6"/>
        <v>#REF!</v>
      </c>
      <c r="G88" s="1043" t="e">
        <f t="shared" si="6"/>
        <v>#REF!</v>
      </c>
      <c r="H88" s="1073" t="e">
        <f t="shared" si="6"/>
        <v>#REF!</v>
      </c>
      <c r="I88" s="1088" t="e">
        <f>C88+D88+E88+F88+G88+H88</f>
        <v>#DIV/0!</v>
      </c>
    </row>
    <row r="89" spans="1:12" hidden="1" x14ac:dyDescent="0.2">
      <c r="B89" s="415"/>
      <c r="C89" s="150"/>
      <c r="D89" s="150"/>
      <c r="E89" s="150"/>
      <c r="F89" s="150"/>
      <c r="G89" s="150"/>
      <c r="H89" s="150"/>
    </row>
    <row r="90" spans="1:12" hidden="1" x14ac:dyDescent="0.2">
      <c r="B90" s="415"/>
      <c r="C90" s="150"/>
      <c r="D90" s="150"/>
      <c r="E90" s="150"/>
      <c r="F90" s="150"/>
      <c r="G90" s="150"/>
      <c r="H90" s="150"/>
    </row>
    <row r="91" spans="1:12" ht="36" hidden="1" x14ac:dyDescent="0.2">
      <c r="A91" s="1094" t="s">
        <v>747</v>
      </c>
      <c r="B91" s="1089" t="s">
        <v>748</v>
      </c>
      <c r="C91" s="1090" t="e">
        <f>I88</f>
        <v>#DIV/0!</v>
      </c>
      <c r="D91" s="150"/>
      <c r="E91" s="150"/>
      <c r="F91" s="150"/>
      <c r="G91" s="150"/>
      <c r="H91" s="150"/>
    </row>
    <row r="92" spans="1:12" ht="36" hidden="1" x14ac:dyDescent="0.2">
      <c r="A92" s="1094" t="s">
        <v>749</v>
      </c>
      <c r="B92" s="1089" t="s">
        <v>56</v>
      </c>
      <c r="C92" s="1090" t="e">
        <f>I82</f>
        <v>#REF!</v>
      </c>
      <c r="D92" s="150"/>
      <c r="E92" s="150"/>
      <c r="F92" s="150"/>
      <c r="G92" s="150"/>
      <c r="H92" s="150"/>
    </row>
    <row r="93" spans="1:12" ht="36" hidden="1" x14ac:dyDescent="0.2">
      <c r="A93" s="1094" t="s">
        <v>750</v>
      </c>
      <c r="B93" s="1089" t="s">
        <v>751</v>
      </c>
      <c r="C93" s="1091" t="e">
        <f>C91/C92</f>
        <v>#DIV/0!</v>
      </c>
      <c r="D93" s="150"/>
      <c r="E93" s="150"/>
      <c r="F93" s="150"/>
      <c r="G93" s="150"/>
      <c r="H93" s="150"/>
    </row>
    <row r="94" spans="1:12" ht="28.8" hidden="1" x14ac:dyDescent="0.2">
      <c r="A94" s="1092" t="s">
        <v>790</v>
      </c>
      <c r="B94" s="1093" t="s">
        <v>751</v>
      </c>
      <c r="C94" s="1095" t="e">
        <f>C93/C98*100</f>
        <v>#DIV/0!</v>
      </c>
      <c r="D94">
        <v>13.686699022890487</v>
      </c>
      <c r="E94" s="1117">
        <v>2.0799999999999999E-2</v>
      </c>
      <c r="H94" s="241"/>
    </row>
    <row r="95" spans="1:12" hidden="1" x14ac:dyDescent="0.2">
      <c r="B95" s="415"/>
      <c r="C95" s="150"/>
      <c r="H95" s="241"/>
    </row>
    <row r="96" spans="1:12" hidden="1" x14ac:dyDescent="0.2">
      <c r="B96" s="415"/>
      <c r="C96" s="150"/>
    </row>
    <row r="97" spans="1:12" hidden="1" x14ac:dyDescent="0.2">
      <c r="A97" s="415" t="s">
        <v>789</v>
      </c>
      <c r="B97" s="415"/>
      <c r="C97" s="1096">
        <v>3</v>
      </c>
    </row>
    <row r="98" spans="1:12" hidden="1" x14ac:dyDescent="0.2">
      <c r="C98" s="241">
        <f>100-C97</f>
        <v>97</v>
      </c>
    </row>
    <row r="100" spans="1:12" x14ac:dyDescent="0.2">
      <c r="A100" s="415"/>
      <c r="C100" s="165"/>
      <c r="D100" s="165"/>
      <c r="E100" s="165"/>
      <c r="F100" s="165"/>
      <c r="G100" s="165"/>
      <c r="H100" s="165"/>
    </row>
    <row r="101" spans="1:12" ht="37.799999999999997" x14ac:dyDescent="0.2">
      <c r="A101" s="1694" t="str">
        <f>'Gen. Energy Cost 220 &amp; 132kV'!A170</f>
        <v>energy input to 220kV from plants connected to 220kV &amp; 132kV</v>
      </c>
      <c r="B101" s="1542" t="s">
        <v>56</v>
      </c>
      <c r="C101" s="1543" t="e">
        <f>'Gen. Energy Cost 220 &amp; 132kV'!C170</f>
        <v>#REF!</v>
      </c>
      <c r="D101" s="1543" t="e">
        <f>'Gen. Energy Cost 220 &amp; 132kV'!D170</f>
        <v>#REF!</v>
      </c>
      <c r="E101" s="1543" t="e">
        <f>'Gen. Energy Cost 220 &amp; 132kV'!E170</f>
        <v>#REF!</v>
      </c>
      <c r="F101" s="1543" t="e">
        <f>'Gen. Energy Cost 220 &amp; 132kV'!F170</f>
        <v>#REF!</v>
      </c>
      <c r="G101" s="1543" t="e">
        <f>'Gen. Energy Cost 220 &amp; 132kV'!G170</f>
        <v>#REF!</v>
      </c>
      <c r="H101" s="1543" t="e">
        <f>'Gen. Energy Cost 220 &amp; 132kV'!H170</f>
        <v>#REF!</v>
      </c>
      <c r="J101" s="103"/>
      <c r="K101" s="44"/>
      <c r="L101" s="104"/>
    </row>
    <row r="102" spans="1:12" s="185" customFormat="1" hidden="1" x14ac:dyDescent="0.2">
      <c r="A102" s="1545" t="s">
        <v>868</v>
      </c>
      <c r="B102" s="1545" t="s">
        <v>37</v>
      </c>
      <c r="C102" s="1546">
        <v>0</v>
      </c>
      <c r="D102" s="1546">
        <f>$C$102</f>
        <v>0</v>
      </c>
      <c r="E102" s="1546">
        <f>$C$102</f>
        <v>0</v>
      </c>
      <c r="F102" s="1546">
        <f>$C$102</f>
        <v>0</v>
      </c>
      <c r="G102" s="1546">
        <f>$C$102</f>
        <v>0</v>
      </c>
      <c r="H102" s="1546">
        <f>$C$102</f>
        <v>0</v>
      </c>
      <c r="J102" s="1547"/>
      <c r="K102" s="1548"/>
      <c r="L102" s="1549"/>
    </row>
    <row r="103" spans="1:12" hidden="1" x14ac:dyDescent="0.2">
      <c r="A103" s="1542" t="s">
        <v>868</v>
      </c>
      <c r="B103" s="1542" t="s">
        <v>56</v>
      </c>
      <c r="C103" s="1550" t="e">
        <f t="shared" ref="C103:H103" si="7">C101*C102</f>
        <v>#REF!</v>
      </c>
      <c r="D103" s="1550" t="e">
        <f t="shared" si="7"/>
        <v>#REF!</v>
      </c>
      <c r="E103" s="1550" t="e">
        <f t="shared" si="7"/>
        <v>#REF!</v>
      </c>
      <c r="F103" s="1550" t="e">
        <f t="shared" si="7"/>
        <v>#REF!</v>
      </c>
      <c r="G103" s="1550" t="e">
        <f t="shared" si="7"/>
        <v>#REF!</v>
      </c>
      <c r="H103" s="1550" t="e">
        <f t="shared" si="7"/>
        <v>#REF!</v>
      </c>
      <c r="J103" s="103"/>
      <c r="K103" s="44"/>
      <c r="L103" s="104"/>
    </row>
    <row r="104" spans="1:12" s="185" customFormat="1" x14ac:dyDescent="0.2">
      <c r="A104" s="1545" t="s">
        <v>886</v>
      </c>
      <c r="B104" s="1545" t="s">
        <v>56</v>
      </c>
      <c r="C104" s="1551" t="e">
        <f t="shared" ref="C104:H104" si="8">C101-C103</f>
        <v>#REF!</v>
      </c>
      <c r="D104" s="1551" t="e">
        <f t="shared" si="8"/>
        <v>#REF!</v>
      </c>
      <c r="E104" s="1551" t="e">
        <f t="shared" si="8"/>
        <v>#REF!</v>
      </c>
      <c r="F104" s="1551" t="e">
        <f t="shared" si="8"/>
        <v>#REF!</v>
      </c>
      <c r="G104" s="1551" t="e">
        <f t="shared" si="8"/>
        <v>#REF!</v>
      </c>
      <c r="H104" s="1551" t="e">
        <f t="shared" si="8"/>
        <v>#REF!</v>
      </c>
      <c r="J104" s="1547"/>
      <c r="K104" s="1548"/>
      <c r="L104" s="1549"/>
    </row>
    <row r="105" spans="1:12" s="185" customFormat="1" x14ac:dyDescent="0.2">
      <c r="A105" s="1545" t="s">
        <v>887</v>
      </c>
      <c r="B105" s="1545" t="s">
        <v>888</v>
      </c>
      <c r="C105" s="1552" t="e">
        <f>'Gen. Energy Cost 220 &amp; 132kV'!C178</f>
        <v>#REF!</v>
      </c>
      <c r="D105" s="1552" t="e">
        <f>'Gen. Energy Cost 220 &amp; 132kV'!D178</f>
        <v>#REF!</v>
      </c>
      <c r="E105" s="1552" t="e">
        <f>'Gen. Energy Cost 220 &amp; 132kV'!E178</f>
        <v>#REF!</v>
      </c>
      <c r="F105" s="1552" t="e">
        <f>'Gen. Energy Cost 220 &amp; 132kV'!F178</f>
        <v>#REF!</v>
      </c>
      <c r="G105" s="1552" t="e">
        <f>'Gen. Energy Cost 220 &amp; 132kV'!G178</f>
        <v>#REF!</v>
      </c>
      <c r="H105" s="1552" t="e">
        <f>'Gen. Energy Cost 220 &amp; 132kV'!H178</f>
        <v>#REF!</v>
      </c>
      <c r="I105" s="185" t="e">
        <f>SUM(C105:H105)</f>
        <v>#REF!</v>
      </c>
      <c r="J105" s="1547"/>
      <c r="K105" s="1548"/>
      <c r="L105" s="1549"/>
    </row>
    <row r="106" spans="1:12" x14ac:dyDescent="0.2">
      <c r="A106" s="1115" t="s">
        <v>889</v>
      </c>
      <c r="B106" s="1115" t="s">
        <v>56</v>
      </c>
      <c r="C106" s="1553">
        <f>'tx consumer data'!B24</f>
        <v>0.53479100000000002</v>
      </c>
      <c r="D106" s="1553">
        <f>'tx consumer data'!C24</f>
        <v>0.30712099999999998</v>
      </c>
      <c r="E106" s="1553">
        <f>'tx consumer data'!D24</f>
        <v>0.642069</v>
      </c>
      <c r="F106" s="1553">
        <f>'tx consumer data'!E24</f>
        <v>1.6733499999999999</v>
      </c>
      <c r="G106" s="1553">
        <f>'tx consumer data'!F24</f>
        <v>1.5084409999999999</v>
      </c>
      <c r="H106" s="1553">
        <f>'tx consumer data'!G24</f>
        <v>0.94209500000000002</v>
      </c>
      <c r="L106" s="1205"/>
    </row>
    <row r="109" spans="1:12" x14ac:dyDescent="0.2">
      <c r="C109" t="e">
        <f>C105/C104</f>
        <v>#REF!</v>
      </c>
    </row>
    <row r="112" spans="1:12" x14ac:dyDescent="0.2">
      <c r="C112" t="e">
        <f>C105/C104</f>
        <v>#REF!</v>
      </c>
      <c r="D112" t="e">
        <f t="shared" ref="D112:H112" si="9">D105/D104</f>
        <v>#REF!</v>
      </c>
      <c r="E112" t="e">
        <f t="shared" si="9"/>
        <v>#REF!</v>
      </c>
      <c r="F112" t="e">
        <f t="shared" si="9"/>
        <v>#REF!</v>
      </c>
      <c r="G112" t="e">
        <f t="shared" si="9"/>
        <v>#REF!</v>
      </c>
      <c r="H112" t="e">
        <f t="shared" si="9"/>
        <v>#REF!</v>
      </c>
    </row>
    <row r="115" spans="3:9" x14ac:dyDescent="0.2">
      <c r="C115" s="165" t="e">
        <f>AVERAGE(C112:H112)</f>
        <v>#REF!</v>
      </c>
    </row>
    <row r="119" spans="3:9" x14ac:dyDescent="0.2">
      <c r="C119" t="e">
        <f>'Gen. Energy Cost 33 (2)'!C98</f>
        <v>#REF!</v>
      </c>
      <c r="D119" t="e">
        <f>'Gen. Energy Cost 33 (2)'!D98</f>
        <v>#REF!</v>
      </c>
      <c r="E119" t="e">
        <f>'Gen. Energy Cost 33 (2)'!E98</f>
        <v>#REF!</v>
      </c>
      <c r="F119" t="e">
        <f>'Gen. Energy Cost 33 (2)'!F98</f>
        <v>#REF!</v>
      </c>
      <c r="G119" t="e">
        <f>'Gen. Energy Cost 33 (2)'!G98</f>
        <v>#REF!</v>
      </c>
      <c r="H119" t="e">
        <f>'Gen. Energy Cost 33 (2)'!H98</f>
        <v>#REF!</v>
      </c>
    </row>
    <row r="121" spans="3:9" x14ac:dyDescent="0.2">
      <c r="C121" t="e">
        <f>C119+'Gen. Energy Cost 220 &amp; 132kV'!C170+'Gen. Energy Cost 220 &amp; 132kV'!C171</f>
        <v>#REF!</v>
      </c>
      <c r="D121" t="e">
        <f>D119+'Gen. Energy Cost 220 &amp; 132kV'!D170+'Gen. Energy Cost 220 &amp; 132kV'!D171</f>
        <v>#REF!</v>
      </c>
      <c r="E121" t="e">
        <f>E119+'Gen. Energy Cost 220 &amp; 132kV'!E170+'Gen. Energy Cost 220 &amp; 132kV'!E171</f>
        <v>#REF!</v>
      </c>
      <c r="F121" t="e">
        <f>F119+'Gen. Energy Cost 220 &amp; 132kV'!F170+'Gen. Energy Cost 220 &amp; 132kV'!F171</f>
        <v>#REF!</v>
      </c>
      <c r="G121" t="e">
        <f>G119+'Gen. Energy Cost 220 &amp; 132kV'!G170+'Gen. Energy Cost 220 &amp; 132kV'!G171</f>
        <v>#REF!</v>
      </c>
      <c r="H121" t="e">
        <f>H119+'Gen. Energy Cost 220 &amp; 132kV'!H170+'Gen. Energy Cost 220 &amp; 132kV'!H171</f>
        <v>#REF!</v>
      </c>
    </row>
    <row r="122" spans="3:9" x14ac:dyDescent="0.2">
      <c r="C122" t="e">
        <f>C121-'Gen. Energy Cost'!C70</f>
        <v>#REF!</v>
      </c>
      <c r="D122" t="e">
        <f>D121-'Gen. Energy Cost'!D70</f>
        <v>#REF!</v>
      </c>
      <c r="E122" t="e">
        <f>E121-'Gen. Energy Cost'!E70</f>
        <v>#REF!</v>
      </c>
      <c r="F122" t="e">
        <f>F121-'Gen. Energy Cost'!F70</f>
        <v>#REF!</v>
      </c>
      <c r="G122" t="e">
        <f>G121-'Gen. Energy Cost'!G70</f>
        <v>#REF!</v>
      </c>
      <c r="H122" t="e">
        <f>H121-'Gen. Energy Cost'!H70</f>
        <v>#REF!</v>
      </c>
      <c r="I122">
        <f>I121-'Gen. Energy Cost'!I70</f>
        <v>-4694.5238492099998</v>
      </c>
    </row>
  </sheetData>
  <dataConsolidate/>
  <mergeCells count="59">
    <mergeCell ref="A80:A81"/>
    <mergeCell ref="A68:A69"/>
    <mergeCell ref="A70:A71"/>
    <mergeCell ref="A72:A73"/>
    <mergeCell ref="A74:A75"/>
    <mergeCell ref="A76:A77"/>
    <mergeCell ref="A78:A79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32:A33"/>
    <mergeCell ref="A34:A35"/>
    <mergeCell ref="A36:A37"/>
    <mergeCell ref="A38:A39"/>
    <mergeCell ref="A40:A41"/>
    <mergeCell ref="A42:A43"/>
    <mergeCell ref="AY20:AZ20"/>
    <mergeCell ref="A22:A23"/>
    <mergeCell ref="A24:A25"/>
    <mergeCell ref="A26:A27"/>
    <mergeCell ref="A28:A29"/>
    <mergeCell ref="A30:A31"/>
    <mergeCell ref="AJ20:AN20"/>
    <mergeCell ref="AO20:AP20"/>
    <mergeCell ref="AQ20:AR20"/>
    <mergeCell ref="AS20:AT20"/>
    <mergeCell ref="AU20:AV20"/>
    <mergeCell ref="AW20:AX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</mergeCells>
  <pageMargins left="0.75" right="0.26" top="1" bottom="1" header="0" footer="0"/>
  <pageSetup paperSize="9" scale="48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3474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33474" r:id="rId4" name="CommandButton2"/>
      </mc:Fallback>
    </mc:AlternateContent>
    <mc:AlternateContent xmlns:mc="http://schemas.openxmlformats.org/markup-compatibility/2006">
      <mc:Choice Requires="x14">
        <control shapeId="233473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33473" r:id="rId6" name="CommandButton1"/>
      </mc:Fallback>
    </mc:AlternateContent>
  </control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46">
    <tabColor theme="9"/>
    <pageSetUpPr fitToPage="1"/>
  </sheetPr>
  <dimension ref="A1:BR131"/>
  <sheetViews>
    <sheetView showGridLines="0" topLeftCell="AA1" workbookViewId="0">
      <selection activeCell="C168" sqref="C168:C170"/>
    </sheetView>
  </sheetViews>
  <sheetFormatPr defaultColWidth="11" defaultRowHeight="12.6" x14ac:dyDescent="0.2"/>
  <cols>
    <col min="1" max="1" width="32.26953125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3" max="33" width="20.26953125" customWidth="1"/>
  </cols>
  <sheetData>
    <row r="1" spans="1:35" s="27" customFormat="1" ht="22.2" x14ac:dyDescent="0.35">
      <c r="A1" s="3" t="s">
        <v>174</v>
      </c>
      <c r="F1" s="943"/>
      <c r="G1" s="943"/>
    </row>
    <row r="2" spans="1:35" ht="22.2" x14ac:dyDescent="0.35">
      <c r="F2" s="943"/>
      <c r="G2" s="943"/>
    </row>
    <row r="4" spans="1:35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5" ht="13.2" thickBot="1" x14ac:dyDescent="0.25">
      <c r="A5" s="26"/>
      <c r="B5" s="23" t="s">
        <v>36</v>
      </c>
      <c r="C5" s="425">
        <f>'Gen. Capacity 33'!C4</f>
        <v>46023</v>
      </c>
      <c r="D5" s="425">
        <f>'Gen. Capacity 33'!D4</f>
        <v>46054</v>
      </c>
      <c r="E5" s="425">
        <f>'Gen. Capacity 33'!E4</f>
        <v>46082</v>
      </c>
      <c r="F5" s="425">
        <f>'Gen. Capacity 33'!F4</f>
        <v>46113</v>
      </c>
      <c r="G5" s="425">
        <f>'Gen. Capacity 33'!G4</f>
        <v>46143</v>
      </c>
      <c r="H5" s="425">
        <f>'Gen. Capacity 33'!H4</f>
        <v>46174</v>
      </c>
      <c r="J5" s="103"/>
      <c r="K5" s="44"/>
      <c r="L5" s="104"/>
    </row>
    <row r="6" spans="1:35" ht="13.2" thickBot="1" x14ac:dyDescent="0.25">
      <c r="A6" s="88" t="s">
        <v>177</v>
      </c>
      <c r="B6" s="87" t="s">
        <v>88</v>
      </c>
      <c r="C6" s="388" t="e">
        <f t="shared" ref="C6:H6" si="0">C125/C121</f>
        <v>#REF!</v>
      </c>
      <c r="D6" s="388" t="e">
        <f t="shared" si="0"/>
        <v>#REF!</v>
      </c>
      <c r="E6" s="388" t="e">
        <f t="shared" si="0"/>
        <v>#REF!</v>
      </c>
      <c r="F6" s="388" t="e">
        <f t="shared" si="0"/>
        <v>#REF!</v>
      </c>
      <c r="G6" s="388" t="e">
        <f t="shared" si="0"/>
        <v>#REF!</v>
      </c>
      <c r="H6" s="388" t="e">
        <f t="shared" si="0"/>
        <v>#REF!</v>
      </c>
      <c r="I6" s="426"/>
      <c r="J6" s="84"/>
      <c r="K6" s="85"/>
      <c r="L6" s="85"/>
    </row>
    <row r="7" spans="1:35" ht="13.2" thickBot="1" x14ac:dyDescent="0.25"/>
    <row r="8" spans="1:35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5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5" x14ac:dyDescent="0.2">
      <c r="A10" s="352" t="s">
        <v>20</v>
      </c>
      <c r="B10" s="581" t="e">
        <f>$C$121*'tx consumer data'!O73</f>
        <v>#REF!</v>
      </c>
      <c r="C10" s="1357">
        <v>1</v>
      </c>
      <c r="D10" s="1044">
        <f>C10*C17</f>
        <v>1.0316521878126317</v>
      </c>
      <c r="E10" s="1045" t="e">
        <f>$C$6*D10</f>
        <v>#REF!</v>
      </c>
      <c r="F10" s="322"/>
      <c r="G10" s="352" t="s">
        <v>20</v>
      </c>
      <c r="H10" s="581" t="e">
        <f>$D$121*'tx consumer data'!O73</f>
        <v>#REF!</v>
      </c>
      <c r="I10" s="1357">
        <v>1</v>
      </c>
      <c r="J10" s="1044">
        <f>I10*I17</f>
        <v>1.0315102815006949</v>
      </c>
      <c r="K10" s="1045" t="e">
        <f>$D$6*J10</f>
        <v>#REF!</v>
      </c>
      <c r="M10" s="352" t="s">
        <v>20</v>
      </c>
      <c r="N10" s="581" t="e">
        <f>$E$121*'tx consumer data'!O73</f>
        <v>#REF!</v>
      </c>
      <c r="O10" s="1357">
        <v>1</v>
      </c>
      <c r="P10" s="1044">
        <f>O10*O17</f>
        <v>1.0316521878126315</v>
      </c>
      <c r="Q10" s="1045" t="e">
        <f>$E$6*P10</f>
        <v>#REF!</v>
      </c>
      <c r="S10" s="352" t="s">
        <v>20</v>
      </c>
      <c r="T10" s="581" t="e">
        <f>$F$121*'tx consumer data'!O73</f>
        <v>#REF!</v>
      </c>
      <c r="U10" s="1357">
        <v>1</v>
      </c>
      <c r="V10" s="1044">
        <f>U10*U17</f>
        <v>1.0316521878126315</v>
      </c>
      <c r="W10" s="1045" t="e">
        <f>$F$6*V10</f>
        <v>#REF!</v>
      </c>
      <c r="Y10" s="352" t="s">
        <v>20</v>
      </c>
      <c r="Z10" s="581" t="e">
        <f>$G$121*'tx consumer data'!O73</f>
        <v>#REF!</v>
      </c>
      <c r="AA10" s="1357">
        <v>1</v>
      </c>
      <c r="AB10" s="1044">
        <f>AA10*AA17</f>
        <v>1.0316521878126312</v>
      </c>
      <c r="AC10" s="1045" t="e">
        <f>$G$6*AB10</f>
        <v>#REF!</v>
      </c>
      <c r="AE10" s="352" t="s">
        <v>20</v>
      </c>
      <c r="AF10" s="581" t="e">
        <f>$H$121*'tx consumer data'!O73</f>
        <v>#REF!</v>
      </c>
      <c r="AG10" s="1357">
        <v>1</v>
      </c>
      <c r="AH10" s="1044">
        <f>AG10*AG17</f>
        <v>1.031652187812631</v>
      </c>
      <c r="AI10" s="1045" t="e">
        <f>$H$6*AH10</f>
        <v>#REF!</v>
      </c>
    </row>
    <row r="11" spans="1:35" x14ac:dyDescent="0.2">
      <c r="A11" s="352" t="s">
        <v>21</v>
      </c>
      <c r="B11" s="581" t="e">
        <f>$C$121*'tx consumer data'!O74</f>
        <v>#REF!</v>
      </c>
      <c r="C11" s="1357">
        <v>1.3</v>
      </c>
      <c r="D11" s="1044">
        <f>C11*C17</f>
        <v>1.3411478441564213</v>
      </c>
      <c r="E11" s="1045" t="e">
        <f>$C$6*D11</f>
        <v>#REF!</v>
      </c>
      <c r="F11" s="322"/>
      <c r="G11" s="352" t="s">
        <v>21</v>
      </c>
      <c r="H11" s="581" t="e">
        <f>$D$121*'tx consumer data'!O74</f>
        <v>#REF!</v>
      </c>
      <c r="I11" s="1357">
        <v>1.3</v>
      </c>
      <c r="J11" s="1044">
        <f>I11*I17</f>
        <v>1.3409633659509035</v>
      </c>
      <c r="K11" s="1045" t="e">
        <f>$D$6*J11</f>
        <v>#REF!</v>
      </c>
      <c r="M11" s="352" t="s">
        <v>21</v>
      </c>
      <c r="N11" s="581" t="e">
        <f>$E$121*'tx consumer data'!O74</f>
        <v>#REF!</v>
      </c>
      <c r="O11" s="1357">
        <v>1.3</v>
      </c>
      <c r="P11" s="1044">
        <f>O11*O17</f>
        <v>1.3411478441564209</v>
      </c>
      <c r="Q11" s="1045" t="e">
        <f>$E$6*P11</f>
        <v>#REF!</v>
      </c>
      <c r="S11" s="352" t="s">
        <v>21</v>
      </c>
      <c r="T11" s="581" t="e">
        <f>$F$121*'tx consumer data'!O74</f>
        <v>#REF!</v>
      </c>
      <c r="U11" s="1357">
        <v>1.3</v>
      </c>
      <c r="V11" s="1044">
        <f>U11*U17</f>
        <v>1.3411478441564209</v>
      </c>
      <c r="W11" s="1045" t="e">
        <f>$F$6*V11</f>
        <v>#REF!</v>
      </c>
      <c r="Y11" s="352" t="s">
        <v>21</v>
      </c>
      <c r="Z11" s="581" t="e">
        <f>$G$121*'tx consumer data'!O74</f>
        <v>#REF!</v>
      </c>
      <c r="AA11" s="1357">
        <v>1.3</v>
      </c>
      <c r="AB11" s="1044">
        <f>AA11*AA17</f>
        <v>1.3411478441564206</v>
      </c>
      <c r="AC11" s="1045" t="e">
        <f>$G$6*AB11</f>
        <v>#REF!</v>
      </c>
      <c r="AE11" s="352" t="s">
        <v>21</v>
      </c>
      <c r="AF11" s="581" t="e">
        <f>$H$121*'tx consumer data'!O74</f>
        <v>#REF!</v>
      </c>
      <c r="AG11" s="1357">
        <v>1.3</v>
      </c>
      <c r="AH11" s="1044">
        <f>AG11*AG17</f>
        <v>1.3411478441564204</v>
      </c>
      <c r="AI11" s="1045" t="e">
        <f>$H$6*AH11</f>
        <v>#REF!</v>
      </c>
    </row>
    <row r="12" spans="1:35" ht="13.2" thickBot="1" x14ac:dyDescent="0.25">
      <c r="A12" s="353" t="s">
        <v>22</v>
      </c>
      <c r="B12" s="581" t="e">
        <f>$C$121*'tx consumer data'!O75</f>
        <v>#REF!</v>
      </c>
      <c r="C12" s="1530">
        <v>0.6</v>
      </c>
      <c r="D12" s="1046">
        <f>C12*C17</f>
        <v>0.61899131268757901</v>
      </c>
      <c r="E12" s="1047" t="e">
        <f>$C$6*D12</f>
        <v>#REF!</v>
      </c>
      <c r="F12" s="322"/>
      <c r="G12" s="353" t="s">
        <v>22</v>
      </c>
      <c r="H12" s="581" t="e">
        <f>$C$121*'tx consumer data'!O75</f>
        <v>#REF!</v>
      </c>
      <c r="I12" s="1530">
        <v>0.6</v>
      </c>
      <c r="J12" s="1046">
        <f>I12*I17</f>
        <v>0.61890616890041694</v>
      </c>
      <c r="K12" s="1047" t="e">
        <f>$D$6*J12</f>
        <v>#REF!</v>
      </c>
      <c r="M12" s="353" t="s">
        <v>22</v>
      </c>
      <c r="N12" s="581" t="e">
        <f>$E$121*'tx consumer data'!O75</f>
        <v>#REF!</v>
      </c>
      <c r="O12" s="1530">
        <v>0.6</v>
      </c>
      <c r="P12" s="1046">
        <f>O12*O17</f>
        <v>0.6189913126875789</v>
      </c>
      <c r="Q12" s="1047" t="e">
        <f>$E$6*P12</f>
        <v>#REF!</v>
      </c>
      <c r="S12" s="353" t="s">
        <v>22</v>
      </c>
      <c r="T12" s="581" t="e">
        <f>$F$121*'tx consumer data'!O75</f>
        <v>#REF!</v>
      </c>
      <c r="U12" s="1530">
        <v>0.6</v>
      </c>
      <c r="V12" s="1046">
        <f>U12*U17</f>
        <v>0.6189913126875789</v>
      </c>
      <c r="W12" s="1047" t="e">
        <f>$F$6*V12</f>
        <v>#REF!</v>
      </c>
      <c r="Y12" s="353" t="s">
        <v>22</v>
      </c>
      <c r="Z12" s="581" t="e">
        <f>$G$121*'tx consumer data'!O75</f>
        <v>#REF!</v>
      </c>
      <c r="AA12" s="1530">
        <v>0.6</v>
      </c>
      <c r="AB12" s="1046">
        <f>AA12*AA17</f>
        <v>0.61899131268757868</v>
      </c>
      <c r="AC12" s="1047" t="e">
        <f>$G$6*AB12</f>
        <v>#REF!</v>
      </c>
      <c r="AE12" s="353" t="s">
        <v>22</v>
      </c>
      <c r="AF12" s="581" t="e">
        <f>$H$121*'tx consumer data'!O75</f>
        <v>#REF!</v>
      </c>
      <c r="AG12" s="1530">
        <v>0.6</v>
      </c>
      <c r="AH12" s="1046">
        <f>AG12*AG17</f>
        <v>0.61899131268757857</v>
      </c>
      <c r="AI12" s="1047" t="e">
        <f>$H$6*AH12</f>
        <v>#REF!</v>
      </c>
    </row>
    <row r="13" spans="1:35" ht="13.2" thickBot="1" x14ac:dyDescent="0.25">
      <c r="A13" s="99"/>
      <c r="B13" s="399" t="e">
        <f>B10+B11+B12</f>
        <v>#REF!</v>
      </c>
      <c r="C13" s="85"/>
      <c r="E13" s="100"/>
      <c r="F13" s="402"/>
      <c r="G13" s="99"/>
      <c r="H13" s="399"/>
      <c r="I13" s="85"/>
      <c r="K13" s="100"/>
      <c r="M13" s="99"/>
      <c r="N13" s="399"/>
      <c r="O13" s="85"/>
      <c r="Q13" s="100"/>
      <c r="S13" s="99"/>
      <c r="T13" s="399"/>
      <c r="U13" s="85"/>
      <c r="W13" s="100"/>
      <c r="Y13" s="99"/>
      <c r="Z13" s="399"/>
      <c r="AA13" s="85"/>
      <c r="AC13" s="100"/>
      <c r="AE13" s="99"/>
      <c r="AF13" s="399"/>
      <c r="AG13" s="85"/>
      <c r="AI13" s="100"/>
    </row>
    <row r="14" spans="1:35" x14ac:dyDescent="0.2">
      <c r="A14" s="531" t="s">
        <v>179</v>
      </c>
      <c r="B14" s="532" t="s">
        <v>60</v>
      </c>
      <c r="C14" s="533" t="e">
        <f>C6*SUM(B10:B12)</f>
        <v>#REF!</v>
      </c>
      <c r="E14" s="100"/>
      <c r="F14" s="402"/>
      <c r="G14" s="531" t="s">
        <v>179</v>
      </c>
      <c r="H14" s="532" t="s">
        <v>60</v>
      </c>
      <c r="I14" s="533" t="e">
        <f>D6*SUM(H10:H12)</f>
        <v>#REF!</v>
      </c>
      <c r="K14" s="100"/>
      <c r="M14" s="531" t="s">
        <v>179</v>
      </c>
      <c r="N14" s="532" t="s">
        <v>60</v>
      </c>
      <c r="O14" s="533" t="e">
        <f>E6*SUM(N10:N12)</f>
        <v>#REF!</v>
      </c>
      <c r="Q14" s="100"/>
      <c r="S14" s="531" t="s">
        <v>179</v>
      </c>
      <c r="T14" s="532" t="s">
        <v>60</v>
      </c>
      <c r="U14" s="533" t="e">
        <f>F6*SUM(T10:T12)</f>
        <v>#REF!</v>
      </c>
      <c r="W14" s="100"/>
      <c r="Y14" s="531" t="s">
        <v>179</v>
      </c>
      <c r="Z14" s="532" t="s">
        <v>60</v>
      </c>
      <c r="AA14" s="533" t="e">
        <f>G6*SUM(Z10:Z12)</f>
        <v>#REF!</v>
      </c>
      <c r="AC14" s="100"/>
      <c r="AE14" s="531" t="s">
        <v>179</v>
      </c>
      <c r="AF14" s="532" t="s">
        <v>60</v>
      </c>
      <c r="AG14" s="533" t="e">
        <f>H6*SUM(AF10:AF12)</f>
        <v>#REF!</v>
      </c>
      <c r="AI14" s="100"/>
    </row>
    <row r="15" spans="1:35" x14ac:dyDescent="0.2">
      <c r="A15" s="534" t="s">
        <v>180</v>
      </c>
      <c r="B15" s="85" t="s">
        <v>60</v>
      </c>
      <c r="C15" s="535" t="e">
        <f>SUMPRODUCT(B10:B12,E10:E12)</f>
        <v>#REF!</v>
      </c>
      <c r="E15" s="100"/>
      <c r="G15" s="534" t="s">
        <v>180</v>
      </c>
      <c r="H15" s="85" t="s">
        <v>60</v>
      </c>
      <c r="I15" s="535" t="e">
        <f>SUMPRODUCT(H10:H12,K10:K12)</f>
        <v>#REF!</v>
      </c>
      <c r="K15" s="100"/>
      <c r="M15" s="534" t="s">
        <v>180</v>
      </c>
      <c r="N15" s="85" t="s">
        <v>60</v>
      </c>
      <c r="O15" s="535" t="e">
        <f>SUMPRODUCT(N10:N12,Q10:Q12)</f>
        <v>#REF!</v>
      </c>
      <c r="Q15" s="100"/>
      <c r="S15" s="534" t="s">
        <v>180</v>
      </c>
      <c r="T15" s="85" t="s">
        <v>60</v>
      </c>
      <c r="U15" s="535" t="e">
        <f>SUMPRODUCT(T10:T12,W10:W12)</f>
        <v>#REF!</v>
      </c>
      <c r="W15" s="100"/>
      <c r="Y15" s="534" t="s">
        <v>180</v>
      </c>
      <c r="Z15" s="85" t="s">
        <v>60</v>
      </c>
      <c r="AA15" s="535" t="e">
        <f>SUMPRODUCT(Z10:Z12,AC10:AC12)</f>
        <v>#REF!</v>
      </c>
      <c r="AC15" s="100"/>
      <c r="AE15" s="534" t="s">
        <v>180</v>
      </c>
      <c r="AF15" s="85" t="s">
        <v>60</v>
      </c>
      <c r="AG15" s="535" t="e">
        <f>SUMPRODUCT(AF10:AF12,AI10:AI12)</f>
        <v>#REF!</v>
      </c>
      <c r="AI15" s="100"/>
    </row>
    <row r="16" spans="1:35" x14ac:dyDescent="0.2">
      <c r="A16" s="534" t="s">
        <v>184</v>
      </c>
      <c r="B16" s="85" t="s">
        <v>60</v>
      </c>
      <c r="C16" s="535" t="e">
        <f>C14-C15</f>
        <v>#REF!</v>
      </c>
      <c r="E16" s="100"/>
      <c r="G16" s="534" t="s">
        <v>184</v>
      </c>
      <c r="H16" s="85" t="s">
        <v>60</v>
      </c>
      <c r="I16" s="535" t="e">
        <f>I14-I15</f>
        <v>#REF!</v>
      </c>
      <c r="K16" s="100"/>
      <c r="M16" s="534" t="s">
        <v>184</v>
      </c>
      <c r="N16" s="85" t="s">
        <v>60</v>
      </c>
      <c r="O16" s="535" t="e">
        <f>O14-O15</f>
        <v>#REF!</v>
      </c>
      <c r="Q16" s="100"/>
      <c r="S16" s="534" t="s">
        <v>184</v>
      </c>
      <c r="T16" s="85" t="s">
        <v>60</v>
      </c>
      <c r="U16" s="535" t="e">
        <f>U14-U15</f>
        <v>#REF!</v>
      </c>
      <c r="W16" s="100"/>
      <c r="Y16" s="534" t="s">
        <v>184</v>
      </c>
      <c r="Z16" s="85" t="s">
        <v>60</v>
      </c>
      <c r="AA16" s="535" t="e">
        <f>AA14-AA15</f>
        <v>#REF!</v>
      </c>
      <c r="AC16" s="100"/>
      <c r="AE16" s="534" t="s">
        <v>184</v>
      </c>
      <c r="AF16" s="85" t="s">
        <v>60</v>
      </c>
      <c r="AG16" s="535" t="e">
        <f>AG14-AG15</f>
        <v>#REF!</v>
      </c>
      <c r="AI16" s="100"/>
    </row>
    <row r="17" spans="1:52" ht="13.2" thickBot="1" x14ac:dyDescent="0.25">
      <c r="A17" s="536" t="s">
        <v>187</v>
      </c>
      <c r="B17" s="537" t="s">
        <v>188</v>
      </c>
      <c r="C17" s="538">
        <v>1.0316521878126317</v>
      </c>
      <c r="D17" s="101"/>
      <c r="E17" s="102"/>
      <c r="G17" s="536" t="s">
        <v>187</v>
      </c>
      <c r="H17" s="537" t="s">
        <v>188</v>
      </c>
      <c r="I17" s="538">
        <v>1.0315102815006949</v>
      </c>
      <c r="J17" s="101"/>
      <c r="K17" s="102"/>
      <c r="M17" s="536" t="s">
        <v>187</v>
      </c>
      <c r="N17" s="537" t="s">
        <v>188</v>
      </c>
      <c r="O17" s="538">
        <v>1.0316521878126315</v>
      </c>
      <c r="P17" s="101"/>
      <c r="Q17" s="102"/>
      <c r="S17" s="536" t="s">
        <v>187</v>
      </c>
      <c r="T17" s="537" t="s">
        <v>188</v>
      </c>
      <c r="U17" s="538">
        <v>1.0316521878126315</v>
      </c>
      <c r="V17" s="101"/>
      <c r="W17" s="102"/>
      <c r="Y17" s="536" t="s">
        <v>187</v>
      </c>
      <c r="Z17" s="537" t="s">
        <v>188</v>
      </c>
      <c r="AA17" s="538">
        <v>1.0316521878126312</v>
      </c>
      <c r="AB17" s="101"/>
      <c r="AC17" s="102"/>
      <c r="AE17" s="536" t="s">
        <v>187</v>
      </c>
      <c r="AF17" s="537" t="s">
        <v>188</v>
      </c>
      <c r="AG17" s="538">
        <v>1.031652187812631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hidden="1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4"/>
    </row>
    <row r="21" spans="1:52" ht="13.2" hidden="1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hidden="1" x14ac:dyDescent="0.3">
      <c r="A22" s="2936" t="s">
        <v>962</v>
      </c>
      <c r="B22" s="418" t="s">
        <v>56</v>
      </c>
      <c r="C22" s="1532">
        <f>'hydro en &amp; capcost voltage wise'!E12</f>
        <v>0</v>
      </c>
      <c r="D22" s="1532">
        <f>'hydro en &amp; capcost voltage wise'!F12</f>
        <v>0</v>
      </c>
      <c r="E22" s="1532">
        <f>'hydro en &amp; capcost voltage wise'!G12</f>
        <v>0</v>
      </c>
      <c r="F22" s="1532">
        <f>'hydro en &amp; capcost voltage wise'!H12</f>
        <v>168.03381356452911</v>
      </c>
      <c r="G22" s="1532">
        <f>'hydro en &amp; capcost voltage wise'!I12</f>
        <v>211.16728686679787</v>
      </c>
      <c r="H22" s="1532">
        <f>'hydro en &amp; capcost voltage wise'!J12</f>
        <v>194.45000188771851</v>
      </c>
      <c r="I22" s="780" t="s">
        <v>595</v>
      </c>
      <c r="J22" s="615">
        <v>301.23</v>
      </c>
      <c r="K22" s="165"/>
      <c r="L22" s="165"/>
      <c r="M22" s="165"/>
    </row>
    <row r="23" spans="1:52" hidden="1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2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2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2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2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2" hidden="1" x14ac:dyDescent="0.2">
      <c r="A28" s="2936" t="s">
        <v>0</v>
      </c>
      <c r="B28" s="418" t="s">
        <v>56</v>
      </c>
      <c r="C28" s="1040">
        <f>'Gen. Energy Cost'!C34</f>
        <v>0</v>
      </c>
      <c r="D28" s="1040">
        <f>'Gen. Energy Cost'!D34</f>
        <v>0</v>
      </c>
      <c r="E28" s="1040">
        <f>'Gen. Energy Cost'!E34</f>
        <v>0</v>
      </c>
      <c r="F28" s="1040">
        <f>'Gen. Energy Cost'!F34</f>
        <v>0</v>
      </c>
      <c r="G28" s="1040">
        <f>'Gen. Energy Cost'!G34</f>
        <v>0</v>
      </c>
      <c r="H28" s="1040">
        <f>'Gen. Energy Cost'!H34</f>
        <v>0</v>
      </c>
      <c r="I28" s="165"/>
      <c r="J28" s="615"/>
    </row>
    <row r="29" spans="1:52" hidden="1" x14ac:dyDescent="0.2">
      <c r="A29" s="2942"/>
      <c r="B29" s="489" t="s">
        <v>88</v>
      </c>
      <c r="C29" s="658">
        <f>'Gen. Energy Cost'!C35</f>
        <v>0</v>
      </c>
      <c r="D29" s="658">
        <f>'Gen. Energy Cost'!D35</f>
        <v>0</v>
      </c>
      <c r="E29" s="658">
        <f>'Gen. Energy Cost'!E35</f>
        <v>0</v>
      </c>
      <c r="F29" s="658">
        <f>'Gen. Energy Cost'!F35</f>
        <v>0</v>
      </c>
      <c r="G29" s="658">
        <f>'Gen. Energy Cost'!G35</f>
        <v>0</v>
      </c>
      <c r="H29" s="658">
        <f>'Gen. Energy Cost'!H35</f>
        <v>0</v>
      </c>
    </row>
    <row r="30" spans="1:52" hidden="1" x14ac:dyDescent="0.2">
      <c r="A30" s="2936" t="s">
        <v>1</v>
      </c>
      <c r="B30" s="12" t="s">
        <v>56</v>
      </c>
      <c r="C30" s="1036">
        <f>'Gen. Energy Cost'!C30</f>
        <v>0</v>
      </c>
      <c r="D30" s="1036">
        <f>'Gen. Energy Cost'!D30</f>
        <v>0</v>
      </c>
      <c r="E30" s="1036">
        <f>'Gen. Energy Cost'!E30</f>
        <v>0</v>
      </c>
      <c r="F30" s="1036">
        <f>'Gen. Energy Cost'!F30</f>
        <v>28.956569999999999</v>
      </c>
      <c r="G30" s="1036">
        <f>'Gen. Energy Cost'!G30</f>
        <v>28.59515</v>
      </c>
      <c r="H30" s="1036">
        <f>'Gen. Energy Cost'!H30</f>
        <v>29.376000000000001</v>
      </c>
      <c r="I30" s="165"/>
      <c r="J30" s="615"/>
    </row>
    <row r="31" spans="1:52" hidden="1" x14ac:dyDescent="0.2">
      <c r="A31" s="2937"/>
      <c r="B31" s="83" t="s">
        <v>88</v>
      </c>
      <c r="C31" s="311">
        <f>'Gen. Energy Cost'!C31</f>
        <v>0</v>
      </c>
      <c r="D31" s="311">
        <f>'Gen. Energy Cost'!D31</f>
        <v>0</v>
      </c>
      <c r="E31" s="311">
        <f>'Gen. Energy Cost'!E31</f>
        <v>0</v>
      </c>
      <c r="F31" s="311">
        <f>'Gen. Energy Cost'!F31</f>
        <v>42.229763079079881</v>
      </c>
      <c r="G31" s="311">
        <f>'Gen. Energy Cost'!G31</f>
        <v>42.260102956369884</v>
      </c>
      <c r="H31" s="311">
        <f>'Gen. Energy Cost'!H31</f>
        <v>42.195489390339063</v>
      </c>
      <c r="K31" s="184"/>
    </row>
    <row r="32" spans="1:52" hidden="1" x14ac:dyDescent="0.2">
      <c r="A32" s="2936" t="s">
        <v>2</v>
      </c>
      <c r="B32" s="12" t="s">
        <v>56</v>
      </c>
      <c r="C32" s="1037">
        <f>'Gen. Energy Cost'!C32</f>
        <v>0</v>
      </c>
      <c r="D32" s="1037">
        <f>'Gen. Energy Cost'!D32</f>
        <v>0</v>
      </c>
      <c r="E32" s="1037">
        <f>'Gen. Energy Cost'!E32</f>
        <v>0</v>
      </c>
      <c r="F32" s="1037">
        <f>'Gen. Energy Cost'!F32</f>
        <v>36.936</v>
      </c>
      <c r="G32" s="1037">
        <f>'Gen. Energy Cost'!G32</f>
        <v>37.37397</v>
      </c>
      <c r="H32" s="1037">
        <f>'Gen. Energy Cost'!H32</f>
        <v>36.936</v>
      </c>
      <c r="I32" s="165"/>
      <c r="J32" s="615"/>
    </row>
    <row r="33" spans="1:11" hidden="1" x14ac:dyDescent="0.2">
      <c r="A33" s="2937"/>
      <c r="B33" s="83" t="s">
        <v>88</v>
      </c>
      <c r="C33" s="311">
        <f>'Gen. Energy Cost'!C33</f>
        <v>0</v>
      </c>
      <c r="D33" s="311">
        <f>'Gen. Energy Cost'!D33</f>
        <v>0</v>
      </c>
      <c r="E33" s="311">
        <f>'Gen. Energy Cost'!E33</f>
        <v>0</v>
      </c>
      <c r="F33" s="311">
        <f>'Gen. Energy Cost'!F33</f>
        <v>39.827255265756989</v>
      </c>
      <c r="G33" s="311">
        <f>'Gen. Energy Cost'!G33</f>
        <v>39.806455725573706</v>
      </c>
      <c r="H33" s="311">
        <f>'Gen. Energy Cost'!H33</f>
        <v>39.827255265756989</v>
      </c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hidden="1" x14ac:dyDescent="0.2">
      <c r="A36" s="2936" t="s">
        <v>4</v>
      </c>
      <c r="B36" s="12" t="s">
        <v>56</v>
      </c>
      <c r="C36" s="1037" t="e">
        <f>'Gen. Energy Cost'!#REF!</f>
        <v>#REF!</v>
      </c>
      <c r="D36" s="1037" t="e">
        <f>'Gen. Energy Cost'!#REF!</f>
        <v>#REF!</v>
      </c>
      <c r="E36" s="1037" t="e">
        <f>'Gen. Energy Cost'!#REF!</f>
        <v>#REF!</v>
      </c>
      <c r="F36" s="1037" t="e">
        <f>'Gen. Energy Cost'!#REF!</f>
        <v>#REF!</v>
      </c>
      <c r="G36" s="1037" t="e">
        <f>'Gen. Energy Cost'!#REF!</f>
        <v>#REF!</v>
      </c>
      <c r="H36" s="1037" t="e">
        <f>'Gen. Energy Cost'!#REF!</f>
        <v>#REF!</v>
      </c>
      <c r="I36" s="165"/>
      <c r="J36" s="615"/>
    </row>
    <row r="37" spans="1:11" hidden="1" x14ac:dyDescent="0.2">
      <c r="A37" s="2942"/>
      <c r="B37" s="83" t="s">
        <v>88</v>
      </c>
      <c r="C37" s="311" t="e">
        <f>'Gen. Energy Cost'!#REF!</f>
        <v>#REF!</v>
      </c>
      <c r="D37" s="311" t="e">
        <f>'Gen. Energy Cost'!#REF!</f>
        <v>#REF!</v>
      </c>
      <c r="E37" s="311" t="e">
        <f>'Gen. Energy Cost'!#REF!</f>
        <v>#REF!</v>
      </c>
      <c r="F37" s="311" t="e">
        <f>'Gen. Energy Cost'!#REF!</f>
        <v>#REF!</v>
      </c>
      <c r="G37" s="311" t="e">
        <f>'Gen. Energy Cost'!#REF!</f>
        <v>#REF!</v>
      </c>
      <c r="H37" s="311" t="e">
        <f>'Gen. Energy Cost'!#REF!</f>
        <v>#REF!</v>
      </c>
    </row>
    <row r="38" spans="1:11" hidden="1" x14ac:dyDescent="0.2">
      <c r="A38" s="2936" t="s">
        <v>5</v>
      </c>
      <c r="B38" s="12" t="s">
        <v>56</v>
      </c>
      <c r="C38" s="1037"/>
      <c r="D38" s="1037"/>
      <c r="E38" s="1037"/>
      <c r="F38" s="1037"/>
      <c r="G38" s="1037"/>
      <c r="H38" s="1037"/>
      <c r="I38" s="165"/>
      <c r="J38" s="615"/>
      <c r="K38" s="184"/>
    </row>
    <row r="39" spans="1:11" hidden="1" x14ac:dyDescent="0.2">
      <c r="A39" s="2937"/>
      <c r="B39" s="83" t="s">
        <v>88</v>
      </c>
      <c r="C39" s="311"/>
      <c r="D39" s="311"/>
      <c r="E39" s="311"/>
      <c r="F39" s="311"/>
      <c r="G39" s="1325"/>
      <c r="H39" s="1325"/>
    </row>
    <row r="40" spans="1:11" hidden="1" x14ac:dyDescent="0.2">
      <c r="A40" s="2936" t="s">
        <v>803</v>
      </c>
      <c r="B40" s="12" t="s">
        <v>56</v>
      </c>
      <c r="C40" s="1037"/>
      <c r="D40" s="1037"/>
      <c r="E40" s="1037"/>
      <c r="F40" s="1037"/>
      <c r="G40" s="1037"/>
      <c r="H40" s="1037"/>
      <c r="I40" s="165"/>
      <c r="J40" s="615"/>
      <c r="K40" s="184"/>
    </row>
    <row r="41" spans="1:11" hidden="1" x14ac:dyDescent="0.2">
      <c r="A41" s="2937"/>
      <c r="B41" s="83" t="s">
        <v>88</v>
      </c>
      <c r="C41" s="311"/>
      <c r="D41" s="311"/>
      <c r="E41" s="311"/>
      <c r="F41" s="311"/>
      <c r="G41" s="311"/>
      <c r="H41" s="311"/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hidden="1" x14ac:dyDescent="0.2">
      <c r="A46" s="3082" t="s">
        <v>9</v>
      </c>
      <c r="B46" s="571" t="s">
        <v>56</v>
      </c>
      <c r="C46" s="1533"/>
      <c r="D46" s="1533"/>
      <c r="E46" s="1533"/>
      <c r="F46" s="1533"/>
      <c r="G46" s="1533"/>
      <c r="H46" s="1533"/>
      <c r="I46" s="165"/>
      <c r="J46" s="615"/>
    </row>
    <row r="47" spans="1:11" hidden="1" x14ac:dyDescent="0.2">
      <c r="A47" s="3083"/>
      <c r="B47" s="575" t="s">
        <v>88</v>
      </c>
      <c r="C47" s="576"/>
      <c r="D47" s="576"/>
      <c r="E47" s="576"/>
      <c r="F47" s="576"/>
      <c r="G47" s="576"/>
      <c r="H47" s="576"/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hidden="1" x14ac:dyDescent="0.2">
      <c r="A50" s="3085" t="s">
        <v>11</v>
      </c>
      <c r="B50" s="12" t="s">
        <v>56</v>
      </c>
      <c r="C50" s="1536" t="e">
        <f>'Gen. Energy Cost'!#REF!</f>
        <v>#REF!</v>
      </c>
      <c r="D50" s="1536" t="e">
        <f>'Gen. Energy Cost'!#REF!</f>
        <v>#REF!</v>
      </c>
      <c r="E50" s="1536" t="e">
        <f>'Gen. Energy Cost'!#REF!</f>
        <v>#REF!</v>
      </c>
      <c r="F50" s="1536" t="e">
        <f>'Gen. Energy Cost'!#REF!</f>
        <v>#REF!</v>
      </c>
      <c r="G50" s="1536" t="e">
        <f>'Gen. Energy Cost'!#REF!</f>
        <v>#REF!</v>
      </c>
      <c r="H50" s="1536" t="e">
        <f>'Gen. Energy Cost'!#REF!</f>
        <v>#REF!</v>
      </c>
      <c r="I50" s="165"/>
    </row>
    <row r="51" spans="1:11" hidden="1" x14ac:dyDescent="0.2">
      <c r="A51" s="3086"/>
      <c r="B51" s="83" t="s">
        <v>88</v>
      </c>
      <c r="C51" s="1537" t="e">
        <f>'Gen. Energy Cost'!#REF!</f>
        <v>#REF!</v>
      </c>
      <c r="D51" s="1537" t="e">
        <f>'Gen. Energy Cost'!#REF!</f>
        <v>#REF!</v>
      </c>
      <c r="E51" s="1537" t="e">
        <f>'Gen. Energy Cost'!#REF!</f>
        <v>#REF!</v>
      </c>
      <c r="F51" s="1537" t="e">
        <f>'Gen. Energy Cost'!#REF!</f>
        <v>#REF!</v>
      </c>
      <c r="G51" s="1537" t="e">
        <f>'Gen. Energy Cost'!#REF!</f>
        <v>#REF!</v>
      </c>
      <c r="H51" s="1537" t="e">
        <f>'Gen. Energy Cost'!#REF!</f>
        <v>#REF!</v>
      </c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hidden="1" x14ac:dyDescent="0.2">
      <c r="A54" s="2936" t="s">
        <v>643</v>
      </c>
      <c r="B54" s="12" t="s">
        <v>56</v>
      </c>
      <c r="C54" s="1041"/>
      <c r="D54" s="1041"/>
      <c r="E54" s="1041"/>
      <c r="F54" s="1041"/>
      <c r="G54" s="1041"/>
      <c r="H54" s="1041"/>
      <c r="I54" s="165"/>
      <c r="K54" s="184"/>
    </row>
    <row r="55" spans="1:11" hidden="1" x14ac:dyDescent="0.2">
      <c r="A55" s="2937"/>
      <c r="B55" s="83" t="s">
        <v>88</v>
      </c>
      <c r="C55" s="1206"/>
      <c r="D55" s="1206"/>
      <c r="E55" s="1206"/>
      <c r="F55" s="1206"/>
      <c r="G55" s="1206"/>
      <c r="H55" s="1206"/>
    </row>
    <row r="56" spans="1:11" hidden="1" x14ac:dyDescent="0.2">
      <c r="A56" s="2936" t="s">
        <v>13</v>
      </c>
      <c r="B56" s="12" t="s">
        <v>56</v>
      </c>
      <c r="C56" s="1041"/>
      <c r="D56" s="1041"/>
      <c r="E56" s="1041"/>
      <c r="F56" s="1538"/>
      <c r="G56" s="1538"/>
      <c r="H56" s="1042"/>
      <c r="I56" s="165"/>
      <c r="J56" s="615"/>
      <c r="K56" s="184"/>
    </row>
    <row r="57" spans="1:11" hidden="1" x14ac:dyDescent="0.2">
      <c r="A57" s="2937"/>
      <c r="B57" s="83" t="s">
        <v>88</v>
      </c>
      <c r="C57" s="311"/>
      <c r="D57" s="311"/>
      <c r="E57" s="311"/>
      <c r="F57" s="1539"/>
      <c r="G57" s="1539"/>
      <c r="H57" s="658"/>
    </row>
    <row r="58" spans="1:11" hidden="1" x14ac:dyDescent="0.2">
      <c r="A58" s="2936" t="s">
        <v>14</v>
      </c>
      <c r="B58" s="12" t="s">
        <v>56</v>
      </c>
      <c r="C58" s="1041"/>
      <c r="D58" s="1041"/>
      <c r="E58" s="1041"/>
      <c r="F58" s="1041"/>
      <c r="G58" s="1041"/>
      <c r="H58" s="1042"/>
      <c r="I58" s="165"/>
      <c r="K58" s="184"/>
    </row>
    <row r="59" spans="1:11" hidden="1" x14ac:dyDescent="0.2">
      <c r="A59" s="2937"/>
      <c r="B59" s="83" t="s">
        <v>88</v>
      </c>
      <c r="C59" s="311"/>
      <c r="D59" s="311"/>
      <c r="E59" s="311"/>
      <c r="F59" s="311"/>
      <c r="G59" s="311"/>
      <c r="H59" s="311"/>
    </row>
    <row r="60" spans="1:11" hidden="1" x14ac:dyDescent="0.2">
      <c r="A60" s="2936" t="s">
        <v>15</v>
      </c>
      <c r="B60" s="12" t="s">
        <v>56</v>
      </c>
      <c r="C60" s="1042"/>
      <c r="D60" s="1042"/>
      <c r="E60" s="1042"/>
      <c r="F60" s="1042"/>
      <c r="G60" s="1042"/>
      <c r="H60" s="1042"/>
      <c r="I60" s="165"/>
    </row>
    <row r="61" spans="1:11" hidden="1" x14ac:dyDescent="0.2">
      <c r="A61" s="2937"/>
      <c r="B61" s="83" t="s">
        <v>88</v>
      </c>
      <c r="C61" s="658"/>
      <c r="D61" s="658"/>
      <c r="E61" s="658"/>
      <c r="F61" s="658"/>
      <c r="G61" s="658"/>
      <c r="H61" s="658"/>
    </row>
    <row r="62" spans="1:11" hidden="1" x14ac:dyDescent="0.2">
      <c r="A62" s="2936" t="s">
        <v>111</v>
      </c>
      <c r="B62" s="12" t="s">
        <v>56</v>
      </c>
      <c r="C62" s="1042">
        <f>'Gen. Energy Cost'!C36</f>
        <v>0</v>
      </c>
      <c r="D62" s="1042">
        <f>'Gen. Energy Cost'!D36</f>
        <v>0</v>
      </c>
      <c r="E62" s="1042">
        <f>'Gen. Energy Cost'!E36</f>
        <v>0</v>
      </c>
      <c r="F62" s="1042">
        <f>'Gen. Energy Cost'!F36</f>
        <v>0</v>
      </c>
      <c r="G62" s="1042">
        <f>'Gen. Energy Cost'!G36</f>
        <v>0</v>
      </c>
      <c r="H62" s="1042">
        <f>'Gen. Energy Cost'!H36</f>
        <v>0</v>
      </c>
      <c r="I62" s="165"/>
    </row>
    <row r="63" spans="1:11" hidden="1" x14ac:dyDescent="0.2">
      <c r="A63" s="2937"/>
      <c r="B63" s="83" t="s">
        <v>88</v>
      </c>
      <c r="C63" s="311">
        <f>'Gen. Energy Cost'!C37</f>
        <v>0</v>
      </c>
      <c r="D63" s="311">
        <f>'Gen. Energy Cost'!D37</f>
        <v>0</v>
      </c>
      <c r="E63" s="311">
        <f>'Gen. Energy Cost'!E37</f>
        <v>0</v>
      </c>
      <c r="F63" s="311">
        <f>'Gen. Energy Cost'!F37</f>
        <v>0</v>
      </c>
      <c r="G63" s="311">
        <f>'Gen. Energy Cost'!G37</f>
        <v>0</v>
      </c>
      <c r="H63" s="311">
        <f>'Gen. Energy Cost'!H37</f>
        <v>0</v>
      </c>
    </row>
    <row r="64" spans="1:11" hidden="1" x14ac:dyDescent="0.2">
      <c r="A64" s="2936" t="s">
        <v>422</v>
      </c>
      <c r="B64" s="12" t="s">
        <v>56</v>
      </c>
      <c r="C64" s="1041"/>
      <c r="D64" s="1041"/>
      <c r="E64" s="1041"/>
      <c r="F64" s="1041"/>
      <c r="G64" s="1041"/>
      <c r="H64" s="1041"/>
      <c r="I64" s="165"/>
    </row>
    <row r="65" spans="1:70" hidden="1" x14ac:dyDescent="0.2">
      <c r="A65" s="2937"/>
      <c r="B65" s="83" t="s">
        <v>88</v>
      </c>
      <c r="C65" s="311"/>
      <c r="D65" s="311"/>
      <c r="E65" s="311"/>
      <c r="F65" s="311"/>
      <c r="G65" s="311"/>
      <c r="H65" s="311"/>
    </row>
    <row r="66" spans="1:70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0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0" hidden="1" x14ac:dyDescent="0.2">
      <c r="A68" s="2936" t="s">
        <v>464</v>
      </c>
      <c r="B68" s="12" t="s">
        <v>56</v>
      </c>
      <c r="C68" s="1041"/>
      <c r="D68" s="1041"/>
      <c r="E68" s="1041"/>
      <c r="F68" s="1041"/>
      <c r="G68" s="1041"/>
      <c r="H68" s="1041"/>
      <c r="I68" s="165"/>
    </row>
    <row r="69" spans="1:70" hidden="1" x14ac:dyDescent="0.2">
      <c r="A69" s="2937"/>
      <c r="B69" s="83" t="s">
        <v>88</v>
      </c>
      <c r="C69" s="311"/>
      <c r="D69" s="311"/>
      <c r="E69" s="311"/>
      <c r="F69" s="311"/>
      <c r="G69" s="311"/>
      <c r="H69" s="311"/>
    </row>
    <row r="70" spans="1:70" hidden="1" x14ac:dyDescent="0.2">
      <c r="A70" s="2944" t="s">
        <v>538</v>
      </c>
      <c r="B70" s="12" t="s">
        <v>56</v>
      </c>
      <c r="C70" s="1041"/>
      <c r="D70" s="1042"/>
      <c r="E70" s="1041"/>
      <c r="F70" s="1041"/>
      <c r="G70" s="1041"/>
      <c r="H70" s="1041"/>
      <c r="I70" s="165"/>
    </row>
    <row r="71" spans="1:70" hidden="1" x14ac:dyDescent="0.2">
      <c r="A71" s="2937"/>
      <c r="B71" s="83" t="s">
        <v>88</v>
      </c>
      <c r="C71" s="311"/>
      <c r="D71" s="658"/>
      <c r="E71" s="311"/>
      <c r="F71" s="311"/>
      <c r="G71" s="311"/>
      <c r="H71" s="311"/>
    </row>
    <row r="72" spans="1:70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0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0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0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hidden="1" x14ac:dyDescent="0.2">
      <c r="A76" s="2936" t="s">
        <v>817</v>
      </c>
      <c r="B76" s="197" t="s">
        <v>56</v>
      </c>
      <c r="C76" s="1193"/>
      <c r="D76" s="1193"/>
      <c r="E76" s="1193"/>
      <c r="F76" s="1193"/>
      <c r="G76" s="1193"/>
      <c r="H76" s="1193"/>
      <c r="I76" s="124"/>
    </row>
    <row r="77" spans="1:70" s="372" customFormat="1" hidden="1" x14ac:dyDescent="0.2">
      <c r="A77" s="2939"/>
      <c r="B77" s="83" t="s">
        <v>88</v>
      </c>
      <c r="C77" s="1194"/>
      <c r="D77" s="1194"/>
      <c r="E77" s="1194"/>
      <c r="F77" s="1194"/>
      <c r="G77" s="1194"/>
      <c r="H77" s="1194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hidden="1" x14ac:dyDescent="0.2">
      <c r="A78" s="2936" t="s">
        <v>818</v>
      </c>
      <c r="B78" s="197" t="s">
        <v>56</v>
      </c>
      <c r="C78" s="1193"/>
      <c r="D78" s="1193"/>
      <c r="E78" s="1193"/>
      <c r="F78" s="1193"/>
      <c r="G78" s="1193"/>
      <c r="H78" s="1193"/>
      <c r="I78" s="124"/>
    </row>
    <row r="79" spans="1:70" hidden="1" x14ac:dyDescent="0.2">
      <c r="A79" s="2939"/>
      <c r="B79" s="83" t="s">
        <v>88</v>
      </c>
      <c r="C79" s="1194"/>
      <c r="D79" s="1194"/>
      <c r="E79" s="1194"/>
      <c r="F79" s="1194"/>
      <c r="G79" s="1194"/>
      <c r="H79" s="1194"/>
      <c r="I79" s="124"/>
    </row>
    <row r="80" spans="1:70" hidden="1" x14ac:dyDescent="0.2">
      <c r="A80" s="2936" t="s">
        <v>819</v>
      </c>
      <c r="B80" s="197" t="s">
        <v>56</v>
      </c>
      <c r="C80" s="1193"/>
      <c r="D80" s="1193"/>
      <c r="E80" s="1193"/>
      <c r="F80" s="1193"/>
      <c r="G80" s="1193"/>
      <c r="H80" s="1193"/>
      <c r="I80" s="124"/>
    </row>
    <row r="81" spans="1:12" hidden="1" x14ac:dyDescent="0.2">
      <c r="A81" s="2939"/>
      <c r="B81" s="83" t="s">
        <v>88</v>
      </c>
      <c r="C81" s="1194"/>
      <c r="D81" s="1194"/>
      <c r="E81" s="1194"/>
      <c r="F81" s="1194"/>
      <c r="G81" s="1194"/>
      <c r="H81" s="1194"/>
      <c r="I81" s="1540"/>
    </row>
    <row r="82" spans="1:12" ht="42.75" hidden="1" customHeight="1" x14ac:dyDescent="0.2">
      <c r="A82" s="1085" t="s">
        <v>175</v>
      </c>
      <c r="B82" s="1086" t="s">
        <v>56</v>
      </c>
      <c r="C82" s="1087" t="e">
        <f t="shared" ref="C82:H82" si="2">SUM(C22,C24,C26,C28,C30,C32,C34,C36,C38,C40,C42,C44,C46,C48,C50,C52,C54,C56,C58,C60,C62,C64,C66,C68,C70,C72,C74,C76,C78,C80)</f>
        <v>#REF!</v>
      </c>
      <c r="D82" s="1087" t="e">
        <f t="shared" si="2"/>
        <v>#REF!</v>
      </c>
      <c r="E82" s="1087" t="e">
        <f t="shared" si="2"/>
        <v>#REF!</v>
      </c>
      <c r="F82" s="1087" t="e">
        <f t="shared" si="2"/>
        <v>#REF!</v>
      </c>
      <c r="G82" s="1087" t="e">
        <f t="shared" si="2"/>
        <v>#REF!</v>
      </c>
      <c r="H82" s="1087" t="e">
        <f t="shared" si="2"/>
        <v>#REF!</v>
      </c>
      <c r="I82" s="1088" t="e">
        <f>C82+D82+E82+F82+G82+H82</f>
        <v>#REF!</v>
      </c>
      <c r="J82" s="317"/>
      <c r="K82" s="1204"/>
      <c r="L82" s="184"/>
    </row>
    <row r="84" spans="1:12" hidden="1" x14ac:dyDescent="0.2">
      <c r="A84" s="4"/>
      <c r="C84" s="337" t="e">
        <f t="shared" ref="C84:H84" si="3">C126/C82</f>
        <v>#REF!</v>
      </c>
      <c r="D84" s="337" t="e">
        <f t="shared" si="3"/>
        <v>#REF!</v>
      </c>
      <c r="E84" s="337" t="e">
        <f t="shared" si="3"/>
        <v>#REF!</v>
      </c>
      <c r="F84" s="337" t="e">
        <f t="shared" si="3"/>
        <v>#REF!</v>
      </c>
      <c r="G84" s="337" t="e">
        <f t="shared" si="3"/>
        <v>#REF!</v>
      </c>
      <c r="H84" s="337" t="e">
        <f t="shared" si="3"/>
        <v>#REF!</v>
      </c>
      <c r="L84" s="1205"/>
    </row>
    <row r="85" spans="1:12" hidden="1" x14ac:dyDescent="0.2">
      <c r="A85" s="4"/>
      <c r="L85" s="1205"/>
    </row>
    <row r="86" spans="1:12" hidden="1" x14ac:dyDescent="0.2">
      <c r="A86" s="4"/>
      <c r="C86" t="e">
        <f t="shared" ref="C86:H86" si="4">C82*C6</f>
        <v>#REF!</v>
      </c>
      <c r="D86" t="e">
        <f t="shared" si="4"/>
        <v>#REF!</v>
      </c>
      <c r="E86" t="e">
        <f t="shared" si="4"/>
        <v>#REF!</v>
      </c>
      <c r="F86" t="e">
        <f t="shared" si="4"/>
        <v>#REF!</v>
      </c>
      <c r="G86" t="e">
        <f t="shared" si="4"/>
        <v>#REF!</v>
      </c>
      <c r="H86" t="e">
        <f t="shared" si="4"/>
        <v>#REF!</v>
      </c>
      <c r="L86" s="1205"/>
    </row>
    <row r="87" spans="1:12" hidden="1" x14ac:dyDescent="0.2">
      <c r="A87" s="47" t="s">
        <v>389</v>
      </c>
      <c r="B87" s="47" t="s">
        <v>94</v>
      </c>
      <c r="C87" s="1039" t="e">
        <f t="shared" ref="C87:H87" si="5">C28*C29+C30*C31+C32*C33+C50*C51+C62*C63</f>
        <v>#REF!</v>
      </c>
      <c r="D87" s="1039" t="e">
        <f t="shared" si="5"/>
        <v>#REF!</v>
      </c>
      <c r="E87" s="1039" t="e">
        <f t="shared" si="5"/>
        <v>#REF!</v>
      </c>
      <c r="F87" s="1039" t="e">
        <f t="shared" si="5"/>
        <v>#REF!</v>
      </c>
      <c r="G87" s="1039" t="e">
        <f t="shared" si="5"/>
        <v>#REF!</v>
      </c>
      <c r="H87" s="1039" t="e">
        <f t="shared" si="5"/>
        <v>#REF!</v>
      </c>
    </row>
    <row r="88" spans="1:12" hidden="1" x14ac:dyDescent="0.2"/>
    <row r="89" spans="1:12" hidden="1" x14ac:dyDescent="0.2">
      <c r="A89" s="47" t="s">
        <v>389</v>
      </c>
      <c r="B89" s="484" t="s">
        <v>746</v>
      </c>
      <c r="C89" s="1043" t="e">
        <f t="shared" ref="C89:H89" si="6">C87/1000000</f>
        <v>#REF!</v>
      </c>
      <c r="D89" s="1043" t="e">
        <f t="shared" si="6"/>
        <v>#REF!</v>
      </c>
      <c r="E89" s="1043" t="e">
        <f t="shared" si="6"/>
        <v>#REF!</v>
      </c>
      <c r="F89" s="1043" t="e">
        <f t="shared" si="6"/>
        <v>#REF!</v>
      </c>
      <c r="G89" s="1043" t="e">
        <f t="shared" si="6"/>
        <v>#REF!</v>
      </c>
      <c r="H89" s="1073" t="e">
        <f t="shared" si="6"/>
        <v>#REF!</v>
      </c>
      <c r="I89" s="1088" t="e">
        <f>C89+D89+E89+F89+G89+H89</f>
        <v>#REF!</v>
      </c>
    </row>
    <row r="90" spans="1:12" hidden="1" x14ac:dyDescent="0.2">
      <c r="B90" s="415"/>
      <c r="C90" s="150"/>
      <c r="D90" s="150"/>
      <c r="E90" s="150"/>
      <c r="F90" s="150"/>
      <c r="G90" s="150"/>
      <c r="H90" s="150"/>
    </row>
    <row r="91" spans="1:12" hidden="1" x14ac:dyDescent="0.2">
      <c r="B91" s="415"/>
      <c r="C91" s="150"/>
      <c r="D91" s="150"/>
      <c r="E91" s="150"/>
      <c r="F91" s="150"/>
      <c r="G91" s="150"/>
      <c r="H91" s="150"/>
    </row>
    <row r="92" spans="1:12" ht="18" hidden="1" x14ac:dyDescent="0.2">
      <c r="A92" s="1094" t="s">
        <v>747</v>
      </c>
      <c r="B92" s="1089" t="s">
        <v>748</v>
      </c>
      <c r="C92" s="1090" t="e">
        <f>I89</f>
        <v>#REF!</v>
      </c>
      <c r="D92" s="150"/>
      <c r="E92" s="150"/>
      <c r="F92" s="150"/>
      <c r="G92" s="150"/>
      <c r="H92" s="150"/>
    </row>
    <row r="93" spans="1:12" ht="18" hidden="1" x14ac:dyDescent="0.2">
      <c r="A93" s="1094" t="s">
        <v>749</v>
      </c>
      <c r="B93" s="1089" t="s">
        <v>56</v>
      </c>
      <c r="C93" s="1090" t="e">
        <f>I82</f>
        <v>#REF!</v>
      </c>
      <c r="D93" s="150"/>
      <c r="E93" s="150"/>
      <c r="F93" s="150"/>
      <c r="G93" s="150"/>
      <c r="H93" s="150"/>
    </row>
    <row r="94" spans="1:12" ht="18" hidden="1" x14ac:dyDescent="0.2">
      <c r="A94" s="1094" t="s">
        <v>750</v>
      </c>
      <c r="B94" s="1089" t="s">
        <v>751</v>
      </c>
      <c r="C94" s="1091" t="e">
        <f>C92/C93</f>
        <v>#REF!</v>
      </c>
      <c r="D94" s="150"/>
      <c r="E94" s="150"/>
      <c r="F94" s="150"/>
      <c r="G94" s="150"/>
      <c r="H94" s="150"/>
    </row>
    <row r="95" spans="1:12" ht="14.4" hidden="1" x14ac:dyDescent="0.2">
      <c r="A95" s="1092" t="s">
        <v>790</v>
      </c>
      <c r="B95" s="1093" t="s">
        <v>751</v>
      </c>
      <c r="C95" s="1095" t="e">
        <f>C94/C99*100</f>
        <v>#REF!</v>
      </c>
      <c r="D95">
        <v>13.686699022890487</v>
      </c>
      <c r="E95" s="1117">
        <v>2.0799999999999999E-2</v>
      </c>
      <c r="H95" s="241"/>
    </row>
    <row r="96" spans="1:12" hidden="1" x14ac:dyDescent="0.2">
      <c r="B96" s="415"/>
      <c r="C96" s="150"/>
      <c r="H96" s="241"/>
    </row>
    <row r="97" spans="1:9" hidden="1" x14ac:dyDescent="0.2">
      <c r="B97" s="415"/>
      <c r="C97" s="150"/>
    </row>
    <row r="98" spans="1:9" hidden="1" x14ac:dyDescent="0.2">
      <c r="A98" s="415" t="s">
        <v>789</v>
      </c>
      <c r="B98" s="415"/>
      <c r="C98" s="1096">
        <v>3</v>
      </c>
    </row>
    <row r="99" spans="1:9" hidden="1" x14ac:dyDescent="0.2">
      <c r="C99" s="241">
        <f>100-C98</f>
        <v>97</v>
      </c>
    </row>
    <row r="100" spans="1:9" hidden="1" x14ac:dyDescent="0.2"/>
    <row r="101" spans="1:9" hidden="1" x14ac:dyDescent="0.2">
      <c r="A101" s="415"/>
      <c r="C101" s="165"/>
      <c r="D101" s="165"/>
      <c r="E101" s="165"/>
      <c r="F101" s="165"/>
      <c r="G101" s="165"/>
      <c r="H101" s="165"/>
    </row>
    <row r="102" spans="1:9" hidden="1" x14ac:dyDescent="0.2">
      <c r="A102" s="415"/>
      <c r="C102" s="165"/>
      <c r="D102" s="165"/>
      <c r="E102" s="165"/>
      <c r="F102" s="165"/>
      <c r="G102" s="165"/>
      <c r="H102" s="165"/>
      <c r="I102" s="1074"/>
    </row>
    <row r="103" spans="1:9" hidden="1" x14ac:dyDescent="0.2">
      <c r="A103" s="415"/>
    </row>
    <row r="104" spans="1:9" hidden="1" x14ac:dyDescent="0.2">
      <c r="A104" s="689">
        <v>132</v>
      </c>
      <c r="C104" s="1554">
        <v>43101</v>
      </c>
      <c r="D104" s="1554">
        <v>43133</v>
      </c>
      <c r="E104" s="1554">
        <v>43162</v>
      </c>
      <c r="F104" s="1554">
        <v>43194</v>
      </c>
      <c r="G104" s="1554">
        <v>43225</v>
      </c>
      <c r="H104" s="1554">
        <v>43257</v>
      </c>
    </row>
    <row r="105" spans="1:9" hidden="1" x14ac:dyDescent="0.2">
      <c r="A105" s="415" t="s">
        <v>890</v>
      </c>
      <c r="C105" s="402">
        <v>8314136</v>
      </c>
      <c r="D105" s="402">
        <v>13281694</v>
      </c>
      <c r="E105" s="402">
        <v>6858499</v>
      </c>
      <c r="F105" s="402">
        <v>2887751</v>
      </c>
      <c r="G105" s="402">
        <v>16453997</v>
      </c>
      <c r="H105" s="402">
        <v>44821489</v>
      </c>
    </row>
    <row r="106" spans="1:9" hidden="1" x14ac:dyDescent="0.2">
      <c r="A106" s="415" t="s">
        <v>891</v>
      </c>
      <c r="C106" s="402">
        <v>195439277.91999999</v>
      </c>
      <c r="D106" s="402">
        <v>303756615.23000002</v>
      </c>
      <c r="E106" s="402">
        <v>159535295.47</v>
      </c>
      <c r="F106" s="402">
        <v>67725318.300000012</v>
      </c>
      <c r="G106" s="402">
        <v>355252394.55000001</v>
      </c>
      <c r="H106" s="402">
        <v>959085823.71000004</v>
      </c>
    </row>
    <row r="107" spans="1:9" hidden="1" x14ac:dyDescent="0.2"/>
    <row r="108" spans="1:9" hidden="1" x14ac:dyDescent="0.2"/>
    <row r="109" spans="1:9" hidden="1" x14ac:dyDescent="0.2">
      <c r="C109" s="615"/>
      <c r="D109" s="615"/>
      <c r="E109" s="615"/>
      <c r="F109" s="615"/>
      <c r="G109" s="615"/>
      <c r="H109" s="1075"/>
    </row>
    <row r="110" spans="1:9" hidden="1" x14ac:dyDescent="0.2"/>
    <row r="113" spans="1:12" x14ac:dyDescent="0.2">
      <c r="C113" s="690"/>
      <c r="D113" s="690"/>
      <c r="E113" s="690"/>
      <c r="F113" s="690"/>
      <c r="G113" s="690"/>
      <c r="H113" s="690"/>
    </row>
    <row r="114" spans="1:12" s="1556" customFormat="1" x14ac:dyDescent="0.2">
      <c r="A114" s="1542" t="s">
        <v>885</v>
      </c>
      <c r="B114" s="1555" t="s">
        <v>56</v>
      </c>
      <c r="C114" s="1616" t="e">
        <f>'Gen. Energy Cost 220 (2)'!C104</f>
        <v>#REF!</v>
      </c>
      <c r="D114" s="1616" t="e">
        <f>'Gen. Energy Cost 220 (2)'!D104</f>
        <v>#REF!</v>
      </c>
      <c r="E114" s="1616" t="e">
        <f>'Gen. Energy Cost 220 (2)'!E104</f>
        <v>#REF!</v>
      </c>
      <c r="F114" s="1616" t="e">
        <f>'Gen. Energy Cost 220 (2)'!F104</f>
        <v>#REF!</v>
      </c>
      <c r="G114" s="1616" t="e">
        <f>'Gen. Energy Cost 220 (2)'!G104</f>
        <v>#REF!</v>
      </c>
      <c r="H114" s="1616" t="e">
        <f>'Gen. Energy Cost 220 (2)'!H104</f>
        <v>#REF!</v>
      </c>
      <c r="J114" s="1557"/>
      <c r="K114" s="1558"/>
      <c r="L114" s="1559"/>
    </row>
    <row r="115" spans="1:12" s="1556" customFormat="1" x14ac:dyDescent="0.2">
      <c r="A115" s="1542" t="s">
        <v>892</v>
      </c>
      <c r="B115" s="1555" t="s">
        <v>56</v>
      </c>
      <c r="C115" s="1617" t="e">
        <f>C114*'Loss %'!$C$8/100</f>
        <v>#REF!</v>
      </c>
      <c r="D115" s="1617" t="e">
        <f>D114*'Loss %'!$C$8/100</f>
        <v>#REF!</v>
      </c>
      <c r="E115" s="1617" t="e">
        <f>E114*'Loss %'!$C$8/100</f>
        <v>#REF!</v>
      </c>
      <c r="F115" s="1617" t="e">
        <f>F114*'Loss %'!$C$8/100</f>
        <v>#REF!</v>
      </c>
      <c r="G115" s="1617" t="e">
        <f>G114*'Loss %'!$C$8/100</f>
        <v>#REF!</v>
      </c>
      <c r="H115" s="1617" t="e">
        <f>H114*'Loss %'!$C$8/100</f>
        <v>#REF!</v>
      </c>
      <c r="J115" s="1557"/>
      <c r="K115" s="1558"/>
      <c r="L115" s="1559"/>
    </row>
    <row r="116" spans="1:12" s="1556" customFormat="1" x14ac:dyDescent="0.2">
      <c r="A116" s="1542" t="s">
        <v>893</v>
      </c>
      <c r="B116" s="1555" t="s">
        <v>56</v>
      </c>
      <c r="C116" s="1618">
        <f>'Gen. Energy Cost 220'!C106</f>
        <v>0.53479100000000002</v>
      </c>
      <c r="D116" s="1618">
        <f>'Gen. Energy Cost 220'!D106</f>
        <v>0.30712099999999998</v>
      </c>
      <c r="E116" s="1618">
        <f>'Gen. Energy Cost 220'!E106</f>
        <v>0.642069</v>
      </c>
      <c r="F116" s="1618">
        <f>'Gen. Energy Cost 220'!F106</f>
        <v>1.6733499999999999</v>
      </c>
      <c r="G116" s="1618">
        <f>'Gen. Energy Cost 220'!G106</f>
        <v>1.5084409999999999</v>
      </c>
      <c r="H116" s="1618">
        <f>'Gen. Energy Cost 220'!H106</f>
        <v>0.94209500000000002</v>
      </c>
      <c r="J116" s="1557"/>
      <c r="K116" s="1558"/>
      <c r="L116" s="1559"/>
    </row>
    <row r="117" spans="1:12" s="1556" customFormat="1" x14ac:dyDescent="0.2">
      <c r="A117" s="1542" t="s">
        <v>894</v>
      </c>
      <c r="B117" s="1555" t="s">
        <v>56</v>
      </c>
      <c r="C117" s="1619" t="e">
        <f t="shared" ref="C117:H117" si="7">C114-C116-C115</f>
        <v>#REF!</v>
      </c>
      <c r="D117" s="1620" t="e">
        <f t="shared" si="7"/>
        <v>#REF!</v>
      </c>
      <c r="E117" s="1620" t="e">
        <f t="shared" si="7"/>
        <v>#REF!</v>
      </c>
      <c r="F117" s="1620" t="e">
        <f t="shared" si="7"/>
        <v>#REF!</v>
      </c>
      <c r="G117" s="1620" t="e">
        <f t="shared" si="7"/>
        <v>#REF!</v>
      </c>
      <c r="H117" s="1620" t="e">
        <f t="shared" si="7"/>
        <v>#REF!</v>
      </c>
      <c r="J117" s="1557"/>
      <c r="K117" s="1558"/>
      <c r="L117" s="1559"/>
    </row>
    <row r="118" spans="1:12" s="1556" customFormat="1" x14ac:dyDescent="0.2">
      <c r="A118" s="1542" t="s">
        <v>895</v>
      </c>
      <c r="B118" s="1555" t="s">
        <v>56</v>
      </c>
      <c r="C118" s="1616" t="e">
        <f>'Gen. Energy Cost 220 &amp; 132kV'!C171</f>
        <v>#REF!</v>
      </c>
      <c r="D118" s="1616" t="e">
        <f>'Gen. Energy Cost 220 &amp; 132kV'!D171</f>
        <v>#REF!</v>
      </c>
      <c r="E118" s="1616" t="e">
        <f>'Gen. Energy Cost 220 &amp; 132kV'!E171</f>
        <v>#REF!</v>
      </c>
      <c r="F118" s="1616" t="e">
        <f>'Gen. Energy Cost 220 &amp; 132kV'!F171</f>
        <v>#REF!</v>
      </c>
      <c r="G118" s="1616" t="e">
        <f>'Gen. Energy Cost 220 &amp; 132kV'!G171</f>
        <v>#REF!</v>
      </c>
      <c r="H118" s="1616" t="e">
        <f>'Gen. Energy Cost 220 &amp; 132kV'!H171</f>
        <v>#REF!</v>
      </c>
      <c r="J118" s="1557"/>
      <c r="K118" s="1558"/>
      <c r="L118" s="1559"/>
    </row>
    <row r="119" spans="1:12" s="1561" customFormat="1" hidden="1" x14ac:dyDescent="0.2">
      <c r="A119" s="1545" t="s">
        <v>873</v>
      </c>
      <c r="B119" s="1560" t="s">
        <v>37</v>
      </c>
      <c r="C119" s="1621">
        <v>0</v>
      </c>
      <c r="D119" s="1621">
        <f>$C$119</f>
        <v>0</v>
      </c>
      <c r="E119" s="1621">
        <f>$C$119</f>
        <v>0</v>
      </c>
      <c r="F119" s="1621">
        <f>$C$119</f>
        <v>0</v>
      </c>
      <c r="G119" s="1621">
        <f>$C$119</f>
        <v>0</v>
      </c>
      <c r="H119" s="1621">
        <f>$C$119</f>
        <v>0</v>
      </c>
      <c r="J119" s="1562"/>
      <c r="K119" s="1563"/>
      <c r="L119" s="1564"/>
    </row>
    <row r="120" spans="1:12" s="1556" customFormat="1" hidden="1" x14ac:dyDescent="0.2">
      <c r="A120" s="1542" t="s">
        <v>873</v>
      </c>
      <c r="B120" s="1555" t="s">
        <v>56</v>
      </c>
      <c r="C120" s="1622" t="e">
        <f t="shared" ref="C120:H120" si="8">C118*C119</f>
        <v>#REF!</v>
      </c>
      <c r="D120" s="1622" t="e">
        <f t="shared" si="8"/>
        <v>#REF!</v>
      </c>
      <c r="E120" s="1622" t="e">
        <f t="shared" si="8"/>
        <v>#REF!</v>
      </c>
      <c r="F120" s="1622" t="e">
        <f t="shared" si="8"/>
        <v>#REF!</v>
      </c>
      <c r="G120" s="1622" t="e">
        <f t="shared" si="8"/>
        <v>#REF!</v>
      </c>
      <c r="H120" s="1622" t="e">
        <f t="shared" si="8"/>
        <v>#REF!</v>
      </c>
      <c r="J120" s="1557"/>
      <c r="K120" s="1558"/>
      <c r="L120" s="1559"/>
    </row>
    <row r="121" spans="1:12" s="1561" customFormat="1" x14ac:dyDescent="0.2">
      <c r="A121" s="1545" t="s">
        <v>896</v>
      </c>
      <c r="B121" s="1560" t="s">
        <v>56</v>
      </c>
      <c r="C121" s="1623" t="e">
        <f t="shared" ref="C121:H121" si="9">C117+C118-C120</f>
        <v>#REF!</v>
      </c>
      <c r="D121" s="1623" t="e">
        <f t="shared" si="9"/>
        <v>#REF!</v>
      </c>
      <c r="E121" s="1623" t="e">
        <f t="shared" si="9"/>
        <v>#REF!</v>
      </c>
      <c r="F121" s="1623" t="e">
        <f t="shared" si="9"/>
        <v>#REF!</v>
      </c>
      <c r="G121" s="1623" t="e">
        <f t="shared" si="9"/>
        <v>#REF!</v>
      </c>
      <c r="H121" s="1623" t="e">
        <f t="shared" si="9"/>
        <v>#REF!</v>
      </c>
      <c r="I121" s="1565"/>
      <c r="J121" s="1562"/>
      <c r="K121" s="1563"/>
      <c r="L121" s="1564"/>
    </row>
    <row r="122" spans="1:12" s="1556" customFormat="1" x14ac:dyDescent="0.2">
      <c r="A122" s="1542" t="s">
        <v>887</v>
      </c>
      <c r="B122" s="1555" t="s">
        <v>888</v>
      </c>
      <c r="C122" s="1616" t="e">
        <f>'Gen. Energy Cost 220 (2)'!C105</f>
        <v>#REF!</v>
      </c>
      <c r="D122" s="1616" t="e">
        <f>'Gen. Energy Cost 220 (2)'!D105</f>
        <v>#REF!</v>
      </c>
      <c r="E122" s="1616" t="e">
        <f>'Gen. Energy Cost 220 (2)'!E105</f>
        <v>#REF!</v>
      </c>
      <c r="F122" s="1616" t="e">
        <f>'Gen. Energy Cost 220 (2)'!F105</f>
        <v>#REF!</v>
      </c>
      <c r="G122" s="1616" t="e">
        <f>'Gen. Energy Cost 220 (2)'!G105</f>
        <v>#REF!</v>
      </c>
      <c r="H122" s="1616" t="e">
        <f>'Gen. Energy Cost 220 (2)'!H105</f>
        <v>#REF!</v>
      </c>
      <c r="J122" s="1557"/>
      <c r="K122" s="1558"/>
      <c r="L122" s="1559"/>
    </row>
    <row r="123" spans="1:12" s="1556" customFormat="1" x14ac:dyDescent="0.2">
      <c r="A123" s="1542" t="s">
        <v>897</v>
      </c>
      <c r="B123" s="1555" t="s">
        <v>888</v>
      </c>
      <c r="C123" s="1616" t="e">
        <f>'tx consumer data (2)'!B99/1000000</f>
        <v>#REF!</v>
      </c>
      <c r="D123" s="1616" t="e">
        <f>'tx consumer data (2)'!C99/1000000</f>
        <v>#REF!</v>
      </c>
      <c r="E123" s="1616" t="e">
        <f>'tx consumer data (2)'!D99/1000000</f>
        <v>#REF!</v>
      </c>
      <c r="F123" s="1616" t="e">
        <f>'tx consumer data (2)'!E99/1000000</f>
        <v>#REF!</v>
      </c>
      <c r="G123" s="1616" t="e">
        <f>'tx consumer data (2)'!F99/1000000</f>
        <v>#REF!</v>
      </c>
      <c r="H123" s="1616" t="e">
        <f>'tx consumer data (2)'!G99/1000000</f>
        <v>#REF!</v>
      </c>
      <c r="J123" s="1557"/>
      <c r="K123" s="1558"/>
      <c r="L123" s="1559"/>
    </row>
    <row r="124" spans="1:12" s="1556" customFormat="1" x14ac:dyDescent="0.2">
      <c r="A124" s="1542" t="s">
        <v>898</v>
      </c>
      <c r="B124" s="1555" t="s">
        <v>888</v>
      </c>
      <c r="C124" s="1616" t="e">
        <f>'Gen. Energy Cost 220 &amp; 132kV'!C179</f>
        <v>#REF!</v>
      </c>
      <c r="D124" s="1616" t="e">
        <f>'Gen. Energy Cost 220 &amp; 132kV'!D179</f>
        <v>#REF!</v>
      </c>
      <c r="E124" s="1616" t="e">
        <f>'Gen. Energy Cost 220 &amp; 132kV'!E179</f>
        <v>#REF!</v>
      </c>
      <c r="F124" s="1616" t="e">
        <f>'Gen. Energy Cost 220 &amp; 132kV'!F179</f>
        <v>#REF!</v>
      </c>
      <c r="G124" s="1616" t="e">
        <f>'Gen. Energy Cost 220 &amp; 132kV'!G179</f>
        <v>#REF!</v>
      </c>
      <c r="H124" s="1616" t="e">
        <f>'Gen. Energy Cost 220 &amp; 132kV'!H179</f>
        <v>#REF!</v>
      </c>
      <c r="J124" s="1557"/>
      <c r="K124" s="1558"/>
      <c r="L124" s="1559"/>
    </row>
    <row r="125" spans="1:12" s="1561" customFormat="1" x14ac:dyDescent="0.2">
      <c r="A125" s="1545" t="s">
        <v>899</v>
      </c>
      <c r="B125" s="1560" t="s">
        <v>888</v>
      </c>
      <c r="C125" s="1624" t="e">
        <f>C122-C123+C124</f>
        <v>#REF!</v>
      </c>
      <c r="D125" s="1624" t="e">
        <f>D122-D123+D124</f>
        <v>#REF!</v>
      </c>
      <c r="E125" s="1624" t="e">
        <f t="shared" ref="E125:H125" si="10">E122-E123+E124</f>
        <v>#REF!</v>
      </c>
      <c r="F125" s="1624" t="e">
        <f t="shared" si="10"/>
        <v>#REF!</v>
      </c>
      <c r="G125" s="1624" t="e">
        <f t="shared" si="10"/>
        <v>#REF!</v>
      </c>
      <c r="H125" s="1624" t="e">
        <f t="shared" si="10"/>
        <v>#REF!</v>
      </c>
      <c r="J125" s="1562"/>
      <c r="K125" s="1563"/>
      <c r="L125" s="1564"/>
    </row>
    <row r="126" spans="1:12" s="1" customFormat="1" x14ac:dyDescent="0.2">
      <c r="A126" s="1115" t="s">
        <v>889</v>
      </c>
      <c r="B126" s="518" t="s">
        <v>56</v>
      </c>
      <c r="C126" s="1625">
        <f>'tx consumer data'!B25</f>
        <v>2.2031360000000002</v>
      </c>
      <c r="D126" s="1625">
        <f>'tx consumer data'!C25</f>
        <v>2.152107</v>
      </c>
      <c r="E126" s="1625">
        <f>'tx consumer data'!D25</f>
        <v>1.589378</v>
      </c>
      <c r="F126" s="1625">
        <f>'tx consumer data'!E25</f>
        <v>0.22325800000000001</v>
      </c>
      <c r="G126" s="1625">
        <f>'tx consumer data'!F25</f>
        <v>0.45465800000000001</v>
      </c>
      <c r="H126" s="1625">
        <f>'tx consumer data'!G25</f>
        <v>1.918987</v>
      </c>
      <c r="L126" s="1566"/>
    </row>
    <row r="128" spans="1:12" x14ac:dyDescent="0.2">
      <c r="C128" t="e">
        <f>C125/C121</f>
        <v>#REF!</v>
      </c>
      <c r="D128" t="e">
        <f t="shared" ref="D128:H128" si="11">D125/D121</f>
        <v>#REF!</v>
      </c>
      <c r="E128" t="e">
        <f t="shared" si="11"/>
        <v>#REF!</v>
      </c>
      <c r="F128" t="e">
        <f t="shared" si="11"/>
        <v>#REF!</v>
      </c>
      <c r="G128" t="e">
        <f t="shared" si="11"/>
        <v>#REF!</v>
      </c>
      <c r="H128" t="e">
        <f t="shared" si="11"/>
        <v>#REF!</v>
      </c>
    </row>
    <row r="131" spans="3:3" x14ac:dyDescent="0.2">
      <c r="C131" s="165" t="e">
        <f>AVERAGE(C128:H128)</f>
        <v>#REF!</v>
      </c>
    </row>
  </sheetData>
  <dataConsolidate/>
  <mergeCells count="59">
    <mergeCell ref="A80:A81"/>
    <mergeCell ref="A68:A69"/>
    <mergeCell ref="A70:A71"/>
    <mergeCell ref="A72:A73"/>
    <mergeCell ref="A74:A75"/>
    <mergeCell ref="A76:A77"/>
    <mergeCell ref="A78:A79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32:A33"/>
    <mergeCell ref="A34:A35"/>
    <mergeCell ref="A36:A37"/>
    <mergeCell ref="A38:A39"/>
    <mergeCell ref="A40:A41"/>
    <mergeCell ref="A42:A43"/>
    <mergeCell ref="AV20:AW20"/>
    <mergeCell ref="A22:A23"/>
    <mergeCell ref="A24:A25"/>
    <mergeCell ref="A26:A27"/>
    <mergeCell ref="A28:A29"/>
    <mergeCell ref="A30:A31"/>
    <mergeCell ref="AJ20:AK20"/>
    <mergeCell ref="AL20:AM20"/>
    <mergeCell ref="AN20:AO20"/>
    <mergeCell ref="AP20:AQ20"/>
    <mergeCell ref="AR20:AS20"/>
    <mergeCell ref="AT20:AU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</mergeCells>
  <pageMargins left="0.75" right="0.26" top="1" bottom="1" header="0" footer="0"/>
  <pageSetup paperSize="9" scale="46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4498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34498" r:id="rId4" name="CommandButton2"/>
      </mc:Fallback>
    </mc:AlternateContent>
    <mc:AlternateContent xmlns:mc="http://schemas.openxmlformats.org/markup-compatibility/2006">
      <mc:Choice Requires="x14">
        <control shapeId="234497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34497" r:id="rId6" name="CommandButton1"/>
      </mc:Fallback>
    </mc:AlternateContent>
  </control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48">
    <tabColor theme="9"/>
    <pageSetUpPr fitToPage="1"/>
  </sheetPr>
  <dimension ref="A1:BR133"/>
  <sheetViews>
    <sheetView showGridLines="0" topLeftCell="AA1" workbookViewId="0">
      <selection activeCell="C168" sqref="C168:C170"/>
    </sheetView>
  </sheetViews>
  <sheetFormatPr defaultColWidth="11" defaultRowHeight="12.6" x14ac:dyDescent="0.2"/>
  <cols>
    <col min="1" max="1" width="39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</cols>
  <sheetData>
    <row r="1" spans="1:39" s="27" customFormat="1" ht="22.2" x14ac:dyDescent="0.35">
      <c r="A1" s="3" t="s">
        <v>174</v>
      </c>
      <c r="F1" s="943"/>
      <c r="G1" s="943"/>
    </row>
    <row r="2" spans="1:39" ht="22.2" x14ac:dyDescent="0.35">
      <c r="F2" s="943"/>
      <c r="G2" s="943"/>
    </row>
    <row r="4" spans="1:39" ht="13.2" thickBot="1" x14ac:dyDescent="0.25">
      <c r="A4" s="2929" t="s">
        <v>178</v>
      </c>
      <c r="B4" s="2929"/>
      <c r="C4" s="2929"/>
      <c r="D4" s="2929"/>
      <c r="E4" s="2929"/>
      <c r="F4" s="2929"/>
      <c r="G4" s="2929"/>
      <c r="H4" s="2929"/>
      <c r="J4" s="2931"/>
      <c r="K4" s="2931"/>
      <c r="L4" s="2931"/>
    </row>
    <row r="5" spans="1:39" ht="13.2" thickBot="1" x14ac:dyDescent="0.25">
      <c r="A5" s="26"/>
      <c r="B5" s="23" t="s">
        <v>36</v>
      </c>
      <c r="C5" s="425">
        <f>'Gen. Energy Cost 132'!C5</f>
        <v>46023</v>
      </c>
      <c r="D5" s="425">
        <f>'Gen. Energy Cost 132'!D5</f>
        <v>46054</v>
      </c>
      <c r="E5" s="425">
        <f>'Gen. Energy Cost 132'!E5</f>
        <v>46082</v>
      </c>
      <c r="F5" s="425">
        <f>'Gen. Energy Cost 132'!F5</f>
        <v>46113</v>
      </c>
      <c r="G5" s="425">
        <f>'Gen. Energy Cost 132'!G5</f>
        <v>46143</v>
      </c>
      <c r="H5" s="425">
        <f>'Gen. Energy Cost 132'!H5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8" t="e">
        <f t="shared" ref="C6:H6" si="0">C130/C126</f>
        <v>#REF!</v>
      </c>
      <c r="D6" s="388" t="e">
        <f t="shared" si="0"/>
        <v>#REF!</v>
      </c>
      <c r="E6" s="388" t="e">
        <f t="shared" si="0"/>
        <v>#REF!</v>
      </c>
      <c r="F6" s="388" t="e">
        <f t="shared" si="0"/>
        <v>#REF!</v>
      </c>
      <c r="G6" s="388" t="e">
        <f t="shared" si="0"/>
        <v>#REF!</v>
      </c>
      <c r="H6" s="388" t="e">
        <f t="shared" si="0"/>
        <v>#REF!</v>
      </c>
      <c r="I6" s="426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5" t="s">
        <v>607</v>
      </c>
      <c r="B8" s="2946"/>
      <c r="C8" s="2946"/>
      <c r="D8" s="2946"/>
      <c r="E8" s="2947"/>
      <c r="G8" s="2945" t="s">
        <v>608</v>
      </c>
      <c r="H8" s="2946"/>
      <c r="I8" s="2946"/>
      <c r="J8" s="2946"/>
      <c r="K8" s="2947"/>
      <c r="M8" s="2945" t="s">
        <v>609</v>
      </c>
      <c r="N8" s="2946"/>
      <c r="O8" s="2946"/>
      <c r="P8" s="2946"/>
      <c r="Q8" s="2947"/>
      <c r="S8" s="2945" t="s">
        <v>610</v>
      </c>
      <c r="T8" s="2946"/>
      <c r="U8" s="2946"/>
      <c r="V8" s="2946"/>
      <c r="W8" s="2947"/>
      <c r="Y8" s="2945" t="s">
        <v>611</v>
      </c>
      <c r="Z8" s="2946"/>
      <c r="AA8" s="2946"/>
      <c r="AB8" s="2946"/>
      <c r="AC8" s="2947"/>
      <c r="AE8" s="2945" t="s">
        <v>612</v>
      </c>
      <c r="AF8" s="2946"/>
      <c r="AG8" s="2946"/>
      <c r="AH8" s="2946"/>
      <c r="AI8" s="2947"/>
    </row>
    <row r="9" spans="1:39" ht="37.799999999999997" x14ac:dyDescent="0.2">
      <c r="A9" s="351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1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1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1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1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1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2" t="s">
        <v>20</v>
      </c>
      <c r="B10" s="581" t="e">
        <f>C126*0.568</f>
        <v>#REF!</v>
      </c>
      <c r="C10" s="1357">
        <v>1</v>
      </c>
      <c r="D10" s="1044">
        <f>C10*C17</f>
        <v>1.0140959334753066</v>
      </c>
      <c r="E10" s="1045" t="e">
        <f>$C$6*D10</f>
        <v>#REF!</v>
      </c>
      <c r="F10" s="322"/>
      <c r="G10" s="352" t="s">
        <v>20</v>
      </c>
      <c r="H10" s="581" t="e">
        <f>+D126*0.568</f>
        <v>#REF!</v>
      </c>
      <c r="I10" s="1357">
        <v>1</v>
      </c>
      <c r="J10" s="1044">
        <f>I10*I17</f>
        <v>1.0140959334753066</v>
      </c>
      <c r="K10" s="1045" t="e">
        <f>$D$6*J10</f>
        <v>#REF!</v>
      </c>
      <c r="M10" s="352" t="s">
        <v>20</v>
      </c>
      <c r="N10" s="581" t="e">
        <f>+E126*0.568</f>
        <v>#REF!</v>
      </c>
      <c r="O10" s="1357">
        <v>1</v>
      </c>
      <c r="P10" s="1044">
        <f>O10*O17</f>
        <v>1.0140959334753066</v>
      </c>
      <c r="Q10" s="1045" t="e">
        <f>$E$6*P10</f>
        <v>#REF!</v>
      </c>
      <c r="S10" s="352" t="s">
        <v>20</v>
      </c>
      <c r="T10" s="581" t="e">
        <f>+F126*0.568</f>
        <v>#REF!</v>
      </c>
      <c r="U10" s="1357">
        <v>1</v>
      </c>
      <c r="V10" s="1044">
        <f>U10*U17</f>
        <v>1.0140959334753066</v>
      </c>
      <c r="W10" s="1045" t="e">
        <f>$F$6*V10</f>
        <v>#REF!</v>
      </c>
      <c r="Y10" s="352" t="s">
        <v>20</v>
      </c>
      <c r="Z10" s="581" t="e">
        <f>+G126*0.568</f>
        <v>#REF!</v>
      </c>
      <c r="AA10" s="1357">
        <v>1</v>
      </c>
      <c r="AB10" s="1044">
        <f>AA10*AA17</f>
        <v>1.0140959334753068</v>
      </c>
      <c r="AC10" s="1045" t="e">
        <f>$G$6*AB10</f>
        <v>#REF!</v>
      </c>
      <c r="AE10" s="352" t="s">
        <v>20</v>
      </c>
      <c r="AF10" s="581" t="e">
        <f>+H126*0.568</f>
        <v>#REF!</v>
      </c>
      <c r="AG10" s="1357">
        <v>1</v>
      </c>
      <c r="AH10" s="1044">
        <f>AG10*AG17</f>
        <v>1.0140959334753066</v>
      </c>
      <c r="AI10" s="1045" t="e">
        <f>$H$6*AH10</f>
        <v>#REF!</v>
      </c>
      <c r="AK10" t="e">
        <f>AI10+AC10+W10+Q10+K10+E10</f>
        <v>#REF!</v>
      </c>
      <c r="AL10">
        <v>60.280410679013087</v>
      </c>
      <c r="AM10" t="e">
        <f>AL10-AK10</f>
        <v>#REF!</v>
      </c>
    </row>
    <row r="11" spans="1:39" x14ac:dyDescent="0.2">
      <c r="A11" s="352" t="s">
        <v>21</v>
      </c>
      <c r="B11" s="581" t="e">
        <f>+C126*0.227</f>
        <v>#REF!</v>
      </c>
      <c r="C11" s="1357">
        <v>1.3</v>
      </c>
      <c r="D11" s="1044">
        <f>C11*C17</f>
        <v>1.3183247135178986</v>
      </c>
      <c r="E11" s="1045" t="e">
        <f>$C$6*D11</f>
        <v>#REF!</v>
      </c>
      <c r="F11" s="322"/>
      <c r="G11" s="352" t="s">
        <v>21</v>
      </c>
      <c r="H11" s="581" t="e">
        <f>+D126*0.227</f>
        <v>#REF!</v>
      </c>
      <c r="I11" s="1357">
        <v>1.3</v>
      </c>
      <c r="J11" s="1044">
        <f>I11*I17</f>
        <v>1.3183247135178986</v>
      </c>
      <c r="K11" s="1045" t="e">
        <f>$D$6*J11</f>
        <v>#REF!</v>
      </c>
      <c r="M11" s="352" t="s">
        <v>21</v>
      </c>
      <c r="N11" s="581" t="e">
        <f>+E126*0.227</f>
        <v>#REF!</v>
      </c>
      <c r="O11" s="1357">
        <v>1.3</v>
      </c>
      <c r="P11" s="1044">
        <f>O11*O17</f>
        <v>1.3183247135178986</v>
      </c>
      <c r="Q11" s="1045" t="e">
        <f>$E$6*P11</f>
        <v>#REF!</v>
      </c>
      <c r="S11" s="352" t="s">
        <v>21</v>
      </c>
      <c r="T11" s="581" t="e">
        <f>+F126*0.227</f>
        <v>#REF!</v>
      </c>
      <c r="U11" s="1357">
        <v>1.3</v>
      </c>
      <c r="V11" s="1044">
        <f>U11*U17</f>
        <v>1.3183247135178986</v>
      </c>
      <c r="W11" s="1045" t="e">
        <f>$F$6*V11</f>
        <v>#REF!</v>
      </c>
      <c r="Y11" s="352" t="s">
        <v>21</v>
      </c>
      <c r="Z11" s="581" t="e">
        <f>+G126*0.227</f>
        <v>#REF!</v>
      </c>
      <c r="AA11" s="1357">
        <v>1.3</v>
      </c>
      <c r="AB11" s="1044">
        <f>AA11*AA17</f>
        <v>1.3183247135178988</v>
      </c>
      <c r="AC11" s="1045" t="e">
        <f>$G$6*AB11</f>
        <v>#REF!</v>
      </c>
      <c r="AE11" s="352" t="s">
        <v>21</v>
      </c>
      <c r="AF11" s="581" t="e">
        <f>+H126*0.227</f>
        <v>#REF!</v>
      </c>
      <c r="AG11" s="1357">
        <v>1.3</v>
      </c>
      <c r="AH11" s="1044">
        <f>AG11*AG17</f>
        <v>1.3183247135178986</v>
      </c>
      <c r="AI11" s="1045" t="e">
        <f>$H$6*AH11</f>
        <v>#REF!</v>
      </c>
      <c r="AK11" t="e">
        <f>AI11+AC11+W11+Q11+K11+E11</f>
        <v>#REF!</v>
      </c>
      <c r="AL11">
        <v>78.364533882717012</v>
      </c>
      <c r="AM11" t="e">
        <f>AL11-AK11</f>
        <v>#REF!</v>
      </c>
    </row>
    <row r="12" spans="1:39" ht="13.2" thickBot="1" x14ac:dyDescent="0.25">
      <c r="A12" s="353" t="s">
        <v>22</v>
      </c>
      <c r="B12" s="582" t="e">
        <f>+C126*0.205</f>
        <v>#REF!</v>
      </c>
      <c r="C12" s="1530">
        <v>0.6</v>
      </c>
      <c r="D12" s="1046">
        <f>C12*C17</f>
        <v>0.60845756008518392</v>
      </c>
      <c r="E12" s="1047" t="e">
        <f>$C$6*D12</f>
        <v>#REF!</v>
      </c>
      <c r="F12" s="322"/>
      <c r="G12" s="353" t="s">
        <v>22</v>
      </c>
      <c r="H12" s="582" t="e">
        <f>+D126*0.205</f>
        <v>#REF!</v>
      </c>
      <c r="I12" s="1530">
        <v>0.6</v>
      </c>
      <c r="J12" s="1046">
        <f>I12*I17</f>
        <v>0.60845756008518392</v>
      </c>
      <c r="K12" s="1047" t="e">
        <f>$D$6*J12</f>
        <v>#REF!</v>
      </c>
      <c r="M12" s="353" t="s">
        <v>22</v>
      </c>
      <c r="N12" s="582" t="e">
        <f>+E126*0.205</f>
        <v>#REF!</v>
      </c>
      <c r="O12" s="1530">
        <v>0.6</v>
      </c>
      <c r="P12" s="1046">
        <f>O12*O17</f>
        <v>0.60845756008518392</v>
      </c>
      <c r="Q12" s="1047" t="e">
        <f>$E$6*P12</f>
        <v>#REF!</v>
      </c>
      <c r="S12" s="353" t="s">
        <v>22</v>
      </c>
      <c r="T12" s="582" t="e">
        <f>+F126*0.205</f>
        <v>#REF!</v>
      </c>
      <c r="U12" s="1530">
        <v>0.6</v>
      </c>
      <c r="V12" s="1046">
        <f>U12*U17</f>
        <v>0.60845756008518392</v>
      </c>
      <c r="W12" s="1047" t="e">
        <f>$F$6*V12</f>
        <v>#REF!</v>
      </c>
      <c r="Y12" s="353" t="s">
        <v>22</v>
      </c>
      <c r="Z12" s="582" t="e">
        <f>+G126*0.205</f>
        <v>#REF!</v>
      </c>
      <c r="AA12" s="1530">
        <v>0.6</v>
      </c>
      <c r="AB12" s="1046">
        <f>AA12*AA17</f>
        <v>0.60845756008518403</v>
      </c>
      <c r="AC12" s="1047" t="e">
        <f>$G$6*AB12</f>
        <v>#REF!</v>
      </c>
      <c r="AE12" s="353" t="s">
        <v>22</v>
      </c>
      <c r="AF12" s="582" t="e">
        <f>+H126*0.205</f>
        <v>#REF!</v>
      </c>
      <c r="AG12" s="1530">
        <v>0.6</v>
      </c>
      <c r="AH12" s="1046">
        <f>AG12*AG17</f>
        <v>0.60845756008518392</v>
      </c>
      <c r="AI12" s="1047" t="e">
        <f>$H$6*AH12</f>
        <v>#REF!</v>
      </c>
      <c r="AK12" t="e">
        <f>AI12+AC12+W12+Q12+K12+E12</f>
        <v>#REF!</v>
      </c>
      <c r="AL12">
        <v>36.16824640740785</v>
      </c>
      <c r="AM12" t="e">
        <f>AL12-AK12</f>
        <v>#REF!</v>
      </c>
    </row>
    <row r="13" spans="1:39" ht="13.2" thickBot="1" x14ac:dyDescent="0.25">
      <c r="A13" s="99"/>
      <c r="B13" s="399"/>
      <c r="C13" s="85"/>
      <c r="E13" s="100"/>
      <c r="F13" s="402"/>
      <c r="G13" s="99"/>
      <c r="H13" s="399"/>
      <c r="I13" s="85"/>
      <c r="K13" s="100"/>
      <c r="M13" s="99"/>
      <c r="N13" s="399"/>
      <c r="O13" s="85"/>
      <c r="Q13" s="100"/>
      <c r="S13" s="99"/>
      <c r="T13" s="399"/>
      <c r="U13" s="85"/>
      <c r="W13" s="100"/>
      <c r="Y13" s="99"/>
      <c r="Z13" s="399"/>
      <c r="AA13" s="85"/>
      <c r="AC13" s="100"/>
      <c r="AE13" s="99"/>
      <c r="AF13" s="399"/>
      <c r="AG13" s="85"/>
      <c r="AI13" s="100"/>
    </row>
    <row r="14" spans="1:39" x14ac:dyDescent="0.2">
      <c r="A14" s="531" t="s">
        <v>179</v>
      </c>
      <c r="B14" s="532" t="s">
        <v>60</v>
      </c>
      <c r="C14" s="533" t="e">
        <f>C6*SUM(B10:B12)</f>
        <v>#REF!</v>
      </c>
      <c r="E14" s="100"/>
      <c r="F14" s="402"/>
      <c r="G14" s="531" t="s">
        <v>179</v>
      </c>
      <c r="H14" s="532" t="s">
        <v>60</v>
      </c>
      <c r="I14" s="533" t="e">
        <f>D6*SUM(H10:H12)</f>
        <v>#REF!</v>
      </c>
      <c r="K14" s="100"/>
      <c r="M14" s="531" t="s">
        <v>179</v>
      </c>
      <c r="N14" s="532" t="s">
        <v>60</v>
      </c>
      <c r="O14" s="533" t="e">
        <f>E6*SUM(N10:N12)</f>
        <v>#REF!</v>
      </c>
      <c r="Q14" s="100"/>
      <c r="S14" s="531" t="s">
        <v>179</v>
      </c>
      <c r="T14" s="532" t="s">
        <v>60</v>
      </c>
      <c r="U14" s="533" t="e">
        <f>F6*SUM(T10:T12)</f>
        <v>#REF!</v>
      </c>
      <c r="W14" s="100"/>
      <c r="Y14" s="531" t="s">
        <v>179</v>
      </c>
      <c r="Z14" s="532" t="s">
        <v>60</v>
      </c>
      <c r="AA14" s="533" t="e">
        <f>G6*SUM(Z10:Z12)</f>
        <v>#REF!</v>
      </c>
      <c r="AC14" s="100"/>
      <c r="AE14" s="531" t="s">
        <v>179</v>
      </c>
      <c r="AF14" s="532" t="s">
        <v>60</v>
      </c>
      <c r="AG14" s="533" t="e">
        <f>H6*SUM(AF10:AF12)</f>
        <v>#REF!</v>
      </c>
      <c r="AI14" s="100"/>
    </row>
    <row r="15" spans="1:39" x14ac:dyDescent="0.2">
      <c r="A15" s="534" t="s">
        <v>180</v>
      </c>
      <c r="B15" s="85" t="s">
        <v>60</v>
      </c>
      <c r="C15" s="535" t="e">
        <f>SUMPRODUCT(B10:B12,E10:E12)</f>
        <v>#REF!</v>
      </c>
      <c r="E15" s="100"/>
      <c r="G15" s="534" t="s">
        <v>180</v>
      </c>
      <c r="H15" s="85" t="s">
        <v>60</v>
      </c>
      <c r="I15" s="535" t="e">
        <f>SUMPRODUCT(H10:H12,K10:K12)</f>
        <v>#REF!</v>
      </c>
      <c r="K15" s="100"/>
      <c r="M15" s="534" t="s">
        <v>180</v>
      </c>
      <c r="N15" s="85" t="s">
        <v>60</v>
      </c>
      <c r="O15" s="535" t="e">
        <f>SUMPRODUCT(N10:N12,Q10:Q12)</f>
        <v>#REF!</v>
      </c>
      <c r="Q15" s="100"/>
      <c r="S15" s="534" t="s">
        <v>180</v>
      </c>
      <c r="T15" s="85" t="s">
        <v>60</v>
      </c>
      <c r="U15" s="535" t="e">
        <f>SUMPRODUCT(T10:T12,W10:W12)</f>
        <v>#REF!</v>
      </c>
      <c r="W15" s="100"/>
      <c r="Y15" s="534" t="s">
        <v>180</v>
      </c>
      <c r="Z15" s="85" t="s">
        <v>60</v>
      </c>
      <c r="AA15" s="535" t="e">
        <f>SUMPRODUCT(Z10:Z12,AC10:AC12)</f>
        <v>#REF!</v>
      </c>
      <c r="AC15" s="100"/>
      <c r="AE15" s="534" t="s">
        <v>180</v>
      </c>
      <c r="AF15" s="85" t="s">
        <v>60</v>
      </c>
      <c r="AG15" s="535" t="e">
        <f>SUMPRODUCT(AF10:AF12,AI10:AI12)</f>
        <v>#REF!</v>
      </c>
      <c r="AI15" s="100"/>
    </row>
    <row r="16" spans="1:39" x14ac:dyDescent="0.2">
      <c r="A16" s="534" t="s">
        <v>184</v>
      </c>
      <c r="B16" s="85" t="s">
        <v>60</v>
      </c>
      <c r="C16" s="535" t="e">
        <f>C14-C15</f>
        <v>#REF!</v>
      </c>
      <c r="E16" s="100"/>
      <c r="G16" s="534" t="s">
        <v>184</v>
      </c>
      <c r="H16" s="85" t="s">
        <v>60</v>
      </c>
      <c r="I16" s="535" t="e">
        <f>I14-I15</f>
        <v>#REF!</v>
      </c>
      <c r="K16" s="100"/>
      <c r="M16" s="534" t="s">
        <v>184</v>
      </c>
      <c r="N16" s="85" t="s">
        <v>60</v>
      </c>
      <c r="O16" s="535" t="e">
        <f>O14-O15</f>
        <v>#REF!</v>
      </c>
      <c r="Q16" s="100"/>
      <c r="S16" s="534" t="s">
        <v>184</v>
      </c>
      <c r="T16" s="85" t="s">
        <v>60</v>
      </c>
      <c r="U16" s="535" t="e">
        <f>U14-U15</f>
        <v>#REF!</v>
      </c>
      <c r="W16" s="100"/>
      <c r="Y16" s="534" t="s">
        <v>184</v>
      </c>
      <c r="Z16" s="85" t="s">
        <v>60</v>
      </c>
      <c r="AA16" s="535" t="e">
        <f>AA14-AA15</f>
        <v>#REF!</v>
      </c>
      <c r="AC16" s="100"/>
      <c r="AE16" s="534" t="s">
        <v>184</v>
      </c>
      <c r="AF16" s="85" t="s">
        <v>60</v>
      </c>
      <c r="AG16" s="535" t="e">
        <f>AG14-AG15</f>
        <v>#REF!</v>
      </c>
      <c r="AI16" s="100"/>
    </row>
    <row r="17" spans="1:52" ht="13.2" thickBot="1" x14ac:dyDescent="0.25">
      <c r="A17" s="536" t="s">
        <v>187</v>
      </c>
      <c r="B17" s="537" t="s">
        <v>188</v>
      </c>
      <c r="C17" s="538">
        <v>1.0140959334753066</v>
      </c>
      <c r="D17" s="101"/>
      <c r="E17" s="102"/>
      <c r="G17" s="536" t="s">
        <v>187</v>
      </c>
      <c r="H17" s="537" t="s">
        <v>188</v>
      </c>
      <c r="I17" s="538">
        <v>1.0140959334753066</v>
      </c>
      <c r="J17" s="101"/>
      <c r="K17" s="102"/>
      <c r="M17" s="536" t="s">
        <v>187</v>
      </c>
      <c r="N17" s="537" t="s">
        <v>188</v>
      </c>
      <c r="O17" s="538">
        <v>1.0140959334753066</v>
      </c>
      <c r="P17" s="101"/>
      <c r="Q17" s="102"/>
      <c r="S17" s="536" t="s">
        <v>187</v>
      </c>
      <c r="T17" s="537" t="s">
        <v>188</v>
      </c>
      <c r="U17" s="538">
        <v>1.0140959334753066</v>
      </c>
      <c r="V17" s="101"/>
      <c r="W17" s="102"/>
      <c r="Y17" s="536" t="s">
        <v>187</v>
      </c>
      <c r="Z17" s="537" t="s">
        <v>188</v>
      </c>
      <c r="AA17" s="538">
        <v>1.0140959334753068</v>
      </c>
      <c r="AB17" s="101"/>
      <c r="AC17" s="102"/>
      <c r="AE17" s="536" t="s">
        <v>187</v>
      </c>
      <c r="AF17" s="537" t="s">
        <v>188</v>
      </c>
      <c r="AG17" s="538">
        <v>1.0140959334753066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thickBot="1" x14ac:dyDescent="0.25">
      <c r="A20" s="2929" t="s">
        <v>176</v>
      </c>
      <c r="B20" s="2930"/>
      <c r="C20" s="2930"/>
      <c r="D20" s="2930"/>
      <c r="E20" s="2930"/>
      <c r="F20" s="2930"/>
      <c r="G20" s="2930"/>
      <c r="H20" s="2930"/>
      <c r="I20" s="4"/>
      <c r="J20" s="2931"/>
      <c r="K20" s="2931"/>
      <c r="L20" s="2931"/>
      <c r="M20" s="2931"/>
      <c r="N20" s="2931"/>
      <c r="O20" s="2931"/>
      <c r="P20" s="2931"/>
      <c r="Q20" s="2931"/>
      <c r="R20" s="2931"/>
      <c r="S20" s="2931"/>
      <c r="T20" s="2931"/>
      <c r="U20" s="2931"/>
      <c r="V20" s="2931"/>
      <c r="W20" s="2931"/>
      <c r="X20" s="2931"/>
      <c r="Y20" s="2931"/>
      <c r="Z20" s="2931"/>
      <c r="AA20" s="2931"/>
      <c r="AB20" s="2931"/>
      <c r="AC20" s="2931"/>
      <c r="AD20" s="2931"/>
      <c r="AE20" s="2931"/>
      <c r="AF20" s="2931"/>
      <c r="AG20" s="2931"/>
      <c r="AH20" s="2931"/>
      <c r="AI20" s="2931"/>
      <c r="AJ20" s="2931"/>
      <c r="AK20" s="2931"/>
      <c r="AL20" s="2931"/>
      <c r="AM20" s="2931"/>
      <c r="AN20" s="2931"/>
      <c r="AO20" s="2931"/>
      <c r="AP20" s="2931"/>
      <c r="AQ20" s="2931"/>
      <c r="AR20" s="2931"/>
      <c r="AS20" s="2931"/>
      <c r="AT20" s="2931"/>
      <c r="AU20" s="2931"/>
      <c r="AV20" s="2931"/>
      <c r="AW20" s="2931"/>
      <c r="AX20" s="4"/>
    </row>
    <row r="21" spans="1:52" ht="13.2" thickBot="1" x14ac:dyDescent="0.25">
      <c r="A21" s="1250" t="s">
        <v>61</v>
      </c>
      <c r="B21" s="23" t="s">
        <v>36</v>
      </c>
      <c r="C21" s="425">
        <f t="shared" ref="C21:H21" si="1">C5</f>
        <v>46023</v>
      </c>
      <c r="D21" s="425">
        <f t="shared" si="1"/>
        <v>46054</v>
      </c>
      <c r="E21" s="425">
        <f t="shared" si="1"/>
        <v>46082</v>
      </c>
      <c r="F21" s="425">
        <f t="shared" si="1"/>
        <v>46113</v>
      </c>
      <c r="G21" s="425">
        <f t="shared" si="1"/>
        <v>46143</v>
      </c>
      <c r="H21" s="425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x14ac:dyDescent="0.3">
      <c r="A22" s="2936" t="s">
        <v>962</v>
      </c>
      <c r="B22" s="418" t="s">
        <v>56</v>
      </c>
      <c r="C22" s="1532">
        <f>'hydro en &amp; capcost voltage wise'!E13</f>
        <v>0</v>
      </c>
      <c r="D22" s="1532">
        <f>'hydro en &amp; capcost voltage wise'!F13</f>
        <v>0</v>
      </c>
      <c r="E22" s="1532">
        <f>'hydro en &amp; capcost voltage wise'!G13</f>
        <v>0</v>
      </c>
      <c r="F22" s="1532">
        <f>'hydro en &amp; capcost voltage wise'!H13</f>
        <v>1.7235144129577298</v>
      </c>
      <c r="G22" s="1532">
        <f>'hydro en &amp; capcost voltage wise'!I13</f>
        <v>2.9888682004501321</v>
      </c>
      <c r="H22" s="1532">
        <f>'hydro en &amp; capcost voltage wise'!J13</f>
        <v>3.6232251155798552</v>
      </c>
      <c r="I22" s="780" t="s">
        <v>595</v>
      </c>
      <c r="J22" s="615">
        <v>301.23</v>
      </c>
      <c r="K22" s="165"/>
      <c r="L22" s="165"/>
      <c r="M22" s="165"/>
    </row>
    <row r="23" spans="1:52" x14ac:dyDescent="0.2">
      <c r="A23" s="2942"/>
      <c r="B23" s="489" t="s">
        <v>88</v>
      </c>
      <c r="C23" s="777"/>
      <c r="D23" s="778"/>
      <c r="E23" s="778"/>
      <c r="F23" s="778"/>
      <c r="G23" s="778"/>
      <c r="H23" s="778"/>
    </row>
    <row r="24" spans="1:52" hidden="1" x14ac:dyDescent="0.2">
      <c r="A24" s="2936" t="s">
        <v>58</v>
      </c>
      <c r="B24" s="418" t="s">
        <v>56</v>
      </c>
      <c r="C24" s="779"/>
      <c r="D24" s="779"/>
      <c r="E24" s="779"/>
      <c r="F24" s="779"/>
      <c r="G24" s="779"/>
      <c r="H24" s="779"/>
      <c r="I24" s="165"/>
    </row>
    <row r="25" spans="1:52" hidden="1" x14ac:dyDescent="0.2">
      <c r="A25" s="2942"/>
      <c r="B25" s="489" t="s">
        <v>88</v>
      </c>
      <c r="C25" s="778"/>
      <c r="D25" s="778"/>
      <c r="E25" s="778"/>
      <c r="F25" s="778"/>
      <c r="G25" s="778"/>
      <c r="H25" s="778"/>
    </row>
    <row r="26" spans="1:52" hidden="1" x14ac:dyDescent="0.2">
      <c r="A26" s="2936" t="s">
        <v>65</v>
      </c>
      <c r="B26" s="418" t="s">
        <v>56</v>
      </c>
      <c r="C26" s="779"/>
      <c r="D26" s="779"/>
      <c r="E26" s="779"/>
      <c r="F26" s="779"/>
      <c r="G26" s="779"/>
      <c r="H26" s="779"/>
      <c r="I26" s="165"/>
    </row>
    <row r="27" spans="1:52" hidden="1" x14ac:dyDescent="0.2">
      <c r="A27" s="2942"/>
      <c r="B27" s="489" t="s">
        <v>88</v>
      </c>
      <c r="C27" s="778"/>
      <c r="D27" s="778"/>
      <c r="E27" s="778"/>
      <c r="F27" s="778"/>
      <c r="G27" s="778"/>
      <c r="H27" s="778"/>
    </row>
    <row r="28" spans="1:52" hidden="1" x14ac:dyDescent="0.2">
      <c r="A28" s="2936" t="s">
        <v>0</v>
      </c>
      <c r="B28" s="418" t="s">
        <v>56</v>
      </c>
      <c r="C28" s="1040"/>
      <c r="D28" s="1040"/>
      <c r="E28" s="1040"/>
      <c r="F28" s="1040"/>
      <c r="G28" s="1040"/>
      <c r="H28" s="1040"/>
      <c r="I28" s="165"/>
      <c r="J28" s="615"/>
    </row>
    <row r="29" spans="1:52" hidden="1" x14ac:dyDescent="0.2">
      <c r="A29" s="2942"/>
      <c r="B29" s="489" t="s">
        <v>88</v>
      </c>
      <c r="C29" s="658"/>
      <c r="D29" s="658"/>
      <c r="E29" s="658"/>
      <c r="F29" s="658"/>
      <c r="G29" s="658"/>
      <c r="H29" s="658"/>
    </row>
    <row r="30" spans="1:52" hidden="1" x14ac:dyDescent="0.2">
      <c r="A30" s="2936" t="s">
        <v>1</v>
      </c>
      <c r="B30" s="12" t="s">
        <v>56</v>
      </c>
      <c r="C30" s="1036"/>
      <c r="D30" s="1036"/>
      <c r="E30" s="1036"/>
      <c r="F30" s="1036"/>
      <c r="G30" s="1036"/>
      <c r="H30" s="1036"/>
      <c r="I30" s="165"/>
      <c r="J30" s="615"/>
    </row>
    <row r="31" spans="1:52" hidden="1" x14ac:dyDescent="0.2">
      <c r="A31" s="2937"/>
      <c r="B31" s="83" t="s">
        <v>88</v>
      </c>
      <c r="C31" s="311"/>
      <c r="D31" s="311"/>
      <c r="E31" s="311"/>
      <c r="F31" s="311"/>
      <c r="G31" s="311"/>
      <c r="H31" s="311"/>
      <c r="K31" s="184"/>
    </row>
    <row r="32" spans="1:52" hidden="1" x14ac:dyDescent="0.2">
      <c r="A32" s="2936" t="s">
        <v>2</v>
      </c>
      <c r="B32" s="12" t="s">
        <v>56</v>
      </c>
      <c r="C32" s="1037"/>
      <c r="D32" s="1037"/>
      <c r="E32" s="1037"/>
      <c r="F32" s="1037"/>
      <c r="G32" s="1037"/>
      <c r="H32" s="1037"/>
      <c r="I32" s="165"/>
      <c r="J32" s="615"/>
    </row>
    <row r="33" spans="1:11" hidden="1" x14ac:dyDescent="0.2">
      <c r="A33" s="2937"/>
      <c r="B33" s="83" t="s">
        <v>88</v>
      </c>
      <c r="C33" s="311"/>
      <c r="D33" s="311"/>
      <c r="E33" s="311"/>
      <c r="F33" s="311"/>
      <c r="G33" s="311"/>
      <c r="H33" s="311"/>
    </row>
    <row r="34" spans="1:11" hidden="1" x14ac:dyDescent="0.2">
      <c r="A34" s="3082" t="s">
        <v>3</v>
      </c>
      <c r="B34" s="571" t="s">
        <v>56</v>
      </c>
      <c r="C34" s="574"/>
      <c r="D34" s="574"/>
      <c r="E34" s="574"/>
      <c r="F34" s="574"/>
      <c r="G34" s="574"/>
      <c r="H34" s="574"/>
      <c r="I34" s="165"/>
    </row>
    <row r="35" spans="1:11" hidden="1" x14ac:dyDescent="0.2">
      <c r="A35" s="3083"/>
      <c r="B35" s="575" t="s">
        <v>88</v>
      </c>
      <c r="C35" s="576"/>
      <c r="D35" s="576"/>
      <c r="E35" s="576"/>
      <c r="F35" s="576"/>
      <c r="G35" s="576"/>
      <c r="H35" s="576"/>
    </row>
    <row r="36" spans="1:11" hidden="1" x14ac:dyDescent="0.2">
      <c r="A36" s="3082" t="s">
        <v>4</v>
      </c>
      <c r="B36" s="571" t="s">
        <v>56</v>
      </c>
      <c r="C36" s="1533"/>
      <c r="D36" s="1533"/>
      <c r="E36" s="1533"/>
      <c r="F36" s="1533"/>
      <c r="G36" s="1533"/>
      <c r="H36" s="1533"/>
      <c r="I36" s="165"/>
      <c r="J36" s="615"/>
    </row>
    <row r="37" spans="1:11" hidden="1" x14ac:dyDescent="0.2">
      <c r="A37" s="3087"/>
      <c r="B37" s="575" t="s">
        <v>88</v>
      </c>
      <c r="C37" s="576"/>
      <c r="D37" s="576"/>
      <c r="E37" s="1534"/>
      <c r="F37" s="576"/>
      <c r="G37" s="576"/>
      <c r="H37" s="576"/>
    </row>
    <row r="38" spans="1:11" hidden="1" x14ac:dyDescent="0.2">
      <c r="A38" s="2936" t="s">
        <v>5</v>
      </c>
      <c r="B38" s="12" t="s">
        <v>56</v>
      </c>
      <c r="C38" s="1037"/>
      <c r="D38" s="1037"/>
      <c r="E38" s="1037"/>
      <c r="F38" s="1037"/>
      <c r="G38" s="1037"/>
      <c r="H38" s="1037"/>
      <c r="I38" s="165"/>
      <c r="J38" s="615"/>
      <c r="K38" s="184"/>
    </row>
    <row r="39" spans="1:11" hidden="1" x14ac:dyDescent="0.2">
      <c r="A39" s="2937"/>
      <c r="B39" s="83" t="s">
        <v>88</v>
      </c>
      <c r="C39" s="311"/>
      <c r="D39" s="311"/>
      <c r="E39" s="311"/>
      <c r="F39" s="311"/>
      <c r="G39" s="1325"/>
      <c r="H39" s="1325"/>
    </row>
    <row r="40" spans="1:11" hidden="1" x14ac:dyDescent="0.2">
      <c r="A40" s="2936" t="s">
        <v>803</v>
      </c>
      <c r="B40" s="12" t="s">
        <v>56</v>
      </c>
      <c r="C40" s="1037"/>
      <c r="D40" s="1037"/>
      <c r="E40" s="1037"/>
      <c r="F40" s="1037"/>
      <c r="G40" s="1037"/>
      <c r="H40" s="1037"/>
      <c r="I40" s="165"/>
      <c r="J40" s="615"/>
      <c r="K40" s="184"/>
    </row>
    <row r="41" spans="1:11" hidden="1" x14ac:dyDescent="0.2">
      <c r="A41" s="2937"/>
      <c r="B41" s="83" t="s">
        <v>88</v>
      </c>
      <c r="C41" s="311"/>
      <c r="D41" s="311"/>
      <c r="E41" s="311"/>
      <c r="F41" s="311"/>
      <c r="G41" s="311"/>
      <c r="H41" s="311"/>
    </row>
    <row r="42" spans="1:11" hidden="1" x14ac:dyDescent="0.2">
      <c r="A42" s="3082" t="s">
        <v>7</v>
      </c>
      <c r="B42" s="571" t="s">
        <v>56</v>
      </c>
      <c r="C42" s="574"/>
      <c r="D42" s="574"/>
      <c r="E42" s="574"/>
      <c r="F42" s="574"/>
      <c r="G42" s="574"/>
      <c r="H42" s="574"/>
      <c r="I42" s="165"/>
    </row>
    <row r="43" spans="1:11" hidden="1" x14ac:dyDescent="0.2">
      <c r="A43" s="3083"/>
      <c r="B43" s="575" t="s">
        <v>88</v>
      </c>
      <c r="C43" s="576"/>
      <c r="D43" s="576"/>
      <c r="E43" s="576"/>
      <c r="F43" s="576"/>
      <c r="G43" s="576"/>
      <c r="H43" s="576"/>
    </row>
    <row r="44" spans="1:11" hidden="1" x14ac:dyDescent="0.2">
      <c r="A44" s="3082" t="s">
        <v>8</v>
      </c>
      <c r="B44" s="571" t="s">
        <v>56</v>
      </c>
      <c r="C44" s="574"/>
      <c r="D44" s="574"/>
      <c r="E44" s="574"/>
      <c r="F44" s="574"/>
      <c r="G44" s="574"/>
      <c r="H44" s="574"/>
      <c r="I44" s="165"/>
    </row>
    <row r="45" spans="1:11" hidden="1" x14ac:dyDescent="0.2">
      <c r="A45" s="3083"/>
      <c r="B45" s="575" t="s">
        <v>88</v>
      </c>
      <c r="C45" s="576"/>
      <c r="D45" s="576"/>
      <c r="E45" s="576"/>
      <c r="F45" s="576"/>
      <c r="G45" s="576"/>
      <c r="H45" s="576"/>
    </row>
    <row r="46" spans="1:11" x14ac:dyDescent="0.2">
      <c r="A46" s="2936" t="s">
        <v>9</v>
      </c>
      <c r="B46" s="12" t="s">
        <v>56</v>
      </c>
      <c r="C46" s="1037" t="e">
        <f>'Gen. Energy Cost'!#REF!</f>
        <v>#REF!</v>
      </c>
      <c r="D46" s="1037" t="e">
        <f>'Gen. Energy Cost'!#REF!</f>
        <v>#REF!</v>
      </c>
      <c r="E46" s="1037" t="e">
        <f>'Gen. Energy Cost'!#REF!</f>
        <v>#REF!</v>
      </c>
      <c r="F46" s="1037" t="e">
        <f>'Gen. Energy Cost'!#REF!</f>
        <v>#REF!</v>
      </c>
      <c r="G46" s="1037" t="e">
        <f>'Gen. Energy Cost'!#REF!</f>
        <v>#REF!</v>
      </c>
      <c r="H46" s="1037" t="e">
        <f>'Gen. Energy Cost'!#REF!</f>
        <v>#REF!</v>
      </c>
      <c r="I46" s="165"/>
      <c r="J46" s="615"/>
    </row>
    <row r="47" spans="1:11" x14ac:dyDescent="0.2">
      <c r="A47" s="2937"/>
      <c r="B47" s="83" t="s">
        <v>88</v>
      </c>
      <c r="C47" s="311" t="e">
        <f>'Gen. Energy Cost'!#REF!</f>
        <v>#REF!</v>
      </c>
      <c r="D47" s="311" t="e">
        <f>'Gen. Energy Cost'!#REF!</f>
        <v>#REF!</v>
      </c>
      <c r="E47" s="311" t="e">
        <f>'Gen. Energy Cost'!#REF!</f>
        <v>#REF!</v>
      </c>
      <c r="F47" s="311" t="e">
        <f>'Gen. Energy Cost'!#REF!</f>
        <v>#REF!</v>
      </c>
      <c r="G47" s="311" t="e">
        <f>'Gen. Energy Cost'!#REF!</f>
        <v>#REF!</v>
      </c>
      <c r="H47" s="311" t="e">
        <f>'Gen. Energy Cost'!#REF!</f>
        <v>#REF!</v>
      </c>
    </row>
    <row r="48" spans="1:11" s="257" customFormat="1" hidden="1" x14ac:dyDescent="0.2">
      <c r="A48" s="3082" t="s">
        <v>10</v>
      </c>
      <c r="B48" s="571" t="s">
        <v>56</v>
      </c>
      <c r="C48" s="574"/>
      <c r="D48" s="574"/>
      <c r="E48" s="574"/>
      <c r="F48" s="574"/>
      <c r="G48" s="574"/>
      <c r="H48" s="574"/>
      <c r="I48" s="1535"/>
    </row>
    <row r="49" spans="1:11" s="257" customFormat="1" hidden="1" x14ac:dyDescent="0.2">
      <c r="A49" s="3083"/>
      <c r="B49" s="575" t="s">
        <v>88</v>
      </c>
      <c r="C49" s="576"/>
      <c r="D49" s="576"/>
      <c r="E49" s="576"/>
      <c r="F49" s="576"/>
      <c r="G49" s="576"/>
      <c r="H49" s="576"/>
    </row>
    <row r="50" spans="1:11" hidden="1" x14ac:dyDescent="0.2">
      <c r="A50" s="3085" t="s">
        <v>11</v>
      </c>
      <c r="B50" s="12" t="s">
        <v>56</v>
      </c>
      <c r="C50" s="1536"/>
      <c r="D50" s="1536"/>
      <c r="E50" s="1536"/>
      <c r="F50" s="1536"/>
      <c r="G50" s="1536"/>
      <c r="H50" s="1536"/>
      <c r="I50" s="165"/>
    </row>
    <row r="51" spans="1:11" hidden="1" x14ac:dyDescent="0.2">
      <c r="A51" s="3086"/>
      <c r="B51" s="83" t="s">
        <v>88</v>
      </c>
      <c r="C51" s="1537"/>
      <c r="D51" s="1537"/>
      <c r="E51" s="1537"/>
      <c r="F51" s="1537"/>
      <c r="G51" s="1537"/>
      <c r="H51" s="1537"/>
    </row>
    <row r="52" spans="1:11" hidden="1" x14ac:dyDescent="0.2">
      <c r="A52" s="3082" t="s">
        <v>12</v>
      </c>
      <c r="B52" s="571" t="s">
        <v>56</v>
      </c>
      <c r="C52" s="572"/>
      <c r="D52" s="572"/>
      <c r="E52" s="572"/>
      <c r="F52" s="572"/>
      <c r="G52" s="572"/>
      <c r="H52" s="572"/>
      <c r="I52" s="165"/>
    </row>
    <row r="53" spans="1:11" hidden="1" x14ac:dyDescent="0.2">
      <c r="A53" s="3083"/>
      <c r="B53" s="575" t="s">
        <v>88</v>
      </c>
      <c r="C53" s="573"/>
      <c r="D53" s="573"/>
      <c r="E53" s="573"/>
      <c r="F53" s="573"/>
      <c r="G53" s="572"/>
      <c r="H53" s="573"/>
    </row>
    <row r="54" spans="1:11" hidden="1" x14ac:dyDescent="0.2">
      <c r="A54" s="2936" t="s">
        <v>643</v>
      </c>
      <c r="B54" s="12" t="s">
        <v>56</v>
      </c>
      <c r="C54" s="1041"/>
      <c r="D54" s="1041"/>
      <c r="E54" s="1041"/>
      <c r="F54" s="1041"/>
      <c r="G54" s="1041"/>
      <c r="H54" s="1041"/>
      <c r="I54" s="165"/>
      <c r="K54" s="184"/>
    </row>
    <row r="55" spans="1:11" hidden="1" x14ac:dyDescent="0.2">
      <c r="A55" s="2937"/>
      <c r="B55" s="83" t="s">
        <v>88</v>
      </c>
      <c r="C55" s="1206"/>
      <c r="D55" s="1206"/>
      <c r="E55" s="1206"/>
      <c r="F55" s="1206"/>
      <c r="G55" s="1206"/>
      <c r="H55" s="1206"/>
    </row>
    <row r="56" spans="1:11" hidden="1" x14ac:dyDescent="0.2">
      <c r="A56" s="2936" t="s">
        <v>13</v>
      </c>
      <c r="B56" s="12" t="s">
        <v>56</v>
      </c>
      <c r="C56" s="1041"/>
      <c r="D56" s="1041"/>
      <c r="E56" s="1041"/>
      <c r="F56" s="1538"/>
      <c r="G56" s="1538"/>
      <c r="H56" s="1042"/>
      <c r="I56" s="165"/>
      <c r="J56" s="615"/>
      <c r="K56" s="184"/>
    </row>
    <row r="57" spans="1:11" hidden="1" x14ac:dyDescent="0.2">
      <c r="A57" s="2937"/>
      <c r="B57" s="83" t="s">
        <v>88</v>
      </c>
      <c r="C57" s="311"/>
      <c r="D57" s="311"/>
      <c r="E57" s="311"/>
      <c r="F57" s="1539"/>
      <c r="G57" s="1539"/>
      <c r="H57" s="658"/>
    </row>
    <row r="58" spans="1:11" hidden="1" x14ac:dyDescent="0.2">
      <c r="A58" s="2936" t="s">
        <v>14</v>
      </c>
      <c r="B58" s="12" t="s">
        <v>56</v>
      </c>
      <c r="C58" s="1041"/>
      <c r="D58" s="1041"/>
      <c r="E58" s="1041"/>
      <c r="F58" s="1041"/>
      <c r="G58" s="1041"/>
      <c r="H58" s="1042"/>
      <c r="I58" s="165"/>
      <c r="K58" s="184"/>
    </row>
    <row r="59" spans="1:11" hidden="1" x14ac:dyDescent="0.2">
      <c r="A59" s="2937"/>
      <c r="B59" s="83" t="s">
        <v>88</v>
      </c>
      <c r="C59" s="311"/>
      <c r="D59" s="311"/>
      <c r="E59" s="311"/>
      <c r="F59" s="311"/>
      <c r="G59" s="311"/>
      <c r="H59" s="311"/>
    </row>
    <row r="60" spans="1:11" x14ac:dyDescent="0.2">
      <c r="A60" s="2936" t="s">
        <v>15</v>
      </c>
      <c r="B60" s="12" t="s">
        <v>56</v>
      </c>
      <c r="C60" s="1042">
        <f>'Gen. Energy Cost'!C64</f>
        <v>0</v>
      </c>
      <c r="D60" s="1042">
        <f>'Gen. Energy Cost'!D64</f>
        <v>0</v>
      </c>
      <c r="E60" s="1042">
        <f>'Gen. Energy Cost'!E64</f>
        <v>0</v>
      </c>
      <c r="F60" s="1042">
        <f>'Gen. Energy Cost'!F64</f>
        <v>143.06011241000007</v>
      </c>
      <c r="G60" s="1042">
        <f>'Gen. Energy Cost'!G64</f>
        <v>257.57091379999997</v>
      </c>
      <c r="H60" s="1042">
        <f>'Gen. Energy Cost'!H64</f>
        <v>302.69125099999997</v>
      </c>
      <c r="I60" s="165" t="s">
        <v>900</v>
      </c>
    </row>
    <row r="61" spans="1:11" x14ac:dyDescent="0.2">
      <c r="A61" s="2937"/>
      <c r="B61" s="83" t="s">
        <v>88</v>
      </c>
      <c r="C61" s="658" t="e">
        <f>'Gen. Energy Cost'!C65</f>
        <v>#DIV/0!</v>
      </c>
      <c r="D61" s="658" t="e">
        <f>'Gen. Energy Cost'!D65</f>
        <v>#DIV/0!</v>
      </c>
      <c r="E61" s="658" t="e">
        <f>'Gen. Energy Cost'!E65</f>
        <v>#DIV/0!</v>
      </c>
      <c r="F61" s="658">
        <f>'Gen. Energy Cost'!F65</f>
        <v>20.444059710181854</v>
      </c>
      <c r="G61" s="658">
        <f>'Gen. Energy Cost'!G65</f>
        <v>18.643701665030271</v>
      </c>
      <c r="H61" s="658">
        <f>'Gen. Energy Cost'!H65</f>
        <v>18.372310176046295</v>
      </c>
    </row>
    <row r="62" spans="1:11" hidden="1" x14ac:dyDescent="0.2">
      <c r="A62" s="2936" t="s">
        <v>111</v>
      </c>
      <c r="B62" s="12" t="s">
        <v>56</v>
      </c>
      <c r="C62" s="1042"/>
      <c r="D62" s="1042"/>
      <c r="E62" s="1042"/>
      <c r="F62" s="1042"/>
      <c r="G62" s="1042"/>
      <c r="H62" s="1042"/>
      <c r="I62" s="165"/>
    </row>
    <row r="63" spans="1:11" hidden="1" x14ac:dyDescent="0.2">
      <c r="A63" s="2937"/>
      <c r="B63" s="83" t="s">
        <v>88</v>
      </c>
      <c r="C63" s="311"/>
      <c r="D63" s="311"/>
      <c r="E63" s="311"/>
      <c r="F63" s="311"/>
      <c r="G63" s="311"/>
      <c r="H63" s="311"/>
    </row>
    <row r="64" spans="1:11" x14ac:dyDescent="0.2">
      <c r="A64" s="2936" t="s">
        <v>422</v>
      </c>
      <c r="B64" s="12" t="s">
        <v>56</v>
      </c>
      <c r="C64" s="1041">
        <f>'Gen. Energy Cost'!C46</f>
        <v>0</v>
      </c>
      <c r="D64" s="1041">
        <f>'Gen. Energy Cost'!D46</f>
        <v>0</v>
      </c>
      <c r="E64" s="1041">
        <f>'Gen. Energy Cost'!E46</f>
        <v>0</v>
      </c>
      <c r="F64" s="1041">
        <f>'Gen. Energy Cost'!F46</f>
        <v>0.2</v>
      </c>
      <c r="G64" s="1041">
        <f>'Gen. Energy Cost'!G46</f>
        <v>0.2</v>
      </c>
      <c r="H64" s="1041">
        <f>'Gen. Energy Cost'!H46</f>
        <v>0.2</v>
      </c>
      <c r="I64" s="165"/>
    </row>
    <row r="65" spans="1:70" x14ac:dyDescent="0.2">
      <c r="A65" s="2937"/>
      <c r="B65" s="83" t="s">
        <v>88</v>
      </c>
      <c r="C65" s="311">
        <f>'Gen. Energy Cost'!C47</f>
        <v>0</v>
      </c>
      <c r="D65" s="311">
        <f>'Gen. Energy Cost'!D47</f>
        <v>0</v>
      </c>
      <c r="E65" s="311">
        <f>'Gen. Energy Cost'!E47</f>
        <v>0</v>
      </c>
      <c r="F65" s="311">
        <f>'Gen. Energy Cost'!F47</f>
        <v>127.45046499999999</v>
      </c>
      <c r="G65" s="311">
        <f>'Gen. Energy Cost'!G47</f>
        <v>127.45046499999999</v>
      </c>
      <c r="H65" s="311">
        <f>'Gen. Energy Cost'!H47</f>
        <v>127.45046499999999</v>
      </c>
    </row>
    <row r="66" spans="1:70" hidden="1" x14ac:dyDescent="0.2">
      <c r="A66" s="3082" t="s">
        <v>463</v>
      </c>
      <c r="B66" s="571" t="s">
        <v>56</v>
      </c>
      <c r="C66" s="574"/>
      <c r="D66" s="574"/>
      <c r="E66" s="574"/>
      <c r="F66" s="574"/>
      <c r="G66" s="574"/>
      <c r="H66" s="574"/>
      <c r="I66" s="165"/>
    </row>
    <row r="67" spans="1:70" hidden="1" x14ac:dyDescent="0.2">
      <c r="A67" s="3083"/>
      <c r="B67" s="575" t="s">
        <v>88</v>
      </c>
      <c r="C67" s="576"/>
      <c r="D67" s="576"/>
      <c r="E67" s="576"/>
      <c r="F67" s="576"/>
      <c r="G67" s="576"/>
      <c r="H67" s="576"/>
    </row>
    <row r="68" spans="1:70" x14ac:dyDescent="0.2">
      <c r="A68" s="2936" t="s">
        <v>464</v>
      </c>
      <c r="B68" s="12" t="s">
        <v>56</v>
      </c>
      <c r="C68" s="1041" t="e">
        <f>'Gen. Energy Cost'!#REF!</f>
        <v>#REF!</v>
      </c>
      <c r="D68" s="1041" t="e">
        <f>'Gen. Energy Cost'!#REF!</f>
        <v>#REF!</v>
      </c>
      <c r="E68" s="1041" t="e">
        <f>'Gen. Energy Cost'!#REF!</f>
        <v>#REF!</v>
      </c>
      <c r="F68" s="1041" t="e">
        <f>'Gen. Energy Cost'!#REF!</f>
        <v>#REF!</v>
      </c>
      <c r="G68" s="1041" t="e">
        <f>'Gen. Energy Cost'!#REF!</f>
        <v>#REF!</v>
      </c>
      <c r="H68" s="1041" t="e">
        <f>'Gen. Energy Cost'!#REF!</f>
        <v>#REF!</v>
      </c>
      <c r="I68" s="165"/>
    </row>
    <row r="69" spans="1:70" x14ac:dyDescent="0.2">
      <c r="A69" s="2937"/>
      <c r="B69" s="83" t="s">
        <v>88</v>
      </c>
      <c r="C69" s="311" t="e">
        <f>'Gen. Energy Cost'!#REF!</f>
        <v>#REF!</v>
      </c>
      <c r="D69" s="311" t="e">
        <f>'Gen. Energy Cost'!#REF!</f>
        <v>#REF!</v>
      </c>
      <c r="E69" s="311" t="e">
        <f>'Gen. Energy Cost'!#REF!</f>
        <v>#REF!</v>
      </c>
      <c r="F69" s="311" t="e">
        <f>'Gen. Energy Cost'!#REF!</f>
        <v>#REF!</v>
      </c>
      <c r="G69" s="311" t="e">
        <f>'Gen. Energy Cost'!#REF!</f>
        <v>#REF!</v>
      </c>
      <c r="H69" s="311" t="e">
        <f>'Gen. Energy Cost'!#REF!</f>
        <v>#REF!</v>
      </c>
    </row>
    <row r="70" spans="1:70" x14ac:dyDescent="0.2">
      <c r="A70" s="2944" t="s">
        <v>538</v>
      </c>
      <c r="B70" s="12" t="s">
        <v>56</v>
      </c>
      <c r="C70" s="1041">
        <f>'Gen. Energy Cost'!C44</f>
        <v>0</v>
      </c>
      <c r="D70" s="1041">
        <f>'Gen. Energy Cost'!D44</f>
        <v>0</v>
      </c>
      <c r="E70" s="1041">
        <f>'Gen. Energy Cost'!E44</f>
        <v>0</v>
      </c>
      <c r="F70" s="1041">
        <f>'Gen. Energy Cost'!F44</f>
        <v>11.456619999999999</v>
      </c>
      <c r="G70" s="1041">
        <f>'Gen. Energy Cost'!G44</f>
        <v>11.56061</v>
      </c>
      <c r="H70" s="1041">
        <f>'Gen. Energy Cost'!H44</f>
        <v>11.456630000000001</v>
      </c>
      <c r="I70" s="165"/>
    </row>
    <row r="71" spans="1:70" x14ac:dyDescent="0.2">
      <c r="A71" s="2937"/>
      <c r="B71" s="83" t="s">
        <v>88</v>
      </c>
      <c r="C71" s="311">
        <f>'Gen. Energy Cost'!C45</f>
        <v>0</v>
      </c>
      <c r="D71" s="311">
        <f>'Gen. Energy Cost'!D45</f>
        <v>0</v>
      </c>
      <c r="E71" s="311">
        <f>'Gen. Energy Cost'!E45</f>
        <v>0</v>
      </c>
      <c r="F71" s="311">
        <f>'Gen. Energy Cost'!F45</f>
        <v>40.367711230488567</v>
      </c>
      <c r="G71" s="311">
        <f>'Gen. Energy Cost'!G45</f>
        <v>40.352448181914276</v>
      </c>
      <c r="H71" s="311">
        <f>'Gen. Energy Cost'!H45</f>
        <v>40.367709749425444</v>
      </c>
    </row>
    <row r="72" spans="1:70" hidden="1" x14ac:dyDescent="0.2">
      <c r="A72" s="3082" t="s">
        <v>19</v>
      </c>
      <c r="B72" s="571" t="s">
        <v>56</v>
      </c>
      <c r="C72" s="577"/>
      <c r="D72" s="577"/>
      <c r="E72" s="577"/>
      <c r="F72" s="577"/>
      <c r="G72" s="577"/>
      <c r="H72" s="578"/>
      <c r="I72" s="165"/>
      <c r="J72" s="165"/>
      <c r="K72" s="165"/>
    </row>
    <row r="73" spans="1:70" hidden="1" x14ac:dyDescent="0.2">
      <c r="A73" s="3083"/>
      <c r="B73" s="571" t="s">
        <v>88</v>
      </c>
      <c r="C73" s="577"/>
      <c r="D73" s="577"/>
      <c r="E73" s="577"/>
      <c r="F73" s="577"/>
      <c r="G73" s="577"/>
      <c r="H73" s="577"/>
    </row>
    <row r="74" spans="1:70" hidden="1" x14ac:dyDescent="0.2">
      <c r="A74" s="3082" t="s">
        <v>740</v>
      </c>
      <c r="B74" s="1120" t="s">
        <v>56</v>
      </c>
      <c r="C74" s="1121"/>
      <c r="D74" s="1121"/>
      <c r="E74" s="1121"/>
      <c r="F74" s="1121"/>
      <c r="G74" s="1121"/>
      <c r="H74" s="1121"/>
    </row>
    <row r="75" spans="1:70" s="372" customFormat="1" hidden="1" x14ac:dyDescent="0.2">
      <c r="A75" s="3084"/>
      <c r="B75" s="575" t="s">
        <v>88</v>
      </c>
      <c r="C75" s="1122"/>
      <c r="D75" s="1122"/>
      <c r="E75" s="1122"/>
      <c r="F75" s="1122"/>
      <c r="G75" s="1122"/>
      <c r="H75" s="1122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x14ac:dyDescent="0.2">
      <c r="A76" s="2936" t="s">
        <v>817</v>
      </c>
      <c r="B76" s="197" t="s">
        <v>56</v>
      </c>
      <c r="C76" s="1193" t="e">
        <f>'Gen. Energy Cost'!#REF!</f>
        <v>#REF!</v>
      </c>
      <c r="D76" s="1193" t="e">
        <f>'Gen. Energy Cost'!#REF!</f>
        <v>#REF!</v>
      </c>
      <c r="E76" s="1193" t="e">
        <f>'Gen. Energy Cost'!#REF!</f>
        <v>#REF!</v>
      </c>
      <c r="F76" s="1193" t="e">
        <f>'Gen. Energy Cost'!#REF!</f>
        <v>#REF!</v>
      </c>
      <c r="G76" s="1193" t="e">
        <f>'Gen. Energy Cost'!#REF!</f>
        <v>#REF!</v>
      </c>
      <c r="H76" s="1193" t="e">
        <f>'Gen. Energy Cost'!#REF!</f>
        <v>#REF!</v>
      </c>
      <c r="I76" s="124"/>
    </row>
    <row r="77" spans="1:70" s="372" customFormat="1" x14ac:dyDescent="0.2">
      <c r="A77" s="2939"/>
      <c r="B77" s="83" t="s">
        <v>88</v>
      </c>
      <c r="C77" s="1194" t="e">
        <f>'Gen. Energy Cost'!#REF!</f>
        <v>#REF!</v>
      </c>
      <c r="D77" s="1194" t="e">
        <f>'Gen. Energy Cost'!#REF!</f>
        <v>#REF!</v>
      </c>
      <c r="E77" s="1194" t="e">
        <f>'Gen. Energy Cost'!#REF!</f>
        <v>#REF!</v>
      </c>
      <c r="F77" s="1194" t="e">
        <f>'Gen. Energy Cost'!#REF!</f>
        <v>#REF!</v>
      </c>
      <c r="G77" s="1194" t="e">
        <f>'Gen. Energy Cost'!#REF!</f>
        <v>#REF!</v>
      </c>
      <c r="H77" s="1194" t="e">
        <f>'Gen. Energy Cost'!#REF!</f>
        <v>#REF!</v>
      </c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x14ac:dyDescent="0.2">
      <c r="A78" s="2936" t="s">
        <v>818</v>
      </c>
      <c r="B78" s="197" t="s">
        <v>56</v>
      </c>
      <c r="C78" s="1193">
        <f>'Gen. Energy Cost'!C50</f>
        <v>0</v>
      </c>
      <c r="D78" s="1193">
        <f>'Gen. Energy Cost'!D50</f>
        <v>0</v>
      </c>
      <c r="E78" s="1193">
        <f>'Gen. Energy Cost'!E50</f>
        <v>0</v>
      </c>
      <c r="F78" s="1193">
        <f>'Gen. Energy Cost'!F50</f>
        <v>0</v>
      </c>
      <c r="G78" s="1193">
        <f>'Gen. Energy Cost'!G50</f>
        <v>0</v>
      </c>
      <c r="H78" s="1193">
        <f>'Gen. Energy Cost'!H50</f>
        <v>0</v>
      </c>
      <c r="I78" s="124"/>
    </row>
    <row r="79" spans="1:70" x14ac:dyDescent="0.2">
      <c r="A79" s="2939"/>
      <c r="B79" s="83" t="s">
        <v>88</v>
      </c>
      <c r="C79" s="1194">
        <f>'Gen. Energy Cost'!C51</f>
        <v>0</v>
      </c>
      <c r="D79" s="1194">
        <f>'Gen. Energy Cost'!D51</f>
        <v>0</v>
      </c>
      <c r="E79" s="1194">
        <f>'Gen. Energy Cost'!E51</f>
        <v>0</v>
      </c>
      <c r="F79" s="1194">
        <f>'Gen. Energy Cost'!F51</f>
        <v>0</v>
      </c>
      <c r="G79" s="1194">
        <f>'Gen. Energy Cost'!G51</f>
        <v>0</v>
      </c>
      <c r="H79" s="1194">
        <f>'Gen. Energy Cost'!H51</f>
        <v>0</v>
      </c>
      <c r="I79" s="124"/>
    </row>
    <row r="80" spans="1:70" x14ac:dyDescent="0.2">
      <c r="A80" s="2936" t="s">
        <v>819</v>
      </c>
      <c r="B80" s="197" t="s">
        <v>56</v>
      </c>
      <c r="C80" s="1193">
        <f>'Gen. Energy Cost'!C52</f>
        <v>0</v>
      </c>
      <c r="D80" s="1193">
        <f>'Gen. Energy Cost'!D52</f>
        <v>0</v>
      </c>
      <c r="E80" s="1193">
        <f>'Gen. Energy Cost'!E52</f>
        <v>0</v>
      </c>
      <c r="F80" s="1193">
        <f>'Gen. Energy Cost'!F52</f>
        <v>0</v>
      </c>
      <c r="G80" s="1193">
        <f>'Gen. Energy Cost'!G52</f>
        <v>0</v>
      </c>
      <c r="H80" s="1193">
        <f>'Gen. Energy Cost'!H52</f>
        <v>0</v>
      </c>
      <c r="I80" s="124"/>
    </row>
    <row r="81" spans="1:9" x14ac:dyDescent="0.2">
      <c r="A81" s="2939"/>
      <c r="B81" s="83" t="s">
        <v>88</v>
      </c>
      <c r="C81" s="1194">
        <f>'Gen. Energy Cost'!C53</f>
        <v>0</v>
      </c>
      <c r="D81" s="1194">
        <f>'Gen. Energy Cost'!D53</f>
        <v>0</v>
      </c>
      <c r="E81" s="1194">
        <f>'Gen. Energy Cost'!E53</f>
        <v>0</v>
      </c>
      <c r="F81" s="1194">
        <f>'Gen. Energy Cost'!F53</f>
        <v>0</v>
      </c>
      <c r="G81" s="1194">
        <f>'Gen. Energy Cost'!G53</f>
        <v>0</v>
      </c>
      <c r="H81" s="1194">
        <f>'Gen. Energy Cost'!H53</f>
        <v>0</v>
      </c>
      <c r="I81" s="1540"/>
    </row>
    <row r="82" spans="1:9" x14ac:dyDescent="0.2">
      <c r="A82" s="2936" t="s">
        <v>865</v>
      </c>
      <c r="B82" s="197" t="s">
        <v>56</v>
      </c>
      <c r="C82" s="1193" t="e">
        <f>'Gen. Energy Cost'!#REF!</f>
        <v>#REF!</v>
      </c>
      <c r="D82" s="1193" t="e">
        <f>'Gen. Energy Cost'!#REF!</f>
        <v>#REF!</v>
      </c>
      <c r="E82" s="1193" t="e">
        <f>'Gen. Energy Cost'!#REF!</f>
        <v>#REF!</v>
      </c>
      <c r="F82" s="1193" t="e">
        <f>'Gen. Energy Cost'!#REF!</f>
        <v>#REF!</v>
      </c>
      <c r="G82" s="1193" t="e">
        <f>'Gen. Energy Cost'!#REF!</f>
        <v>#REF!</v>
      </c>
      <c r="H82" s="1193" t="e">
        <f>'Gen. Energy Cost'!#REF!</f>
        <v>#REF!</v>
      </c>
      <c r="I82" s="1540"/>
    </row>
    <row r="83" spans="1:9" x14ac:dyDescent="0.2">
      <c r="A83" s="2939"/>
      <c r="B83" s="83" t="s">
        <v>88</v>
      </c>
      <c r="C83" s="1194" t="e">
        <f>'Gen. Energy Cost'!#REF!</f>
        <v>#REF!</v>
      </c>
      <c r="D83" s="1194" t="e">
        <f>'Gen. Energy Cost'!#REF!</f>
        <v>#REF!</v>
      </c>
      <c r="E83" s="1194" t="e">
        <f>'Gen. Energy Cost'!#REF!</f>
        <v>#REF!</v>
      </c>
      <c r="F83" s="1194" t="e">
        <f>'Gen. Energy Cost'!#REF!</f>
        <v>#REF!</v>
      </c>
      <c r="G83" s="1194" t="e">
        <f>'Gen. Energy Cost'!#REF!</f>
        <v>#REF!</v>
      </c>
      <c r="H83" s="1194" t="e">
        <f>'Gen. Energy Cost'!#REF!</f>
        <v>#REF!</v>
      </c>
      <c r="I83" s="1540"/>
    </row>
    <row r="84" spans="1:9" x14ac:dyDescent="0.2">
      <c r="A84" s="2936" t="s">
        <v>864</v>
      </c>
      <c r="B84" s="197" t="s">
        <v>56</v>
      </c>
      <c r="C84" s="1193" t="e">
        <f>'Gen. Energy Cost'!#REF!</f>
        <v>#REF!</v>
      </c>
      <c r="D84" s="1193" t="e">
        <f>'Gen. Energy Cost'!#REF!</f>
        <v>#REF!</v>
      </c>
      <c r="E84" s="1193" t="e">
        <f>'Gen. Energy Cost'!#REF!</f>
        <v>#REF!</v>
      </c>
      <c r="F84" s="1193" t="e">
        <f>'Gen. Energy Cost'!#REF!</f>
        <v>#REF!</v>
      </c>
      <c r="G84" s="1193" t="e">
        <f>'Gen. Energy Cost'!#REF!</f>
        <v>#REF!</v>
      </c>
      <c r="H84" s="1193" t="e">
        <f>'Gen. Energy Cost'!#REF!</f>
        <v>#REF!</v>
      </c>
      <c r="I84" s="1540"/>
    </row>
    <row r="85" spans="1:9" x14ac:dyDescent="0.2">
      <c r="A85" s="2939"/>
      <c r="B85" s="83" t="s">
        <v>88</v>
      </c>
      <c r="C85" s="1194" t="e">
        <f>'Gen. Energy Cost'!#REF!</f>
        <v>#REF!</v>
      </c>
      <c r="D85" s="1194" t="e">
        <f>'Gen. Energy Cost'!#REF!</f>
        <v>#REF!</v>
      </c>
      <c r="E85" s="1194" t="e">
        <f>'Gen. Energy Cost'!#REF!</f>
        <v>#REF!</v>
      </c>
      <c r="F85" s="1194" t="e">
        <f>'Gen. Energy Cost'!#REF!</f>
        <v>#REF!</v>
      </c>
      <c r="G85" s="1194" t="e">
        <f>'Gen. Energy Cost'!#REF!</f>
        <v>#REF!</v>
      </c>
      <c r="H85" s="1194" t="e">
        <f>'Gen. Energy Cost'!#REF!</f>
        <v>#REF!</v>
      </c>
      <c r="I85" s="1540"/>
    </row>
    <row r="86" spans="1:9" x14ac:dyDescent="0.2">
      <c r="A86" s="2936" t="s">
        <v>829</v>
      </c>
      <c r="B86" s="197" t="s">
        <v>56</v>
      </c>
      <c r="C86" s="1193" t="e">
        <f>'Gen. Energy Cost'!#REF!</f>
        <v>#REF!</v>
      </c>
      <c r="D86" s="1193" t="e">
        <f>'Gen. Energy Cost'!#REF!</f>
        <v>#REF!</v>
      </c>
      <c r="E86" s="1193" t="e">
        <f>'Gen. Energy Cost'!#REF!</f>
        <v>#REF!</v>
      </c>
      <c r="F86" s="1193" t="e">
        <f>'Gen. Energy Cost'!#REF!</f>
        <v>#REF!</v>
      </c>
      <c r="G86" s="1193" t="e">
        <f>'Gen. Energy Cost'!#REF!</f>
        <v>#REF!</v>
      </c>
      <c r="H86" s="1193" t="e">
        <f>'Gen. Energy Cost'!#REF!</f>
        <v>#REF!</v>
      </c>
      <c r="I86" s="1540"/>
    </row>
    <row r="87" spans="1:9" x14ac:dyDescent="0.2">
      <c r="A87" s="2939"/>
      <c r="B87" s="83" t="s">
        <v>88</v>
      </c>
      <c r="C87" s="1194" t="e">
        <f>'Gen. Energy Cost'!#REF!</f>
        <v>#REF!</v>
      </c>
      <c r="D87" s="1194" t="e">
        <f>'Gen. Energy Cost'!#REF!</f>
        <v>#REF!</v>
      </c>
      <c r="E87" s="1194" t="e">
        <f>'Gen. Energy Cost'!#REF!</f>
        <v>#REF!</v>
      </c>
      <c r="F87" s="1194" t="e">
        <f>'Gen. Energy Cost'!#REF!</f>
        <v>#REF!</v>
      </c>
      <c r="G87" s="1194" t="e">
        <f>'Gen. Energy Cost'!#REF!</f>
        <v>#REF!</v>
      </c>
      <c r="H87" s="1194" t="e">
        <f>'Gen. Energy Cost'!#REF!</f>
        <v>#REF!</v>
      </c>
      <c r="I87" s="1540"/>
    </row>
    <row r="88" spans="1:9" x14ac:dyDescent="0.2">
      <c r="A88" s="2936" t="s">
        <v>831</v>
      </c>
      <c r="B88" s="197" t="s">
        <v>56</v>
      </c>
      <c r="C88" s="1193" t="e">
        <f>'Gen. Energy Cost'!#REF!</f>
        <v>#REF!</v>
      </c>
      <c r="D88" s="1193" t="e">
        <f>'Gen. Energy Cost'!#REF!</f>
        <v>#REF!</v>
      </c>
      <c r="E88" s="1193" t="e">
        <f>'Gen. Energy Cost'!#REF!</f>
        <v>#REF!</v>
      </c>
      <c r="F88" s="1193" t="e">
        <f>'Gen. Energy Cost'!#REF!</f>
        <v>#REF!</v>
      </c>
      <c r="G88" s="1193" t="e">
        <f>'Gen. Energy Cost'!#REF!</f>
        <v>#REF!</v>
      </c>
      <c r="H88" s="1193" t="e">
        <f>'Gen. Energy Cost'!#REF!</f>
        <v>#REF!</v>
      </c>
      <c r="I88" s="1540"/>
    </row>
    <row r="89" spans="1:9" x14ac:dyDescent="0.2">
      <c r="A89" s="2939"/>
      <c r="B89" s="83" t="s">
        <v>88</v>
      </c>
      <c r="C89" s="1194" t="e">
        <f>'Gen. Energy Cost'!#REF!</f>
        <v>#REF!</v>
      </c>
      <c r="D89" s="1194" t="e">
        <f>'Gen. Energy Cost'!#REF!</f>
        <v>#REF!</v>
      </c>
      <c r="E89" s="1194" t="e">
        <f>'Gen. Energy Cost'!#REF!</f>
        <v>#REF!</v>
      </c>
      <c r="F89" s="1194" t="e">
        <f>'Gen. Energy Cost'!#REF!</f>
        <v>#REF!</v>
      </c>
      <c r="G89" s="1194" t="e">
        <f>'Gen. Energy Cost'!#REF!</f>
        <v>#REF!</v>
      </c>
      <c r="H89" s="1194" t="e">
        <f>'Gen. Energy Cost'!#REF!</f>
        <v>#REF!</v>
      </c>
      <c r="I89" s="1540"/>
    </row>
    <row r="90" spans="1:9" x14ac:dyDescent="0.2">
      <c r="A90" s="2936" t="s">
        <v>826</v>
      </c>
      <c r="B90" s="197" t="s">
        <v>56</v>
      </c>
      <c r="C90" s="1193" t="e">
        <f>'Gen. Energy Cost'!#REF!</f>
        <v>#REF!</v>
      </c>
      <c r="D90" s="1193" t="e">
        <f>'Gen. Energy Cost'!#REF!</f>
        <v>#REF!</v>
      </c>
      <c r="E90" s="1193" t="e">
        <f>'Gen. Energy Cost'!#REF!</f>
        <v>#REF!</v>
      </c>
      <c r="F90" s="1193" t="e">
        <f>'Gen. Energy Cost'!#REF!</f>
        <v>#REF!</v>
      </c>
      <c r="G90" s="1193" t="e">
        <f>'Gen. Energy Cost'!#REF!</f>
        <v>#REF!</v>
      </c>
      <c r="H90" s="1193" t="e">
        <f>'Gen. Energy Cost'!#REF!</f>
        <v>#REF!</v>
      </c>
      <c r="I90" s="1540"/>
    </row>
    <row r="91" spans="1:9" x14ac:dyDescent="0.2">
      <c r="A91" s="2939"/>
      <c r="B91" s="83" t="s">
        <v>88</v>
      </c>
      <c r="C91" s="1194" t="e">
        <f>'Gen. Energy Cost'!#REF!</f>
        <v>#REF!</v>
      </c>
      <c r="D91" s="1194" t="e">
        <f>'Gen. Energy Cost'!#REF!</f>
        <v>#REF!</v>
      </c>
      <c r="E91" s="1194" t="e">
        <f>'Gen. Energy Cost'!#REF!</f>
        <v>#REF!</v>
      </c>
      <c r="F91" s="1194" t="e">
        <f>'Gen. Energy Cost'!#REF!</f>
        <v>#REF!</v>
      </c>
      <c r="G91" s="1194" t="e">
        <f>'Gen. Energy Cost'!#REF!</f>
        <v>#REF!</v>
      </c>
      <c r="H91" s="1194" t="e">
        <f>'Gen. Energy Cost'!#REF!</f>
        <v>#REF!</v>
      </c>
      <c r="I91" s="1540"/>
    </row>
    <row r="92" spans="1:9" x14ac:dyDescent="0.2">
      <c r="A92" s="2936" t="s">
        <v>827</v>
      </c>
      <c r="B92" s="197" t="s">
        <v>56</v>
      </c>
      <c r="C92" s="1193" t="e">
        <f>'Gen. Energy Cost'!#REF!</f>
        <v>#REF!</v>
      </c>
      <c r="D92" s="1193" t="e">
        <f>'Gen. Energy Cost'!#REF!</f>
        <v>#REF!</v>
      </c>
      <c r="E92" s="1193" t="e">
        <f>'Gen. Energy Cost'!#REF!</f>
        <v>#REF!</v>
      </c>
      <c r="F92" s="1193" t="e">
        <f>'Gen. Energy Cost'!#REF!</f>
        <v>#REF!</v>
      </c>
      <c r="G92" s="1193" t="e">
        <f>'Gen. Energy Cost'!#REF!</f>
        <v>#REF!</v>
      </c>
      <c r="H92" s="1193" t="e">
        <f>'Gen. Energy Cost'!#REF!</f>
        <v>#REF!</v>
      </c>
      <c r="I92" s="1540"/>
    </row>
    <row r="93" spans="1:9" x14ac:dyDescent="0.2">
      <c r="A93" s="2939"/>
      <c r="B93" s="83" t="s">
        <v>88</v>
      </c>
      <c r="C93" s="1194" t="e">
        <f>'Gen. Energy Cost'!#REF!</f>
        <v>#REF!</v>
      </c>
      <c r="D93" s="1194" t="e">
        <f>'Gen. Energy Cost'!#REF!</f>
        <v>#REF!</v>
      </c>
      <c r="E93" s="1194" t="e">
        <f>'Gen. Energy Cost'!#REF!</f>
        <v>#REF!</v>
      </c>
      <c r="F93" s="1194" t="e">
        <f>'Gen. Energy Cost'!#REF!</f>
        <v>#REF!</v>
      </c>
      <c r="G93" s="1194" t="e">
        <f>'Gen. Energy Cost'!#REF!</f>
        <v>#REF!</v>
      </c>
      <c r="H93" s="1194" t="e">
        <f>'Gen. Energy Cost'!#REF!</f>
        <v>#REF!</v>
      </c>
      <c r="I93" s="1540"/>
    </row>
    <row r="94" spans="1:9" x14ac:dyDescent="0.2">
      <c r="A94" s="2936" t="s">
        <v>840</v>
      </c>
      <c r="B94" s="197" t="s">
        <v>56</v>
      </c>
      <c r="C94" s="1193">
        <f>'Gen. Energy Cost'!C66</f>
        <v>0</v>
      </c>
      <c r="D94" s="1193">
        <f>'Gen. Energy Cost'!D66</f>
        <v>0</v>
      </c>
      <c r="E94" s="1193">
        <f>'Gen. Energy Cost'!E66</f>
        <v>0</v>
      </c>
      <c r="F94" s="1193">
        <f>'Gen. Energy Cost'!F66</f>
        <v>204.4</v>
      </c>
      <c r="G94" s="1193">
        <f>'Gen. Energy Cost'!G66</f>
        <v>199.79999999999998</v>
      </c>
      <c r="H94" s="1193">
        <f>'Gen. Energy Cost'!H66</f>
        <v>189.3</v>
      </c>
      <c r="I94" s="1540"/>
    </row>
    <row r="95" spans="1:9" x14ac:dyDescent="0.2">
      <c r="A95" s="2944"/>
      <c r="B95" s="83" t="s">
        <v>88</v>
      </c>
      <c r="C95" s="1194" t="e">
        <f>'Gen. Energy Cost'!C67</f>
        <v>#DIV/0!</v>
      </c>
      <c r="D95" s="1194" t="e">
        <f>'Gen. Energy Cost'!D67</f>
        <v>#DIV/0!</v>
      </c>
      <c r="E95" s="1194" t="e">
        <f>'Gen. Energy Cost'!E67</f>
        <v>#DIV/0!</v>
      </c>
      <c r="F95" s="1194">
        <f>'Gen. Energy Cost'!F67</f>
        <v>28.695327886357227</v>
      </c>
      <c r="G95" s="1194">
        <f>'Gen. Energy Cost'!G67</f>
        <v>28.69532788635723</v>
      </c>
      <c r="H95" s="1194">
        <f>'Gen. Energy Cost'!H67</f>
        <v>28.69532788635723</v>
      </c>
      <c r="I95" s="1540"/>
    </row>
    <row r="96" spans="1:9" x14ac:dyDescent="0.2">
      <c r="A96" s="2936" t="s">
        <v>794</v>
      </c>
      <c r="B96" s="197" t="s">
        <v>56</v>
      </c>
      <c r="C96" s="1193">
        <f>'Gen. Energy Cost'!C68</f>
        <v>0</v>
      </c>
      <c r="D96" s="1193">
        <f>'Gen. Energy Cost'!D68</f>
        <v>0</v>
      </c>
      <c r="E96" s="1193">
        <f>'Gen. Energy Cost'!E68</f>
        <v>0</v>
      </c>
      <c r="F96" s="1193">
        <f>'Gen. Energy Cost'!F68</f>
        <v>0</v>
      </c>
      <c r="G96" s="1193">
        <f>'Gen. Energy Cost'!G68</f>
        <v>0</v>
      </c>
      <c r="H96" s="1193">
        <f>'Gen. Energy Cost'!H68</f>
        <v>0</v>
      </c>
      <c r="I96" s="1540"/>
    </row>
    <row r="97" spans="1:12" x14ac:dyDescent="0.2">
      <c r="A97" s="2939"/>
      <c r="B97" s="83" t="s">
        <v>88</v>
      </c>
      <c r="C97" s="1194">
        <f>'Gen. Energy Cost'!C69</f>
        <v>0</v>
      </c>
      <c r="D97" s="1194">
        <f>'Gen. Energy Cost'!D69</f>
        <v>0</v>
      </c>
      <c r="E97" s="1194">
        <f>'Gen. Energy Cost'!E69</f>
        <v>0</v>
      </c>
      <c r="F97" s="1194">
        <f>'Gen. Energy Cost'!F69</f>
        <v>0</v>
      </c>
      <c r="G97" s="1194">
        <f>'Gen. Energy Cost'!G69</f>
        <v>0</v>
      </c>
      <c r="H97" s="1194">
        <f>'Gen. Energy Cost'!H69</f>
        <v>0</v>
      </c>
      <c r="I97" s="1540"/>
    </row>
    <row r="98" spans="1:12" ht="42.75" customHeight="1" x14ac:dyDescent="0.2">
      <c r="A98" s="1085" t="s">
        <v>175</v>
      </c>
      <c r="B98" s="1086" t="s">
        <v>56</v>
      </c>
      <c r="C98" s="1087" t="e">
        <f>C22+C46+C60+C64+C68+C70+C76+C78+C80+C82+C84+C86+C88+C90+C92+C94+C96</f>
        <v>#REF!</v>
      </c>
      <c r="D98" s="1087" t="e">
        <f t="shared" ref="D98:H98" si="2">D22+D46+D60+D64+D68+D70+D76+D78+D80+D82+D84+D86+D88+D90+D92+D94+D96</f>
        <v>#REF!</v>
      </c>
      <c r="E98" s="1087" t="e">
        <f t="shared" si="2"/>
        <v>#REF!</v>
      </c>
      <c r="F98" s="1087" t="e">
        <f t="shared" si="2"/>
        <v>#REF!</v>
      </c>
      <c r="G98" s="1087" t="e">
        <f t="shared" si="2"/>
        <v>#REF!</v>
      </c>
      <c r="H98" s="1087" t="e">
        <f t="shared" si="2"/>
        <v>#REF!</v>
      </c>
      <c r="I98" s="1088" t="e">
        <f>C98+D98+E98+F98+G98+H98</f>
        <v>#REF!</v>
      </c>
      <c r="J98" s="317"/>
      <c r="K98" s="1204"/>
      <c r="L98" s="184"/>
    </row>
    <row r="99" spans="1:12" ht="42.75" hidden="1" customHeight="1" x14ac:dyDescent="0.2">
      <c r="A99" s="84"/>
      <c r="B99" s="85"/>
      <c r="C99" s="1567" t="e">
        <f>C60*C61+C64*C65+C68*C69+C70*C71+C76*C77+C78*C79+C80*C81</f>
        <v>#DIV/0!</v>
      </c>
      <c r="D99" s="1567"/>
      <c r="E99" s="1567"/>
      <c r="F99" s="1567"/>
      <c r="G99" s="1567"/>
      <c r="H99" s="1567"/>
      <c r="I99" s="317"/>
      <c r="J99" s="317"/>
      <c r="K99" s="1204"/>
      <c r="L99" s="184"/>
    </row>
    <row r="100" spans="1:12" ht="42.75" hidden="1" customHeight="1" x14ac:dyDescent="0.2">
      <c r="A100" s="84"/>
      <c r="B100" s="85"/>
      <c r="C100" s="1567"/>
      <c r="D100" s="1567"/>
      <c r="E100" s="1567"/>
      <c r="F100" s="1567"/>
      <c r="G100" s="1567"/>
      <c r="H100" s="1567"/>
      <c r="I100" s="317"/>
      <c r="J100" s="317"/>
      <c r="K100" s="1204"/>
      <c r="L100" s="184"/>
    </row>
    <row r="101" spans="1:12" ht="42.75" hidden="1" customHeight="1" x14ac:dyDescent="0.2">
      <c r="A101" s="84"/>
      <c r="B101" s="85"/>
      <c r="C101" s="1567"/>
      <c r="D101" s="1567"/>
      <c r="E101" s="1567"/>
      <c r="F101" s="1567"/>
      <c r="G101" s="1567"/>
      <c r="H101" s="1567"/>
      <c r="I101" s="317"/>
      <c r="J101" s="317"/>
      <c r="K101" s="1204"/>
      <c r="L101" s="184"/>
    </row>
    <row r="102" spans="1:12" hidden="1" x14ac:dyDescent="0.2">
      <c r="A102" s="4"/>
      <c r="C102" t="e">
        <f t="shared" ref="C102:H102" si="3">C98*C6</f>
        <v>#REF!</v>
      </c>
      <c r="D102" t="e">
        <f t="shared" si="3"/>
        <v>#REF!</v>
      </c>
      <c r="E102" t="e">
        <f t="shared" si="3"/>
        <v>#REF!</v>
      </c>
      <c r="F102" t="e">
        <f t="shared" si="3"/>
        <v>#REF!</v>
      </c>
      <c r="G102" t="e">
        <f t="shared" si="3"/>
        <v>#REF!</v>
      </c>
      <c r="H102" t="e">
        <f t="shared" si="3"/>
        <v>#REF!</v>
      </c>
      <c r="L102" s="1205"/>
    </row>
    <row r="103" spans="1:12" hidden="1" x14ac:dyDescent="0.2">
      <c r="A103" s="47" t="s">
        <v>389</v>
      </c>
      <c r="B103" s="47" t="s">
        <v>94</v>
      </c>
      <c r="C103" s="1039" t="e">
        <f>(C60*C61)+(C64*C65)+(C70*C71)+(C76*C77)+(C78*C79)+(C80*C81)+(C68*C69)</f>
        <v>#DIV/0!</v>
      </c>
      <c r="D103" s="1039" t="e">
        <f>D60*D61+D64*D65+D70*D71+D76*D77+D78*D79+D80*D81+D68*D69</f>
        <v>#DIV/0!</v>
      </c>
      <c r="E103" s="1039" t="e">
        <f>E60*E61+E64*E65+E70*E71+E76*E77+E78*E79+E80*E81+E68*E69</f>
        <v>#DIV/0!</v>
      </c>
      <c r="F103" s="1039" t="e">
        <f>F60*F61+F64*F65+F70*F71+F76*F77+F78*F79+F80*F81+F68*F69</f>
        <v>#REF!</v>
      </c>
      <c r="G103" s="1039" t="e">
        <f>G60*G61+G64*G65+G70*G71+G76*G77+G78*G79+G80*G81+G68*G69</f>
        <v>#REF!</v>
      </c>
      <c r="H103" s="1039" t="e">
        <f>H60*H61+H64*H65+H70*H71+H76*H77+H78*H79+H80*H81+H68*H69</f>
        <v>#REF!</v>
      </c>
    </row>
    <row r="104" spans="1:12" hidden="1" x14ac:dyDescent="0.2"/>
    <row r="105" spans="1:12" hidden="1" x14ac:dyDescent="0.2">
      <c r="A105" s="47" t="s">
        <v>389</v>
      </c>
      <c r="B105" s="484" t="s">
        <v>746</v>
      </c>
      <c r="C105" s="1043" t="e">
        <f t="shared" ref="C105:H105" si="4">C103/1000000</f>
        <v>#DIV/0!</v>
      </c>
      <c r="D105" s="1043" t="e">
        <f t="shared" si="4"/>
        <v>#DIV/0!</v>
      </c>
      <c r="E105" s="1043" t="e">
        <f t="shared" si="4"/>
        <v>#DIV/0!</v>
      </c>
      <c r="F105" s="1043" t="e">
        <f t="shared" si="4"/>
        <v>#REF!</v>
      </c>
      <c r="G105" s="1043" t="e">
        <f t="shared" si="4"/>
        <v>#REF!</v>
      </c>
      <c r="H105" s="1073" t="e">
        <f t="shared" si="4"/>
        <v>#REF!</v>
      </c>
      <c r="I105" s="1088" t="e">
        <f>C105+D105+E105+F105+G105+H105</f>
        <v>#DIV/0!</v>
      </c>
    </row>
    <row r="106" spans="1:12" hidden="1" x14ac:dyDescent="0.2">
      <c r="B106" s="415"/>
      <c r="C106" s="150"/>
      <c r="D106" s="150"/>
      <c r="E106" s="150"/>
      <c r="F106" s="150"/>
      <c r="G106" s="150"/>
      <c r="H106" s="150"/>
    </row>
    <row r="107" spans="1:12" hidden="1" x14ac:dyDescent="0.2">
      <c r="B107" s="415"/>
      <c r="C107" s="150"/>
      <c r="D107" s="150"/>
      <c r="E107" s="150"/>
      <c r="F107" s="150"/>
      <c r="G107" s="150"/>
      <c r="H107" s="150"/>
    </row>
    <row r="108" spans="1:12" ht="18" hidden="1" x14ac:dyDescent="0.2">
      <c r="A108" s="1094" t="s">
        <v>747</v>
      </c>
      <c r="B108" s="1089" t="s">
        <v>748</v>
      </c>
      <c r="C108" s="1090" t="e">
        <f>I105</f>
        <v>#DIV/0!</v>
      </c>
      <c r="D108" s="150"/>
      <c r="E108" s="150"/>
      <c r="F108" s="150"/>
      <c r="G108" s="150"/>
      <c r="H108" s="150"/>
    </row>
    <row r="109" spans="1:12" ht="18" hidden="1" x14ac:dyDescent="0.2">
      <c r="A109" s="1094" t="s">
        <v>749</v>
      </c>
      <c r="B109" s="1089" t="s">
        <v>56</v>
      </c>
      <c r="C109" s="1090" t="e">
        <f>I98</f>
        <v>#REF!</v>
      </c>
      <c r="D109" s="150"/>
      <c r="E109" s="150"/>
      <c r="F109" s="150"/>
      <c r="G109" s="150"/>
      <c r="H109" s="150"/>
    </row>
    <row r="110" spans="1:12" ht="18" hidden="1" x14ac:dyDescent="0.2">
      <c r="A110" s="1094" t="s">
        <v>750</v>
      </c>
      <c r="B110" s="1089" t="s">
        <v>751</v>
      </c>
      <c r="C110" s="1091" t="e">
        <f>C108/C109</f>
        <v>#DIV/0!</v>
      </c>
      <c r="D110" s="150"/>
      <c r="E110" s="150"/>
      <c r="F110" s="150"/>
      <c r="G110" s="150"/>
      <c r="H110" s="150"/>
    </row>
    <row r="111" spans="1:12" ht="14.4" hidden="1" x14ac:dyDescent="0.2">
      <c r="A111" s="1092" t="s">
        <v>790</v>
      </c>
      <c r="B111" s="1093" t="s">
        <v>751</v>
      </c>
      <c r="C111" s="1095" t="e">
        <f>C110/C115*100</f>
        <v>#DIV/0!</v>
      </c>
      <c r="D111">
        <v>13.686699022890487</v>
      </c>
      <c r="E111" s="1117">
        <v>2.0799999999999999E-2</v>
      </c>
      <c r="H111" s="241"/>
    </row>
    <row r="112" spans="1:12" hidden="1" x14ac:dyDescent="0.2">
      <c r="B112" s="415"/>
      <c r="C112" s="150"/>
      <c r="H112" s="241"/>
    </row>
    <row r="113" spans="1:12" hidden="1" x14ac:dyDescent="0.2">
      <c r="B113" s="415"/>
      <c r="C113" s="150"/>
    </row>
    <row r="114" spans="1:12" hidden="1" x14ac:dyDescent="0.2">
      <c r="A114" s="415" t="s">
        <v>789</v>
      </c>
      <c r="B114" s="415"/>
      <c r="C114" s="1096">
        <v>3</v>
      </c>
    </row>
    <row r="115" spans="1:12" hidden="1" x14ac:dyDescent="0.2">
      <c r="C115" s="241">
        <f>100-C114</f>
        <v>97</v>
      </c>
    </row>
    <row r="116" spans="1:12" hidden="1" x14ac:dyDescent="0.2"/>
    <row r="117" spans="1:12" x14ac:dyDescent="0.2">
      <c r="A117" s="415"/>
      <c r="C117" s="165">
        <v>234.9224260102994</v>
      </c>
      <c r="D117" s="165">
        <v>231.82474988400153</v>
      </c>
      <c r="E117" s="165">
        <v>221.02610041716457</v>
      </c>
      <c r="F117" s="165">
        <v>206.97357303864729</v>
      </c>
      <c r="G117" s="165">
        <v>206.20522206981786</v>
      </c>
      <c r="H117" s="165">
        <v>201.41624760555865</v>
      </c>
    </row>
    <row r="118" spans="1:12" x14ac:dyDescent="0.2">
      <c r="A118" s="415"/>
      <c r="C118" s="165"/>
      <c r="D118" s="165"/>
      <c r="E118" s="165"/>
      <c r="F118" s="165"/>
      <c r="G118" s="165"/>
      <c r="H118" s="165"/>
      <c r="I118" s="1074"/>
    </row>
    <row r="119" spans="1:12" s="1556" customFormat="1" x14ac:dyDescent="0.2">
      <c r="A119" s="1542" t="s">
        <v>901</v>
      </c>
      <c r="B119" s="1555" t="s">
        <v>56</v>
      </c>
      <c r="C119" s="1555" t="e">
        <f>'Gen. Energy Cost 132 (2)'!C121</f>
        <v>#REF!</v>
      </c>
      <c r="D119" s="1555" t="e">
        <f>'Gen. Energy Cost 132 (2)'!D121</f>
        <v>#REF!</v>
      </c>
      <c r="E119" s="1555" t="e">
        <f>'Gen. Energy Cost 132 (2)'!E121</f>
        <v>#REF!</v>
      </c>
      <c r="F119" s="1555" t="e">
        <f>'Gen. Energy Cost 132 (2)'!F121</f>
        <v>#REF!</v>
      </c>
      <c r="G119" s="1555" t="e">
        <f>'Gen. Energy Cost 132 (2)'!G121</f>
        <v>#REF!</v>
      </c>
      <c r="H119" s="1555" t="e">
        <f>'Gen. Energy Cost 132 (2)'!H121</f>
        <v>#REF!</v>
      </c>
      <c r="J119" s="1557"/>
      <c r="K119" s="1558"/>
      <c r="L119" s="1559"/>
    </row>
    <row r="120" spans="1:12" s="1556" customFormat="1" x14ac:dyDescent="0.2">
      <c r="A120" s="1542" t="s">
        <v>902</v>
      </c>
      <c r="B120" s="1555" t="s">
        <v>56</v>
      </c>
      <c r="C120" s="1568" t="e">
        <f>C119*'Loss %'!$C$7/100</f>
        <v>#REF!</v>
      </c>
      <c r="D120" s="1568" t="e">
        <f>D119*'Loss %'!$C$7/100</f>
        <v>#REF!</v>
      </c>
      <c r="E120" s="1568" t="e">
        <f>E119*'Loss %'!$C$7/100</f>
        <v>#REF!</v>
      </c>
      <c r="F120" s="1568" t="e">
        <f>F119*'Loss %'!$C$7/100</f>
        <v>#REF!</v>
      </c>
      <c r="G120" s="1568" t="e">
        <f>G119*'Loss %'!$C$7/100</f>
        <v>#REF!</v>
      </c>
      <c r="H120" s="1568" t="e">
        <f>H119*'Loss %'!$C$7/100</f>
        <v>#REF!</v>
      </c>
      <c r="J120" s="1557"/>
      <c r="K120" s="1558"/>
      <c r="L120" s="1559"/>
    </row>
    <row r="121" spans="1:12" s="1556" customFormat="1" x14ac:dyDescent="0.2">
      <c r="A121" s="1542" t="s">
        <v>903</v>
      </c>
      <c r="B121" s="1555" t="s">
        <v>56</v>
      </c>
      <c r="C121" s="1568">
        <f>'Gen. Energy Cost 132 (2)'!C126</f>
        <v>2.2031360000000002</v>
      </c>
      <c r="D121" s="1568">
        <f>'Gen. Energy Cost 132 (2)'!D126</f>
        <v>2.152107</v>
      </c>
      <c r="E121" s="1568">
        <f>'Gen. Energy Cost 132 (2)'!E126</f>
        <v>1.589378</v>
      </c>
      <c r="F121" s="1568">
        <f>'Gen. Energy Cost 132 (2)'!F126</f>
        <v>0.22325800000000001</v>
      </c>
      <c r="G121" s="1568">
        <f>'Gen. Energy Cost 132 (2)'!G126</f>
        <v>0.45465800000000001</v>
      </c>
      <c r="H121" s="1568">
        <f>'Gen. Energy Cost 132 (2)'!H126</f>
        <v>1.918987</v>
      </c>
      <c r="J121" s="1557"/>
      <c r="K121" s="1558"/>
      <c r="L121" s="1559"/>
    </row>
    <row r="122" spans="1:12" s="1556" customFormat="1" x14ac:dyDescent="0.2">
      <c r="A122" s="1542" t="s">
        <v>904</v>
      </c>
      <c r="B122" s="1555" t="s">
        <v>56</v>
      </c>
      <c r="C122" s="1568" t="e">
        <f t="shared" ref="C122:H122" si="5">C119-C121-C120</f>
        <v>#REF!</v>
      </c>
      <c r="D122" s="1568" t="e">
        <f t="shared" si="5"/>
        <v>#REF!</v>
      </c>
      <c r="E122" s="1568" t="e">
        <f t="shared" si="5"/>
        <v>#REF!</v>
      </c>
      <c r="F122" s="1568" t="e">
        <f t="shared" si="5"/>
        <v>#REF!</v>
      </c>
      <c r="G122" s="1568" t="e">
        <f t="shared" si="5"/>
        <v>#REF!</v>
      </c>
      <c r="H122" s="1568" t="e">
        <f t="shared" si="5"/>
        <v>#REF!</v>
      </c>
      <c r="J122" s="1557"/>
      <c r="K122" s="1558"/>
      <c r="L122" s="1559"/>
    </row>
    <row r="123" spans="1:12" s="1556" customFormat="1" x14ac:dyDescent="0.2">
      <c r="A123" s="1542" t="s">
        <v>905</v>
      </c>
      <c r="B123" s="1555" t="s">
        <v>56</v>
      </c>
      <c r="C123" s="1568" t="e">
        <f t="shared" ref="C123:H123" si="6">C98</f>
        <v>#REF!</v>
      </c>
      <c r="D123" s="1568" t="e">
        <f t="shared" si="6"/>
        <v>#REF!</v>
      </c>
      <c r="E123" s="1568" t="e">
        <f t="shared" si="6"/>
        <v>#REF!</v>
      </c>
      <c r="F123" s="1568" t="e">
        <f t="shared" si="6"/>
        <v>#REF!</v>
      </c>
      <c r="G123" s="1568" t="e">
        <f t="shared" si="6"/>
        <v>#REF!</v>
      </c>
      <c r="H123" s="1568" t="e">
        <f t="shared" si="6"/>
        <v>#REF!</v>
      </c>
      <c r="J123" s="1557"/>
      <c r="K123" s="1558"/>
      <c r="L123" s="1559"/>
    </row>
    <row r="124" spans="1:12" s="1561" customFormat="1" hidden="1" x14ac:dyDescent="0.2">
      <c r="A124" s="1545" t="s">
        <v>906</v>
      </c>
      <c r="B124" s="1560" t="s">
        <v>37</v>
      </c>
      <c r="C124" s="1569">
        <v>0</v>
      </c>
      <c r="D124" s="1569">
        <v>0</v>
      </c>
      <c r="E124" s="1569">
        <v>0</v>
      </c>
      <c r="F124" s="1569">
        <v>0</v>
      </c>
      <c r="G124" s="1569">
        <v>0</v>
      </c>
      <c r="H124" s="1569">
        <v>0</v>
      </c>
      <c r="J124" s="1562"/>
      <c r="K124" s="1563"/>
      <c r="L124" s="1564"/>
    </row>
    <row r="125" spans="1:12" s="1556" customFormat="1" hidden="1" x14ac:dyDescent="0.2">
      <c r="A125" s="1542" t="s">
        <v>906</v>
      </c>
      <c r="B125" s="1555" t="s">
        <v>56</v>
      </c>
      <c r="C125" s="1568" t="e">
        <f t="shared" ref="C125:H125" si="7">C123*C124</f>
        <v>#REF!</v>
      </c>
      <c r="D125" s="1568" t="e">
        <f t="shared" si="7"/>
        <v>#REF!</v>
      </c>
      <c r="E125" s="1568" t="e">
        <f t="shared" si="7"/>
        <v>#REF!</v>
      </c>
      <c r="F125" s="1568" t="e">
        <f t="shared" si="7"/>
        <v>#REF!</v>
      </c>
      <c r="G125" s="1568" t="e">
        <f t="shared" si="7"/>
        <v>#REF!</v>
      </c>
      <c r="H125" s="1568" t="e">
        <f t="shared" si="7"/>
        <v>#REF!</v>
      </c>
      <c r="J125" s="1557"/>
      <c r="K125" s="1558"/>
      <c r="L125" s="1559"/>
    </row>
    <row r="126" spans="1:12" s="1561" customFormat="1" x14ac:dyDescent="0.2">
      <c r="A126" s="1545" t="s">
        <v>907</v>
      </c>
      <c r="B126" s="1560" t="s">
        <v>56</v>
      </c>
      <c r="C126" s="1569" t="e">
        <f t="shared" ref="C126:H126" si="8">C122+C123-C125</f>
        <v>#REF!</v>
      </c>
      <c r="D126" s="1569" t="e">
        <f t="shared" si="8"/>
        <v>#REF!</v>
      </c>
      <c r="E126" s="1569" t="e">
        <f t="shared" si="8"/>
        <v>#REF!</v>
      </c>
      <c r="F126" s="1569" t="e">
        <f t="shared" si="8"/>
        <v>#REF!</v>
      </c>
      <c r="G126" s="1569" t="e">
        <f t="shared" si="8"/>
        <v>#REF!</v>
      </c>
      <c r="H126" s="1569" t="e">
        <f t="shared" si="8"/>
        <v>#REF!</v>
      </c>
      <c r="J126" s="1562"/>
      <c r="K126" s="1563"/>
      <c r="L126" s="1564"/>
    </row>
    <row r="127" spans="1:12" s="1556" customFormat="1" x14ac:dyDescent="0.2">
      <c r="A127" s="1542" t="s">
        <v>898</v>
      </c>
      <c r="B127" s="1555" t="s">
        <v>888</v>
      </c>
      <c r="C127" s="1555" t="e">
        <f>'Gen. Energy Cost 132 (2)'!C125</f>
        <v>#REF!</v>
      </c>
      <c r="D127" s="1555" t="e">
        <f>'Gen. Energy Cost 132 (2)'!D125</f>
        <v>#REF!</v>
      </c>
      <c r="E127" s="1555" t="e">
        <f>'Gen. Energy Cost 132 (2)'!E125</f>
        <v>#REF!</v>
      </c>
      <c r="F127" s="1555" t="e">
        <f>'Gen. Energy Cost 132 (2)'!F125</f>
        <v>#REF!</v>
      </c>
      <c r="G127" s="1555" t="e">
        <f>'Gen. Energy Cost 132 (2)'!G125</f>
        <v>#REF!</v>
      </c>
      <c r="H127" s="1555" t="e">
        <f>'Gen. Energy Cost 132 (2)'!H125</f>
        <v>#REF!</v>
      </c>
      <c r="J127" s="1557"/>
      <c r="K127" s="1558"/>
      <c r="L127" s="1559"/>
    </row>
    <row r="128" spans="1:12" s="1556" customFormat="1" x14ac:dyDescent="0.2">
      <c r="A128" s="1542" t="s">
        <v>908</v>
      </c>
      <c r="B128" s="1555" t="s">
        <v>888</v>
      </c>
      <c r="C128" s="1570" t="e">
        <f>'tx consumer data (2)'!B94/1000000</f>
        <v>#REF!</v>
      </c>
      <c r="D128" s="1570" t="e">
        <f>'tx consumer data (2)'!C94/1000000</f>
        <v>#REF!</v>
      </c>
      <c r="E128" s="1570" t="e">
        <f>'tx consumer data (2)'!D94/1000000</f>
        <v>#REF!</v>
      </c>
      <c r="F128" s="1570" t="e">
        <f>'tx consumer data (2)'!E94/1000000</f>
        <v>#REF!</v>
      </c>
      <c r="G128" s="1570" t="e">
        <f>'tx consumer data (2)'!F94/1000000</f>
        <v>#REF!</v>
      </c>
      <c r="H128" s="1570" t="e">
        <f>'tx consumer data (2)'!G94/1000000</f>
        <v>#REF!</v>
      </c>
      <c r="J128" s="1557"/>
      <c r="K128" s="1558"/>
      <c r="L128" s="1559"/>
    </row>
    <row r="129" spans="1:12" s="1556" customFormat="1" x14ac:dyDescent="0.2">
      <c r="A129" s="1542" t="s">
        <v>909</v>
      </c>
      <c r="B129" s="1555" t="s">
        <v>888</v>
      </c>
      <c r="C129" s="1570" t="e">
        <f>C22*C23+C24*C25+C26*C27+C28*C29+C30*C31+C32*C33+C34*C35+C36*C37+C38*C39+C40*C41+C42*C43+C44*C45+C46*C47+C48*C49+C50*C51+C52*C53+C56*C57+C58*C59+C60*C61+C62*C63+C64*C65+C66*C67+C68*C69+C70*C71+C72*C73+C54*C55+C74*C75+C76*C77+C78*C79+C80*C81+C82*C83+C84*C85+C86*C87+C88*C89+C90*C91+C92*C93+C94*C95+C96*C97</f>
        <v>#REF!</v>
      </c>
      <c r="D129" s="1570" t="e">
        <f t="shared" ref="D129:H129" si="9">D22*D23+D24*D25+D26*D27+D28*D29+D30*D31+D32*D33+D34*D35+D36*D37+D38*D39+D40*D41+D42*D43+D44*D45+D46*D47+D48*D49+D50*D51+D52*D53+D56*D57+D58*D59+D60*D61+D62*D63+D64*D65+D66*D67+D68*D69+D70*D71+D72*D73+D54*D55+D74*D75+D76*D77+D78*D79+D80*D81+D82*D83+D84*D85+D86*D87+D88*D89+D90*D91+D92*D93+D94*D95+D96*D97</f>
        <v>#REF!</v>
      </c>
      <c r="E129" s="1570" t="e">
        <f t="shared" si="9"/>
        <v>#REF!</v>
      </c>
      <c r="F129" s="1570" t="e">
        <f t="shared" si="9"/>
        <v>#REF!</v>
      </c>
      <c r="G129" s="1570" t="e">
        <f t="shared" si="9"/>
        <v>#REF!</v>
      </c>
      <c r="H129" s="1570" t="e">
        <f t="shared" si="9"/>
        <v>#REF!</v>
      </c>
      <c r="J129" s="1557"/>
      <c r="K129" s="1558"/>
      <c r="L129" s="1559"/>
    </row>
    <row r="130" spans="1:12" s="1561" customFormat="1" x14ac:dyDescent="0.2">
      <c r="A130" s="1545" t="s">
        <v>910</v>
      </c>
      <c r="B130" s="1560" t="s">
        <v>888</v>
      </c>
      <c r="C130" s="1571" t="e">
        <f t="shared" ref="C130:H130" si="10">C127-C128+C129</f>
        <v>#REF!</v>
      </c>
      <c r="D130" s="1571" t="e">
        <f t="shared" si="10"/>
        <v>#REF!</v>
      </c>
      <c r="E130" s="1571" t="e">
        <f t="shared" si="10"/>
        <v>#REF!</v>
      </c>
      <c r="F130" s="1571" t="e">
        <f t="shared" si="10"/>
        <v>#REF!</v>
      </c>
      <c r="G130" s="1571" t="e">
        <f t="shared" si="10"/>
        <v>#REF!</v>
      </c>
      <c r="H130" s="1571" t="e">
        <f t="shared" si="10"/>
        <v>#REF!</v>
      </c>
      <c r="J130" s="1562"/>
      <c r="K130" s="1563"/>
      <c r="L130" s="1564"/>
    </row>
    <row r="133" spans="1:12" x14ac:dyDescent="0.2">
      <c r="C133" s="241"/>
    </row>
  </sheetData>
  <dataConsolidate/>
  <mergeCells count="67">
    <mergeCell ref="A92:A93"/>
    <mergeCell ref="A94:A95"/>
    <mergeCell ref="A96:A97"/>
    <mergeCell ref="A80:A81"/>
    <mergeCell ref="A82:A83"/>
    <mergeCell ref="A84:A85"/>
    <mergeCell ref="A86:A87"/>
    <mergeCell ref="A88:A89"/>
    <mergeCell ref="A90:A91"/>
    <mergeCell ref="A78:A79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54:A55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V20:AW20"/>
    <mergeCell ref="A22:A23"/>
    <mergeCell ref="A24:A25"/>
    <mergeCell ref="A26:A27"/>
    <mergeCell ref="A28:A29"/>
    <mergeCell ref="AR20:AS20"/>
    <mergeCell ref="AT20:AU20"/>
    <mergeCell ref="A30:A31"/>
    <mergeCell ref="AJ20:AK20"/>
    <mergeCell ref="AL20:AM20"/>
    <mergeCell ref="AN20:AO20"/>
    <mergeCell ref="AP20:AQ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A20:H20"/>
    <mergeCell ref="J20:K20"/>
    <mergeCell ref="L20:M20"/>
    <mergeCell ref="N20:O20"/>
    <mergeCell ref="P20:Q20"/>
    <mergeCell ref="R20:S20"/>
    <mergeCell ref="T20:U20"/>
    <mergeCell ref="V20:W20"/>
    <mergeCell ref="S8:W8"/>
    <mergeCell ref="A4:H4"/>
    <mergeCell ref="J4:L4"/>
    <mergeCell ref="A8:E8"/>
    <mergeCell ref="G8:K8"/>
    <mergeCell ref="M8:Q8"/>
  </mergeCells>
  <pageMargins left="0.75" right="0.26" top="1" bottom="1" header="0" footer="0"/>
  <pageSetup paperSize="9" scale="44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81602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81602" r:id="rId4" name="CommandButton2"/>
      </mc:Fallback>
    </mc:AlternateContent>
    <mc:AlternateContent xmlns:mc="http://schemas.openxmlformats.org/markup-compatibility/2006">
      <mc:Choice Requires="x14">
        <control shapeId="281601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81601" r:id="rId6" name="CommandButton1"/>
      </mc:Fallback>
    </mc:AlternateContent>
  </control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8">
    <tabColor theme="9"/>
  </sheetPr>
  <dimension ref="A1:O99"/>
  <sheetViews>
    <sheetView topLeftCell="A7" workbookViewId="0">
      <selection activeCell="C168" sqref="C168:C170"/>
    </sheetView>
  </sheetViews>
  <sheetFormatPr defaultRowHeight="12.6" x14ac:dyDescent="0.2"/>
  <cols>
    <col min="1" max="1" width="35.453125" customWidth="1"/>
    <col min="2" max="2" width="22.7265625" bestFit="1" customWidth="1"/>
    <col min="3" max="7" width="16.26953125" bestFit="1" customWidth="1"/>
    <col min="8" max="8" width="9.90625" bestFit="1" customWidth="1"/>
    <col min="15" max="15" width="20" customWidth="1"/>
  </cols>
  <sheetData>
    <row r="1" spans="1:13" x14ac:dyDescent="0.2">
      <c r="B1" s="70"/>
    </row>
    <row r="2" spans="1:13" ht="15.6" x14ac:dyDescent="0.3">
      <c r="A2" s="680" t="s">
        <v>666</v>
      </c>
    </row>
    <row r="3" spans="1:13" ht="16.2" thickBot="1" x14ac:dyDescent="0.35">
      <c r="A3" s="680"/>
      <c r="B3" s="1683">
        <v>43647</v>
      </c>
      <c r="C3" s="1683">
        <v>43678</v>
      </c>
      <c r="D3" s="1683">
        <v>43709</v>
      </c>
      <c r="E3" s="1683">
        <v>43739</v>
      </c>
      <c r="F3" s="1683">
        <v>43770</v>
      </c>
      <c r="G3" s="1683">
        <v>43800</v>
      </c>
      <c r="H3" s="123"/>
    </row>
    <row r="4" spans="1:13" ht="15" thickBot="1" x14ac:dyDescent="0.35">
      <c r="A4" s="1586" t="s">
        <v>917</v>
      </c>
      <c r="B4" s="1587">
        <f t="shared" ref="B4:G4" si="0">(B6*B15+B8*B17)/1000</f>
        <v>11.665800000000001</v>
      </c>
      <c r="C4" s="1587">
        <f t="shared" si="0"/>
        <v>13.331700000000001</v>
      </c>
      <c r="D4" s="1587">
        <f t="shared" si="0"/>
        <v>10.898100000000001</v>
      </c>
      <c r="E4" s="1587">
        <f t="shared" si="0"/>
        <v>8.7578999999999994</v>
      </c>
      <c r="F4" s="1587">
        <f t="shared" si="0"/>
        <v>11.446200000000001</v>
      </c>
      <c r="G4" s="1589">
        <f t="shared" si="0"/>
        <v>10.233000000000001</v>
      </c>
    </row>
    <row r="5" spans="1:13" ht="15" thickBot="1" x14ac:dyDescent="0.35">
      <c r="A5" s="1586" t="s">
        <v>918</v>
      </c>
      <c r="B5" s="1587">
        <f t="shared" ref="B5:G5" si="1">(B7*B16+B9*B18+B10*B19)/1000</f>
        <v>5.5701000000000001</v>
      </c>
      <c r="C5" s="1587">
        <f t="shared" si="1"/>
        <v>5.5816000000000008</v>
      </c>
      <c r="D5" s="1587">
        <f t="shared" si="1"/>
        <v>5.7691999999999997</v>
      </c>
      <c r="E5" s="1587">
        <f t="shared" si="1"/>
        <v>5.6970000000000001</v>
      </c>
      <c r="F5" s="1587">
        <f t="shared" si="1"/>
        <v>5.8140000000000001</v>
      </c>
      <c r="G5" s="1589">
        <f t="shared" si="1"/>
        <v>5.6392000000000007</v>
      </c>
      <c r="H5">
        <v>135.52424999999999</v>
      </c>
      <c r="I5" s="1688">
        <f>B6*B15/1000</f>
        <v>10.630800000000001</v>
      </c>
    </row>
    <row r="6" spans="1:13" ht="14.4" x14ac:dyDescent="0.3">
      <c r="A6" s="810" t="s">
        <v>668</v>
      </c>
      <c r="B6" s="873">
        <v>11812</v>
      </c>
      <c r="C6" s="1686">
        <v>13787</v>
      </c>
      <c r="D6" s="1686">
        <v>10674</v>
      </c>
      <c r="E6" s="1686">
        <v>8734</v>
      </c>
      <c r="F6" s="1686">
        <v>11750</v>
      </c>
      <c r="G6" s="1687">
        <v>10519</v>
      </c>
      <c r="H6" s="70"/>
      <c r="I6" s="70"/>
    </row>
    <row r="7" spans="1:13" ht="14.4" x14ac:dyDescent="0.3">
      <c r="A7" s="811" t="s">
        <v>669</v>
      </c>
      <c r="B7" s="875">
        <v>512</v>
      </c>
      <c r="C7" s="875">
        <v>527</v>
      </c>
      <c r="D7" s="875">
        <v>608</v>
      </c>
      <c r="E7" s="875">
        <v>651</v>
      </c>
      <c r="F7" s="875">
        <v>772</v>
      </c>
      <c r="G7" s="876">
        <v>854</v>
      </c>
      <c r="H7">
        <v>338</v>
      </c>
      <c r="I7">
        <v>315</v>
      </c>
      <c r="J7">
        <v>388</v>
      </c>
      <c r="K7">
        <v>390</v>
      </c>
      <c r="L7">
        <v>377</v>
      </c>
      <c r="M7">
        <v>429</v>
      </c>
    </row>
    <row r="8" spans="1:13" ht="14.4" x14ac:dyDescent="0.3">
      <c r="A8" s="811" t="s">
        <v>1015</v>
      </c>
      <c r="B8" s="875">
        <v>1150</v>
      </c>
      <c r="C8" s="875">
        <v>1026</v>
      </c>
      <c r="D8" s="875">
        <v>1435</v>
      </c>
      <c r="E8" s="875">
        <v>997</v>
      </c>
      <c r="F8" s="875">
        <v>968</v>
      </c>
      <c r="G8" s="876">
        <v>851</v>
      </c>
      <c r="H8">
        <v>174</v>
      </c>
      <c r="I8">
        <v>212</v>
      </c>
      <c r="J8">
        <v>220</v>
      </c>
      <c r="K8">
        <v>261</v>
      </c>
      <c r="L8">
        <v>395</v>
      </c>
      <c r="M8">
        <v>425</v>
      </c>
    </row>
    <row r="9" spans="1:13" ht="14.4" x14ac:dyDescent="0.3">
      <c r="A9" s="811" t="s">
        <v>671</v>
      </c>
      <c r="B9" s="1572">
        <v>450</v>
      </c>
      <c r="C9" s="875">
        <v>479</v>
      </c>
      <c r="D9" s="875">
        <v>556</v>
      </c>
      <c r="E9" s="875">
        <v>297</v>
      </c>
      <c r="F9" s="875">
        <v>297</v>
      </c>
      <c r="G9" s="876">
        <v>335</v>
      </c>
      <c r="H9">
        <f>H7+H8</f>
        <v>512</v>
      </c>
      <c r="I9">
        <f t="shared" ref="I9:M9" si="2">I7+I8</f>
        <v>527</v>
      </c>
      <c r="J9">
        <f t="shared" si="2"/>
        <v>608</v>
      </c>
      <c r="K9">
        <f t="shared" si="2"/>
        <v>651</v>
      </c>
      <c r="L9">
        <f t="shared" si="2"/>
        <v>772</v>
      </c>
      <c r="M9">
        <f t="shared" si="2"/>
        <v>854</v>
      </c>
    </row>
    <row r="10" spans="1:13" ht="15" thickBot="1" x14ac:dyDescent="0.35">
      <c r="A10" s="812" t="s">
        <v>672</v>
      </c>
      <c r="B10" s="877">
        <v>5277</v>
      </c>
      <c r="C10" s="877">
        <v>5249</v>
      </c>
      <c r="D10" s="877">
        <v>5308</v>
      </c>
      <c r="E10" s="877">
        <v>5415</v>
      </c>
      <c r="F10" s="877">
        <v>5424</v>
      </c>
      <c r="G10" s="878">
        <v>5114</v>
      </c>
    </row>
    <row r="11" spans="1:13" x14ac:dyDescent="0.2">
      <c r="B11" s="183"/>
      <c r="C11" s="183"/>
      <c r="D11" s="183"/>
      <c r="E11" s="183"/>
      <c r="F11" s="183"/>
      <c r="G11" s="183"/>
    </row>
    <row r="12" spans="1:13" ht="13.2" thickBot="1" x14ac:dyDescent="0.25">
      <c r="B12" s="1590">
        <f>B3</f>
        <v>43647</v>
      </c>
      <c r="C12" s="1590">
        <f t="shared" ref="C12:G12" si="3">C3</f>
        <v>43678</v>
      </c>
      <c r="D12" s="1590">
        <f t="shared" si="3"/>
        <v>43709</v>
      </c>
      <c r="E12" s="1590">
        <f t="shared" si="3"/>
        <v>43739</v>
      </c>
      <c r="F12" s="1590">
        <f t="shared" si="3"/>
        <v>43770</v>
      </c>
      <c r="G12" s="1590">
        <f t="shared" si="3"/>
        <v>43800</v>
      </c>
    </row>
    <row r="13" spans="1:13" ht="15" thickBot="1" x14ac:dyDescent="0.35">
      <c r="A13" s="1586" t="s">
        <v>919</v>
      </c>
      <c r="B13" s="1588">
        <f t="shared" ref="B13:G13" si="4">AVERAGE(B15,B17)</f>
        <v>0.9</v>
      </c>
      <c r="C13" s="1588">
        <f t="shared" si="4"/>
        <v>0.9</v>
      </c>
      <c r="D13" s="1588">
        <f t="shared" si="4"/>
        <v>0.9</v>
      </c>
      <c r="E13" s="1588">
        <f t="shared" si="4"/>
        <v>0.9</v>
      </c>
      <c r="F13" s="1588">
        <f t="shared" si="4"/>
        <v>0.9</v>
      </c>
      <c r="G13" s="1591">
        <f t="shared" si="4"/>
        <v>0.9</v>
      </c>
    </row>
    <row r="14" spans="1:13" ht="15" thickBot="1" x14ac:dyDescent="0.35">
      <c r="A14" s="1586" t="s">
        <v>920</v>
      </c>
      <c r="B14" s="1588">
        <f t="shared" ref="B14:G14" si="5">AVERAGE(B16,B18,B19)</f>
        <v>0.8666666666666667</v>
      </c>
      <c r="C14" s="1588">
        <f t="shared" si="5"/>
        <v>0.8666666666666667</v>
      </c>
      <c r="D14" s="1588">
        <f t="shared" si="5"/>
        <v>0.8666666666666667</v>
      </c>
      <c r="E14" s="1588">
        <f t="shared" si="5"/>
        <v>0.8666666666666667</v>
      </c>
      <c r="F14" s="1588">
        <f t="shared" si="5"/>
        <v>0.8666666666666667</v>
      </c>
      <c r="G14" s="1591">
        <f t="shared" si="5"/>
        <v>0.8666666666666667</v>
      </c>
    </row>
    <row r="15" spans="1:13" ht="14.4" x14ac:dyDescent="0.3">
      <c r="A15" s="810" t="s">
        <v>674</v>
      </c>
      <c r="B15" s="873">
        <v>0.9</v>
      </c>
      <c r="C15" s="873">
        <v>0.9</v>
      </c>
      <c r="D15" s="873">
        <v>0.9</v>
      </c>
      <c r="E15" s="873">
        <v>0.9</v>
      </c>
      <c r="F15" s="873">
        <v>0.9</v>
      </c>
      <c r="G15" s="874">
        <v>0.9</v>
      </c>
      <c r="H15" s="1609">
        <v>220</v>
      </c>
    </row>
    <row r="16" spans="1:13" ht="14.4" x14ac:dyDescent="0.3">
      <c r="A16" s="811" t="s">
        <v>675</v>
      </c>
      <c r="B16" s="880">
        <v>0.9</v>
      </c>
      <c r="C16" s="880">
        <v>0.9</v>
      </c>
      <c r="D16" s="880">
        <v>0.9</v>
      </c>
      <c r="E16" s="880">
        <v>0.9</v>
      </c>
      <c r="F16" s="880">
        <v>0.9</v>
      </c>
      <c r="G16" s="881">
        <v>0.9</v>
      </c>
      <c r="H16" s="1610">
        <v>132</v>
      </c>
    </row>
    <row r="17" spans="1:8" ht="14.4" x14ac:dyDescent="0.3">
      <c r="A17" s="811" t="s">
        <v>1015</v>
      </c>
      <c r="B17" s="880">
        <v>0.9</v>
      </c>
      <c r="C17" s="880">
        <v>0.9</v>
      </c>
      <c r="D17" s="880">
        <v>0.9</v>
      </c>
      <c r="E17" s="880">
        <v>0.9</v>
      </c>
      <c r="F17" s="880">
        <v>0.9</v>
      </c>
      <c r="G17" s="881">
        <v>0.9</v>
      </c>
      <c r="H17" s="1610">
        <v>132</v>
      </c>
    </row>
    <row r="18" spans="1:8" ht="14.4" x14ac:dyDescent="0.3">
      <c r="A18" s="811" t="s">
        <v>677</v>
      </c>
      <c r="B18" s="880">
        <v>0.8</v>
      </c>
      <c r="C18" s="880">
        <v>0.8</v>
      </c>
      <c r="D18" s="880">
        <v>0.8</v>
      </c>
      <c r="E18" s="880">
        <v>0.8</v>
      </c>
      <c r="F18" s="880">
        <v>0.8</v>
      </c>
      <c r="G18" s="881">
        <v>0.8</v>
      </c>
      <c r="H18" s="1610">
        <v>132</v>
      </c>
    </row>
    <row r="19" spans="1:8" ht="15" thickBot="1" x14ac:dyDescent="0.35">
      <c r="A19" s="812" t="s">
        <v>678</v>
      </c>
      <c r="B19" s="882">
        <v>0.9</v>
      </c>
      <c r="C19" s="882">
        <v>0.9</v>
      </c>
      <c r="D19" s="882">
        <v>0.9</v>
      </c>
      <c r="E19" s="882">
        <v>0.9</v>
      </c>
      <c r="F19" s="882">
        <v>0.9</v>
      </c>
      <c r="G19" s="883">
        <v>0.9</v>
      </c>
      <c r="H19" s="1610">
        <v>132</v>
      </c>
    </row>
    <row r="22" spans="1:8" ht="15" thickBot="1" x14ac:dyDescent="0.35">
      <c r="A22" s="1602"/>
      <c r="B22" s="1603">
        <f>B12</f>
        <v>43647</v>
      </c>
      <c r="C22" s="1603">
        <f t="shared" ref="C22:G22" si="6">C12</f>
        <v>43678</v>
      </c>
      <c r="D22" s="1603">
        <f t="shared" si="6"/>
        <v>43709</v>
      </c>
      <c r="E22" s="1603">
        <f t="shared" si="6"/>
        <v>43739</v>
      </c>
      <c r="F22" s="1603">
        <f t="shared" si="6"/>
        <v>43770</v>
      </c>
      <c r="G22" s="1603">
        <f t="shared" si="6"/>
        <v>43800</v>
      </c>
    </row>
    <row r="23" spans="1:8" ht="15" thickBot="1" x14ac:dyDescent="0.35">
      <c r="A23" s="1586" t="s">
        <v>921</v>
      </c>
      <c r="B23" s="1601">
        <f t="shared" ref="B23:G23" si="7">B25/1000000</f>
        <v>0.41435100000000002</v>
      </c>
      <c r="C23" s="1601">
        <f t="shared" si="7"/>
        <v>1.119885</v>
      </c>
      <c r="D23" s="1601">
        <f t="shared" si="7"/>
        <v>1.063423</v>
      </c>
      <c r="E23" s="1601">
        <f t="shared" si="7"/>
        <v>1.252955</v>
      </c>
      <c r="F23" s="1601">
        <f t="shared" si="7"/>
        <v>1.1331789999999999</v>
      </c>
      <c r="G23" s="1611">
        <f t="shared" si="7"/>
        <v>1.6986699999999999</v>
      </c>
    </row>
    <row r="24" spans="1:8" ht="15" thickBot="1" x14ac:dyDescent="0.35">
      <c r="A24" s="1586" t="s">
        <v>922</v>
      </c>
      <c r="B24" s="1601">
        <f t="shared" ref="B24:G24" si="8">(B26+B27+B28+B29)/1000000</f>
        <v>2.146236</v>
      </c>
      <c r="C24" s="1601">
        <f t="shared" si="8"/>
        <v>2.3033199999999998</v>
      </c>
      <c r="D24" s="1601">
        <f t="shared" si="8"/>
        <v>2.4923860000000002</v>
      </c>
      <c r="E24" s="1601">
        <f t="shared" si="8"/>
        <v>2.634976</v>
      </c>
      <c r="F24" s="1601">
        <f t="shared" si="8"/>
        <v>1.9684999999999999</v>
      </c>
      <c r="G24" s="1611">
        <f t="shared" si="8"/>
        <v>2.4554849999999999</v>
      </c>
    </row>
    <row r="25" spans="1:8" ht="14.4" x14ac:dyDescent="0.3">
      <c r="A25" s="1604" t="s">
        <v>923</v>
      </c>
      <c r="B25" s="1598">
        <f t="shared" ref="B25:G25" si="9">B37+B41</f>
        <v>414351</v>
      </c>
      <c r="C25" s="1598">
        <f t="shared" si="9"/>
        <v>1119885</v>
      </c>
      <c r="D25" s="1598">
        <f t="shared" si="9"/>
        <v>1063423</v>
      </c>
      <c r="E25" s="1598">
        <f t="shared" si="9"/>
        <v>1252955</v>
      </c>
      <c r="F25" s="1598">
        <f t="shared" si="9"/>
        <v>1133179</v>
      </c>
      <c r="G25" s="1612">
        <f t="shared" si="9"/>
        <v>1698670</v>
      </c>
    </row>
    <row r="26" spans="1:8" ht="14.4" x14ac:dyDescent="0.3">
      <c r="A26" s="1605" t="s">
        <v>924</v>
      </c>
      <c r="B26" s="1599">
        <f t="shared" ref="B26:G26" si="10">B46</f>
        <v>23098</v>
      </c>
      <c r="C26" s="1599">
        <f t="shared" si="10"/>
        <v>62622</v>
      </c>
      <c r="D26" s="1599">
        <f t="shared" si="10"/>
        <v>99788</v>
      </c>
      <c r="E26" s="1599">
        <f t="shared" si="10"/>
        <v>216044</v>
      </c>
      <c r="F26" s="1599">
        <f t="shared" si="10"/>
        <v>136162</v>
      </c>
      <c r="G26" s="1613">
        <f t="shared" si="10"/>
        <v>182090</v>
      </c>
    </row>
    <row r="27" spans="1:8" ht="14.4" x14ac:dyDescent="0.3">
      <c r="A27" s="1605" t="s">
        <v>1015</v>
      </c>
      <c r="B27" s="1599">
        <f t="shared" ref="B27:G27" si="11">B51</f>
        <v>34672</v>
      </c>
      <c r="C27" s="1599">
        <f t="shared" si="11"/>
        <v>9903</v>
      </c>
      <c r="D27" s="1599">
        <f t="shared" si="11"/>
        <v>141055</v>
      </c>
      <c r="E27" s="1599">
        <f t="shared" si="11"/>
        <v>292481</v>
      </c>
      <c r="F27" s="1599">
        <f t="shared" si="11"/>
        <v>239003</v>
      </c>
      <c r="G27" s="1613">
        <f t="shared" si="11"/>
        <v>217386</v>
      </c>
    </row>
    <row r="28" spans="1:8" ht="14.4" x14ac:dyDescent="0.3">
      <c r="A28" s="1605" t="s">
        <v>925</v>
      </c>
      <c r="B28" s="1599">
        <f t="shared" ref="B28:G28" si="12">B57+B61</f>
        <v>58200</v>
      </c>
      <c r="C28" s="1599">
        <f t="shared" si="12"/>
        <v>57200</v>
      </c>
      <c r="D28" s="1599">
        <f t="shared" si="12"/>
        <v>69900</v>
      </c>
      <c r="E28" s="1599">
        <f t="shared" si="12"/>
        <v>46178</v>
      </c>
      <c r="F28" s="1599">
        <f t="shared" si="12"/>
        <v>38780</v>
      </c>
      <c r="G28" s="1613">
        <f t="shared" si="12"/>
        <v>25300</v>
      </c>
    </row>
    <row r="29" spans="1:8" ht="15" thickBot="1" x14ac:dyDescent="0.35">
      <c r="A29" s="1606" t="s">
        <v>926</v>
      </c>
      <c r="B29" s="1600">
        <f t="shared" ref="B29:G29" si="13">B66</f>
        <v>2030266</v>
      </c>
      <c r="C29" s="1600">
        <f t="shared" si="13"/>
        <v>2173595</v>
      </c>
      <c r="D29" s="1600">
        <f t="shared" si="13"/>
        <v>2181643</v>
      </c>
      <c r="E29" s="1600">
        <f t="shared" si="13"/>
        <v>2080273</v>
      </c>
      <c r="F29" s="1600">
        <f t="shared" si="13"/>
        <v>1554555</v>
      </c>
      <c r="G29" s="1614">
        <f t="shared" si="13"/>
        <v>2030709</v>
      </c>
    </row>
    <row r="30" spans="1:8" x14ac:dyDescent="0.2">
      <c r="B30" s="1573"/>
      <c r="C30" s="1573"/>
      <c r="D30" s="1573"/>
      <c r="E30" s="1573"/>
      <c r="F30" s="1573"/>
      <c r="G30" s="1573"/>
    </row>
    <row r="31" spans="1:8" ht="14.4" x14ac:dyDescent="0.3">
      <c r="A31" s="1608" t="s">
        <v>951</v>
      </c>
      <c r="B31" s="1573"/>
      <c r="C31" s="1573"/>
      <c r="D31" s="1573"/>
      <c r="E31" s="1573"/>
      <c r="F31" s="1573"/>
      <c r="G31" s="1573"/>
    </row>
    <row r="32" spans="1:8" x14ac:dyDescent="0.2">
      <c r="B32" s="123">
        <f>B22</f>
        <v>43647</v>
      </c>
      <c r="C32" s="123">
        <f t="shared" ref="C32:G32" si="14">C22</f>
        <v>43678</v>
      </c>
      <c r="D32" s="123">
        <f t="shared" si="14"/>
        <v>43709</v>
      </c>
      <c r="E32" s="123">
        <f t="shared" si="14"/>
        <v>43739</v>
      </c>
      <c r="F32" s="123">
        <f t="shared" si="14"/>
        <v>43770</v>
      </c>
      <c r="G32" s="123">
        <f t="shared" si="14"/>
        <v>43800</v>
      </c>
    </row>
    <row r="33" spans="1:14" ht="14.4" x14ac:dyDescent="0.3">
      <c r="A33" s="1592" t="s">
        <v>923</v>
      </c>
    </row>
    <row r="34" spans="1:14" ht="14.4" x14ac:dyDescent="0.3">
      <c r="A34" s="1593" t="s">
        <v>915</v>
      </c>
      <c r="B34" s="1685">
        <v>55399</v>
      </c>
      <c r="C34" s="1685">
        <v>413756</v>
      </c>
      <c r="D34" s="1685">
        <v>313838</v>
      </c>
      <c r="E34" s="1685">
        <v>294291</v>
      </c>
      <c r="F34" s="1594">
        <v>388032</v>
      </c>
      <c r="G34" s="1594">
        <v>473260</v>
      </c>
      <c r="I34" t="s">
        <v>997</v>
      </c>
      <c r="J34" t="s">
        <v>998</v>
      </c>
      <c r="K34" t="s">
        <v>999</v>
      </c>
      <c r="L34" t="s">
        <v>1000</v>
      </c>
      <c r="M34" t="s">
        <v>1001</v>
      </c>
      <c r="N34" t="s">
        <v>1002</v>
      </c>
    </row>
    <row r="35" spans="1:14" ht="14.4" x14ac:dyDescent="0.3">
      <c r="A35" s="1593" t="s">
        <v>916</v>
      </c>
      <c r="B35" s="1685">
        <v>15328</v>
      </c>
      <c r="C35" s="1685">
        <v>125694</v>
      </c>
      <c r="D35" s="1685">
        <v>94499</v>
      </c>
      <c r="E35" s="1685">
        <v>109402</v>
      </c>
      <c r="F35" s="1594">
        <v>76921</v>
      </c>
      <c r="G35" s="1594">
        <v>125424</v>
      </c>
      <c r="I35" t="s">
        <v>1003</v>
      </c>
      <c r="J35" t="s">
        <v>1004</v>
      </c>
      <c r="K35" t="s">
        <v>1005</v>
      </c>
      <c r="L35" t="s">
        <v>1006</v>
      </c>
      <c r="M35" t="s">
        <v>1007</v>
      </c>
      <c r="N35" t="s">
        <v>1008</v>
      </c>
    </row>
    <row r="36" spans="1:14" ht="14.4" x14ac:dyDescent="0.3">
      <c r="A36" s="1593" t="s">
        <v>927</v>
      </c>
      <c r="B36" s="1685">
        <v>47242</v>
      </c>
      <c r="C36" s="1685">
        <v>259231</v>
      </c>
      <c r="D36" s="1685">
        <v>300928</v>
      </c>
      <c r="E36" s="1685">
        <v>262685</v>
      </c>
      <c r="F36" s="1594">
        <v>298851</v>
      </c>
      <c r="G36" s="1594">
        <v>430083</v>
      </c>
      <c r="I36" t="s">
        <v>1009</v>
      </c>
      <c r="J36" t="s">
        <v>1010</v>
      </c>
      <c r="K36" t="s">
        <v>1011</v>
      </c>
      <c r="L36" t="s">
        <v>1012</v>
      </c>
      <c r="M36" t="s">
        <v>1013</v>
      </c>
      <c r="N36" t="s">
        <v>1014</v>
      </c>
    </row>
    <row r="37" spans="1:14" x14ac:dyDescent="0.2">
      <c r="B37">
        <f t="shared" ref="B37:G37" si="15">B34+B35+B36</f>
        <v>117969</v>
      </c>
      <c r="C37">
        <f t="shared" si="15"/>
        <v>798681</v>
      </c>
      <c r="D37">
        <f t="shared" si="15"/>
        <v>709265</v>
      </c>
      <c r="E37">
        <f t="shared" si="15"/>
        <v>666378</v>
      </c>
      <c r="F37">
        <f t="shared" si="15"/>
        <v>763804</v>
      </c>
      <c r="G37">
        <f t="shared" si="15"/>
        <v>1028767</v>
      </c>
      <c r="I37" s="70"/>
      <c r="J37" s="70"/>
      <c r="K37" s="70"/>
      <c r="L37" s="70"/>
      <c r="M37" s="70"/>
      <c r="N37" s="70"/>
    </row>
    <row r="38" spans="1:14" ht="14.4" x14ac:dyDescent="0.3">
      <c r="A38" s="1593" t="s">
        <v>915</v>
      </c>
      <c r="B38" s="1451">
        <v>128354</v>
      </c>
      <c r="C38" s="1451">
        <v>126642</v>
      </c>
      <c r="D38" s="1451">
        <v>137824</v>
      </c>
      <c r="E38" s="1451">
        <v>254125</v>
      </c>
      <c r="F38" s="1594">
        <v>167936</v>
      </c>
      <c r="G38" s="1594">
        <v>302991</v>
      </c>
      <c r="I38" s="70">
        <v>302991</v>
      </c>
      <c r="J38" s="70">
        <v>167936</v>
      </c>
      <c r="K38" s="70">
        <v>254125</v>
      </c>
      <c r="L38" s="70">
        <v>137824</v>
      </c>
      <c r="M38" s="70">
        <v>126642</v>
      </c>
      <c r="N38" s="70">
        <v>128354</v>
      </c>
    </row>
    <row r="39" spans="1:14" ht="14.4" x14ac:dyDescent="0.3">
      <c r="A39" s="1593" t="s">
        <v>916</v>
      </c>
      <c r="B39" s="1451">
        <v>32869</v>
      </c>
      <c r="C39" s="1451">
        <v>43036</v>
      </c>
      <c r="D39" s="1451">
        <v>39153</v>
      </c>
      <c r="E39" s="1451">
        <v>92598</v>
      </c>
      <c r="F39" s="1594">
        <v>49293</v>
      </c>
      <c r="G39" s="1594">
        <v>83499</v>
      </c>
      <c r="I39" s="70">
        <v>83499</v>
      </c>
      <c r="J39" s="70">
        <v>49293</v>
      </c>
      <c r="K39" s="70">
        <v>92598</v>
      </c>
      <c r="L39" s="70">
        <v>39153</v>
      </c>
      <c r="M39" s="70">
        <v>43036</v>
      </c>
      <c r="N39" s="70">
        <v>32869</v>
      </c>
    </row>
    <row r="40" spans="1:14" ht="14.4" x14ac:dyDescent="0.3">
      <c r="A40" s="1593" t="s">
        <v>927</v>
      </c>
      <c r="B40" s="1451">
        <v>135159</v>
      </c>
      <c r="C40" s="1451">
        <v>151526</v>
      </c>
      <c r="D40" s="1451">
        <v>177181</v>
      </c>
      <c r="E40" s="1451">
        <v>239854</v>
      </c>
      <c r="F40" s="1594">
        <v>152146</v>
      </c>
      <c r="G40" s="1594">
        <v>283413</v>
      </c>
      <c r="I40" s="70">
        <v>283413</v>
      </c>
      <c r="J40" s="70">
        <v>152146</v>
      </c>
      <c r="K40" s="70">
        <v>239854</v>
      </c>
      <c r="L40" s="70">
        <v>177181</v>
      </c>
      <c r="M40" s="70">
        <v>151526</v>
      </c>
      <c r="N40" s="70">
        <v>135159</v>
      </c>
    </row>
    <row r="41" spans="1:14" x14ac:dyDescent="0.2">
      <c r="B41">
        <f t="shared" ref="B41:G41" si="16">B38+B39+B40</f>
        <v>296382</v>
      </c>
      <c r="C41">
        <f t="shared" si="16"/>
        <v>321204</v>
      </c>
      <c r="D41">
        <f t="shared" si="16"/>
        <v>354158</v>
      </c>
      <c r="E41">
        <f t="shared" si="16"/>
        <v>586577</v>
      </c>
      <c r="F41">
        <f t="shared" si="16"/>
        <v>369375</v>
      </c>
      <c r="G41">
        <f t="shared" si="16"/>
        <v>669903</v>
      </c>
    </row>
    <row r="42" spans="1:14" ht="14.4" x14ac:dyDescent="0.3">
      <c r="A42" s="1592" t="s">
        <v>924</v>
      </c>
    </row>
    <row r="43" spans="1:14" ht="14.4" x14ac:dyDescent="0.3">
      <c r="A43" s="1593" t="s">
        <v>915</v>
      </c>
      <c r="B43" s="1451">
        <v>23098</v>
      </c>
      <c r="C43" s="1451">
        <v>62622</v>
      </c>
      <c r="D43" s="1451">
        <v>99788</v>
      </c>
      <c r="E43" s="1451">
        <v>216044</v>
      </c>
      <c r="F43" s="1451">
        <v>136162</v>
      </c>
      <c r="G43" s="1451">
        <v>182090</v>
      </c>
      <c r="I43">
        <v>182090</v>
      </c>
      <c r="J43">
        <v>136162</v>
      </c>
      <c r="K43">
        <v>216044</v>
      </c>
      <c r="L43">
        <v>99788</v>
      </c>
      <c r="M43">
        <v>62622</v>
      </c>
      <c r="N43">
        <v>23098</v>
      </c>
    </row>
    <row r="44" spans="1:14" ht="14.4" x14ac:dyDescent="0.3">
      <c r="A44" s="1593" t="s">
        <v>916</v>
      </c>
      <c r="B44" s="1451"/>
      <c r="C44" s="1451"/>
      <c r="D44" s="1451"/>
      <c r="E44" s="1451"/>
      <c r="F44" s="1451"/>
      <c r="G44" s="1451"/>
    </row>
    <row r="45" spans="1:14" ht="14.4" x14ac:dyDescent="0.3">
      <c r="A45" s="1593" t="s">
        <v>927</v>
      </c>
      <c r="B45" s="1451"/>
      <c r="C45" s="1451"/>
      <c r="D45" s="1451"/>
      <c r="E45" s="1451"/>
      <c r="F45" s="1451"/>
      <c r="G45" s="1451"/>
    </row>
    <row r="46" spans="1:14" x14ac:dyDescent="0.2">
      <c r="B46">
        <f t="shared" ref="B46:G46" si="17">B43+B44+B45</f>
        <v>23098</v>
      </c>
      <c r="C46">
        <f t="shared" si="17"/>
        <v>62622</v>
      </c>
      <c r="D46">
        <f t="shared" si="17"/>
        <v>99788</v>
      </c>
      <c r="E46">
        <f t="shared" si="17"/>
        <v>216044</v>
      </c>
      <c r="F46">
        <f t="shared" si="17"/>
        <v>136162</v>
      </c>
      <c r="G46">
        <f t="shared" si="17"/>
        <v>182090</v>
      </c>
      <c r="I46">
        <v>106405</v>
      </c>
      <c r="J46">
        <v>117036</v>
      </c>
      <c r="K46">
        <v>132077</v>
      </c>
      <c r="L46">
        <v>47855</v>
      </c>
      <c r="M46">
        <v>1265</v>
      </c>
      <c r="N46">
        <v>10512</v>
      </c>
    </row>
    <row r="47" spans="1:14" ht="14.4" x14ac:dyDescent="0.3">
      <c r="A47" s="1605" t="s">
        <v>1015</v>
      </c>
      <c r="I47">
        <v>35089</v>
      </c>
      <c r="J47">
        <v>35812</v>
      </c>
      <c r="K47">
        <v>55955</v>
      </c>
      <c r="L47">
        <v>16809</v>
      </c>
      <c r="M47">
        <v>193</v>
      </c>
      <c r="N47">
        <v>4581</v>
      </c>
    </row>
    <row r="48" spans="1:14" ht="14.4" x14ac:dyDescent="0.3">
      <c r="A48" s="1593" t="s">
        <v>915</v>
      </c>
      <c r="B48" s="1451">
        <v>10512</v>
      </c>
      <c r="C48" s="1451">
        <v>1265</v>
      </c>
      <c r="D48" s="1451">
        <v>47855</v>
      </c>
      <c r="E48" s="1451">
        <v>132077</v>
      </c>
      <c r="F48" s="1451">
        <v>117036</v>
      </c>
      <c r="G48" s="1451">
        <v>106405</v>
      </c>
      <c r="I48">
        <v>75892</v>
      </c>
      <c r="J48">
        <v>86155</v>
      </c>
      <c r="K48">
        <v>104449</v>
      </c>
      <c r="L48">
        <v>76391</v>
      </c>
      <c r="M48">
        <v>8445</v>
      </c>
      <c r="N48">
        <v>19579</v>
      </c>
    </row>
    <row r="49" spans="1:14" ht="14.4" x14ac:dyDescent="0.3">
      <c r="A49" s="1593" t="s">
        <v>916</v>
      </c>
      <c r="B49" s="1451">
        <v>4581</v>
      </c>
      <c r="C49" s="1451">
        <v>193</v>
      </c>
      <c r="D49" s="1451">
        <v>16809</v>
      </c>
      <c r="E49" s="1451">
        <v>55955</v>
      </c>
      <c r="F49" s="1451">
        <v>35812</v>
      </c>
      <c r="G49" s="1451">
        <v>35089</v>
      </c>
    </row>
    <row r="50" spans="1:14" ht="14.4" x14ac:dyDescent="0.3">
      <c r="A50" s="1593" t="s">
        <v>927</v>
      </c>
      <c r="B50" s="1451">
        <v>19579</v>
      </c>
      <c r="C50" s="1451">
        <v>8445</v>
      </c>
      <c r="D50" s="1451">
        <v>76391</v>
      </c>
      <c r="E50" s="1451">
        <v>104449</v>
      </c>
      <c r="F50" s="1451">
        <v>86155</v>
      </c>
      <c r="G50" s="1451">
        <v>75892</v>
      </c>
    </row>
    <row r="51" spans="1:14" x14ac:dyDescent="0.2">
      <c r="B51">
        <f t="shared" ref="B51:G51" si="18">B48+B49+B50</f>
        <v>34672</v>
      </c>
      <c r="C51">
        <f t="shared" si="18"/>
        <v>9903</v>
      </c>
      <c r="D51">
        <f t="shared" si="18"/>
        <v>141055</v>
      </c>
      <c r="E51">
        <f t="shared" si="18"/>
        <v>292481</v>
      </c>
      <c r="F51">
        <f t="shared" si="18"/>
        <v>239003</v>
      </c>
      <c r="G51">
        <f t="shared" si="18"/>
        <v>217386</v>
      </c>
    </row>
    <row r="53" spans="1:14" ht="14.4" x14ac:dyDescent="0.3">
      <c r="A53" s="1592" t="s">
        <v>925</v>
      </c>
    </row>
    <row r="54" spans="1:14" ht="14.4" x14ac:dyDescent="0.3">
      <c r="A54" s="1593" t="s">
        <v>915</v>
      </c>
      <c r="B54" s="1451">
        <v>30300</v>
      </c>
      <c r="C54" s="1451">
        <v>30200</v>
      </c>
      <c r="D54" s="1451">
        <v>11200</v>
      </c>
      <c r="E54" s="1451">
        <v>21300</v>
      </c>
      <c r="F54" s="1451">
        <v>19600</v>
      </c>
      <c r="G54" s="1451">
        <v>8900</v>
      </c>
      <c r="I54" s="70">
        <v>30300</v>
      </c>
      <c r="J54" s="70">
        <v>30200</v>
      </c>
      <c r="K54" s="70">
        <v>11200</v>
      </c>
      <c r="L54" s="70">
        <v>21300</v>
      </c>
      <c r="M54" s="70">
        <v>19600</v>
      </c>
      <c r="N54" s="70">
        <v>8900</v>
      </c>
    </row>
    <row r="55" spans="1:14" ht="14.4" x14ac:dyDescent="0.3">
      <c r="A55" s="1593" t="s">
        <v>916</v>
      </c>
      <c r="B55" s="1451">
        <v>9100</v>
      </c>
      <c r="C55" s="1451">
        <v>8400</v>
      </c>
      <c r="D55" s="1451">
        <v>38600</v>
      </c>
      <c r="E55" s="1451">
        <v>6500</v>
      </c>
      <c r="F55" s="1451">
        <v>4900</v>
      </c>
      <c r="G55" s="1451">
        <v>2200</v>
      </c>
      <c r="I55" s="70">
        <v>9100</v>
      </c>
      <c r="J55" s="70">
        <v>8400</v>
      </c>
      <c r="K55" s="70">
        <v>38600</v>
      </c>
      <c r="L55" s="70">
        <v>6500</v>
      </c>
      <c r="M55" s="70">
        <v>4900</v>
      </c>
      <c r="N55" s="70">
        <v>2200</v>
      </c>
    </row>
    <row r="56" spans="1:14" ht="14.4" x14ac:dyDescent="0.3">
      <c r="A56" s="1593" t="s">
        <v>927</v>
      </c>
      <c r="B56" s="1451">
        <v>18800</v>
      </c>
      <c r="C56" s="1451">
        <v>18600</v>
      </c>
      <c r="D56" s="1451">
        <v>20100</v>
      </c>
      <c r="E56" s="1451">
        <v>18300</v>
      </c>
      <c r="F56" s="1451">
        <v>14280</v>
      </c>
      <c r="G56" s="1451">
        <v>14200</v>
      </c>
      <c r="I56" s="70">
        <v>18800</v>
      </c>
      <c r="J56" s="70">
        <v>18600</v>
      </c>
      <c r="K56" s="70">
        <v>20100</v>
      </c>
      <c r="L56" s="70">
        <v>18300</v>
      </c>
      <c r="M56" s="70">
        <v>14280</v>
      </c>
      <c r="N56" s="70">
        <v>14200</v>
      </c>
    </row>
    <row r="57" spans="1:14" x14ac:dyDescent="0.2">
      <c r="B57">
        <f t="shared" ref="B57:G57" si="19">B54+B55+B56</f>
        <v>58200</v>
      </c>
      <c r="C57">
        <f t="shared" si="19"/>
        <v>57200</v>
      </c>
      <c r="D57">
        <f t="shared" si="19"/>
        <v>69900</v>
      </c>
      <c r="E57">
        <f t="shared" si="19"/>
        <v>46100</v>
      </c>
      <c r="F57">
        <f t="shared" si="19"/>
        <v>38780</v>
      </c>
      <c r="G57">
        <f t="shared" si="19"/>
        <v>25300</v>
      </c>
    </row>
    <row r="58" spans="1:14" ht="14.4" x14ac:dyDescent="0.3">
      <c r="A58" s="1593" t="s">
        <v>915</v>
      </c>
      <c r="B58" s="1451"/>
      <c r="C58" s="1451"/>
      <c r="D58" s="1451"/>
      <c r="E58" s="1451">
        <v>0</v>
      </c>
      <c r="F58" s="1451"/>
      <c r="G58" s="1451"/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ht="14.4" x14ac:dyDescent="0.3">
      <c r="A59" s="1593" t="s">
        <v>916</v>
      </c>
      <c r="B59" s="1451"/>
      <c r="C59" s="1451"/>
      <c r="D59" s="1451"/>
      <c r="E59" s="1451">
        <v>18</v>
      </c>
      <c r="F59" s="1451"/>
      <c r="G59" s="1451"/>
      <c r="I59">
        <v>0</v>
      </c>
      <c r="J59">
        <v>0</v>
      </c>
      <c r="K59">
        <v>0</v>
      </c>
      <c r="L59">
        <v>18</v>
      </c>
      <c r="M59">
        <v>0</v>
      </c>
      <c r="N59">
        <v>0</v>
      </c>
    </row>
    <row r="60" spans="1:14" ht="14.4" x14ac:dyDescent="0.3">
      <c r="A60" s="1593" t="s">
        <v>927</v>
      </c>
      <c r="B60" s="1451"/>
      <c r="C60" s="1451"/>
      <c r="D60" s="1451"/>
      <c r="E60" s="1451">
        <v>60</v>
      </c>
      <c r="F60" s="1451"/>
      <c r="G60" s="1451"/>
      <c r="I60">
        <v>0</v>
      </c>
      <c r="J60">
        <v>0</v>
      </c>
      <c r="K60">
        <v>0</v>
      </c>
      <c r="L60">
        <v>60</v>
      </c>
      <c r="M60">
        <v>0</v>
      </c>
      <c r="N60">
        <v>0</v>
      </c>
    </row>
    <row r="61" spans="1:14" x14ac:dyDescent="0.2">
      <c r="B61">
        <f t="shared" ref="B61:G61" si="20">B58+B59+B60</f>
        <v>0</v>
      </c>
      <c r="C61">
        <f t="shared" si="20"/>
        <v>0</v>
      </c>
      <c r="D61">
        <f t="shared" si="20"/>
        <v>0</v>
      </c>
      <c r="E61">
        <f t="shared" si="20"/>
        <v>78</v>
      </c>
      <c r="F61">
        <f t="shared" si="20"/>
        <v>0</v>
      </c>
      <c r="G61">
        <f t="shared" si="20"/>
        <v>0</v>
      </c>
    </row>
    <row r="62" spans="1:14" ht="14.4" x14ac:dyDescent="0.3">
      <c r="A62" s="1593" t="s">
        <v>926</v>
      </c>
    </row>
    <row r="63" spans="1:14" ht="14.4" x14ac:dyDescent="0.3">
      <c r="A63" s="1593" t="s">
        <v>915</v>
      </c>
      <c r="B63" s="1451">
        <v>1170511</v>
      </c>
      <c r="C63" s="1451">
        <v>1228984</v>
      </c>
      <c r="D63" s="1451">
        <v>1205352</v>
      </c>
      <c r="E63" s="1451">
        <v>1187801</v>
      </c>
      <c r="F63" s="1451">
        <v>884673</v>
      </c>
      <c r="G63" s="1451">
        <v>1138158</v>
      </c>
      <c r="I63">
        <v>1138158</v>
      </c>
      <c r="J63">
        <v>884673</v>
      </c>
      <c r="K63">
        <v>1187801</v>
      </c>
      <c r="L63">
        <v>1205352</v>
      </c>
      <c r="M63">
        <v>1228984</v>
      </c>
      <c r="N63">
        <v>1170511</v>
      </c>
    </row>
    <row r="64" spans="1:14" ht="14.4" x14ac:dyDescent="0.3">
      <c r="A64" s="1593" t="s">
        <v>916</v>
      </c>
      <c r="B64" s="1451">
        <v>310669</v>
      </c>
      <c r="C64" s="1451">
        <v>342033</v>
      </c>
      <c r="D64" s="1451">
        <v>352396</v>
      </c>
      <c r="E64" s="1451">
        <v>573416</v>
      </c>
      <c r="F64" s="1451">
        <v>424068</v>
      </c>
      <c r="G64" s="1451">
        <v>309091</v>
      </c>
      <c r="I64">
        <v>309091</v>
      </c>
      <c r="J64">
        <v>424068</v>
      </c>
      <c r="K64">
        <v>573416</v>
      </c>
      <c r="L64">
        <v>352396</v>
      </c>
      <c r="M64">
        <v>342033</v>
      </c>
      <c r="N64">
        <v>310669</v>
      </c>
    </row>
    <row r="65" spans="1:15" ht="14.4" x14ac:dyDescent="0.3">
      <c r="A65" s="1593" t="s">
        <v>927</v>
      </c>
      <c r="B65" s="1451">
        <v>549086</v>
      </c>
      <c r="C65" s="1451">
        <v>602578</v>
      </c>
      <c r="D65" s="1451">
        <v>623895</v>
      </c>
      <c r="E65" s="1451">
        <v>319056</v>
      </c>
      <c r="F65" s="1451">
        <v>245814</v>
      </c>
      <c r="G65" s="1451">
        <v>583460</v>
      </c>
      <c r="I65">
        <v>583460</v>
      </c>
      <c r="J65">
        <v>245814</v>
      </c>
      <c r="K65">
        <v>319056</v>
      </c>
      <c r="L65">
        <v>623895</v>
      </c>
      <c r="M65">
        <v>602578</v>
      </c>
      <c r="N65">
        <v>549086</v>
      </c>
    </row>
    <row r="66" spans="1:15" x14ac:dyDescent="0.2">
      <c r="B66">
        <f t="shared" ref="B66:G66" si="21">B63+B64+B65</f>
        <v>2030266</v>
      </c>
      <c r="C66">
        <f t="shared" si="21"/>
        <v>2173595</v>
      </c>
      <c r="D66">
        <f t="shared" si="21"/>
        <v>2181643</v>
      </c>
      <c r="E66">
        <f t="shared" si="21"/>
        <v>2080273</v>
      </c>
      <c r="F66">
        <f t="shared" si="21"/>
        <v>1554555</v>
      </c>
      <c r="G66">
        <f t="shared" si="21"/>
        <v>2030709</v>
      </c>
    </row>
    <row r="69" spans="1:15" x14ac:dyDescent="0.2">
      <c r="A69" s="1607" t="s">
        <v>952</v>
      </c>
    </row>
    <row r="70" spans="1:15" x14ac:dyDescent="0.2">
      <c r="A70" s="415"/>
      <c r="B70" s="123">
        <f>B32</f>
        <v>43647</v>
      </c>
      <c r="C70" s="123">
        <f t="shared" ref="C70:G70" si="22">C32</f>
        <v>43678</v>
      </c>
      <c r="D70" s="123">
        <f t="shared" si="22"/>
        <v>43709</v>
      </c>
      <c r="E70" s="123">
        <f t="shared" si="22"/>
        <v>43739</v>
      </c>
      <c r="F70" s="123">
        <f t="shared" si="22"/>
        <v>43770</v>
      </c>
      <c r="G70" s="123">
        <f t="shared" si="22"/>
        <v>43800</v>
      </c>
      <c r="I70" s="123">
        <f>B70</f>
        <v>43647</v>
      </c>
      <c r="J70" s="123">
        <f t="shared" ref="J70:N70" si="23">C70</f>
        <v>43678</v>
      </c>
      <c r="K70" s="123">
        <f t="shared" si="23"/>
        <v>43709</v>
      </c>
      <c r="L70" s="123">
        <f t="shared" si="23"/>
        <v>43739</v>
      </c>
      <c r="M70" s="123">
        <f t="shared" si="23"/>
        <v>43770</v>
      </c>
      <c r="N70" s="123">
        <f t="shared" si="23"/>
        <v>43800</v>
      </c>
      <c r="O70" s="415"/>
    </row>
    <row r="71" spans="1:15" x14ac:dyDescent="0.2">
      <c r="A71" s="415" t="s">
        <v>955</v>
      </c>
      <c r="B71" s="1573"/>
      <c r="C71" s="123"/>
      <c r="D71" s="123"/>
      <c r="E71" s="123"/>
      <c r="F71" s="123"/>
      <c r="G71" s="123"/>
      <c r="H71" s="415"/>
      <c r="O71" s="415" t="s">
        <v>957</v>
      </c>
    </row>
    <row r="72" spans="1:15" ht="14.4" x14ac:dyDescent="0.3">
      <c r="A72" s="1593" t="s">
        <v>915</v>
      </c>
      <c r="B72" s="402">
        <f t="shared" ref="B72:G74" si="24">B43+B54+B58+B63</f>
        <v>1223909</v>
      </c>
      <c r="C72" s="402">
        <f t="shared" si="24"/>
        <v>1321806</v>
      </c>
      <c r="D72" s="402">
        <f t="shared" si="24"/>
        <v>1316340</v>
      </c>
      <c r="E72" s="402">
        <f t="shared" si="24"/>
        <v>1425145</v>
      </c>
      <c r="F72" s="402">
        <f t="shared" si="24"/>
        <v>1040435</v>
      </c>
      <c r="G72" s="402">
        <f t="shared" si="24"/>
        <v>1329148</v>
      </c>
      <c r="I72" s="314">
        <f>B72/$B$75</f>
        <v>0.57962202424364118</v>
      </c>
      <c r="J72" s="314">
        <f>C72/$C$75</f>
        <v>0.57634786870420862</v>
      </c>
      <c r="K72" s="314">
        <f>D72/$D$75</f>
        <v>0.55982760402512455</v>
      </c>
      <c r="L72" s="314">
        <f>E72/$E$75</f>
        <v>0.60838763796721018</v>
      </c>
      <c r="M72" s="1574">
        <f>F72/$F$75</f>
        <v>0.60158242541039386</v>
      </c>
      <c r="N72" s="1574">
        <f>G72/$G$75</f>
        <v>0.59387364008473265</v>
      </c>
      <c r="O72" s="314">
        <f>AVERAGE(I72:M72)</f>
        <v>0.58515351207011557</v>
      </c>
    </row>
    <row r="73" spans="1:15" ht="14.4" x14ac:dyDescent="0.3">
      <c r="A73" s="1593" t="s">
        <v>916</v>
      </c>
      <c r="B73" s="402">
        <f t="shared" si="24"/>
        <v>319769</v>
      </c>
      <c r="C73" s="402">
        <f t="shared" si="24"/>
        <v>350433</v>
      </c>
      <c r="D73" s="402">
        <f t="shared" si="24"/>
        <v>390996</v>
      </c>
      <c r="E73" s="402">
        <f t="shared" si="24"/>
        <v>579934</v>
      </c>
      <c r="F73" s="402">
        <f>F44+F55+F59+F64</f>
        <v>428968</v>
      </c>
      <c r="G73" s="402">
        <f>G44+G55+G59+G64</f>
        <v>311291</v>
      </c>
      <c r="I73" s="314">
        <f>B73/$B$75</f>
        <v>0.15143703908572034</v>
      </c>
      <c r="J73" s="314">
        <f>C73/$C$75</f>
        <v>0.15279951269219683</v>
      </c>
      <c r="K73" s="314">
        <f>D73/$D$75</f>
        <v>0.16628709441588616</v>
      </c>
      <c r="L73" s="314">
        <f>E73/$E$75</f>
        <v>0.24757107272374113</v>
      </c>
      <c r="M73" s="1574">
        <f>F73/$F$75</f>
        <v>0.24803049672823949</v>
      </c>
      <c r="N73" s="1574">
        <f>G73/$G$75</f>
        <v>0.13908723430018063</v>
      </c>
      <c r="O73" s="314">
        <f>AVERAGE(I73:M73)</f>
        <v>0.19322504312915681</v>
      </c>
    </row>
    <row r="74" spans="1:15" ht="14.4" x14ac:dyDescent="0.3">
      <c r="A74" s="1593" t="s">
        <v>927</v>
      </c>
      <c r="B74" s="402">
        <f t="shared" si="24"/>
        <v>567886</v>
      </c>
      <c r="C74" s="402">
        <f t="shared" si="24"/>
        <v>621178</v>
      </c>
      <c r="D74" s="402">
        <f t="shared" si="24"/>
        <v>643995</v>
      </c>
      <c r="E74" s="402">
        <f t="shared" si="24"/>
        <v>337416</v>
      </c>
      <c r="F74" s="402">
        <f>F45+F56+F60+F65</f>
        <v>260094</v>
      </c>
      <c r="G74" s="402">
        <f>G45+G56+G60+G65</f>
        <v>597660</v>
      </c>
      <c r="I74" s="314">
        <f>B74/$B$75</f>
        <v>0.26894093667063845</v>
      </c>
      <c r="J74" s="314">
        <f>C74/$C$75</f>
        <v>0.27085261860359455</v>
      </c>
      <c r="K74" s="314">
        <f>D74/$D$75</f>
        <v>0.27388530155898938</v>
      </c>
      <c r="L74" s="314">
        <f>E74/$E$75</f>
        <v>0.14404128930904869</v>
      </c>
      <c r="M74" s="1574">
        <f>F74/$F$75</f>
        <v>0.15038707786136662</v>
      </c>
      <c r="N74" s="1574">
        <f>G74/$G$75</f>
        <v>0.26703912561508675</v>
      </c>
      <c r="O74" s="314">
        <f>AVERAGE(I74:M74)</f>
        <v>0.22162144480072757</v>
      </c>
    </row>
    <row r="75" spans="1:15" x14ac:dyDescent="0.2">
      <c r="B75" s="241">
        <f t="shared" ref="B75:G75" si="25">B72+B73+B74</f>
        <v>2111564</v>
      </c>
      <c r="C75" s="241">
        <f t="shared" si="25"/>
        <v>2293417</v>
      </c>
      <c r="D75" s="241">
        <f t="shared" si="25"/>
        <v>2351331</v>
      </c>
      <c r="E75" s="241">
        <f t="shared" si="25"/>
        <v>2342495</v>
      </c>
      <c r="F75" s="241">
        <f t="shared" si="25"/>
        <v>1729497</v>
      </c>
      <c r="G75" s="241">
        <f t="shared" si="25"/>
        <v>2238099</v>
      </c>
      <c r="I75" s="314"/>
      <c r="J75" s="314"/>
      <c r="K75" s="314"/>
      <c r="L75" s="314"/>
      <c r="M75" s="314"/>
      <c r="N75" s="1574"/>
    </row>
    <row r="76" spans="1:15" x14ac:dyDescent="0.2">
      <c r="A76" s="415" t="s">
        <v>956</v>
      </c>
      <c r="I76" s="314"/>
      <c r="J76" s="314"/>
      <c r="K76" s="314"/>
      <c r="L76" s="314"/>
      <c r="M76" s="314"/>
      <c r="N76" s="1574"/>
      <c r="O76" s="415" t="s">
        <v>958</v>
      </c>
    </row>
    <row r="77" spans="1:15" ht="14.4" x14ac:dyDescent="0.3">
      <c r="A77" s="1593" t="s">
        <v>915</v>
      </c>
      <c r="B77">
        <f t="shared" ref="B77:G79" si="26">B34+B38+B48</f>
        <v>194265</v>
      </c>
      <c r="C77">
        <f t="shared" si="26"/>
        <v>541663</v>
      </c>
      <c r="D77">
        <f t="shared" si="26"/>
        <v>499517</v>
      </c>
      <c r="E77">
        <f t="shared" si="26"/>
        <v>680493</v>
      </c>
      <c r="F77">
        <f t="shared" si="26"/>
        <v>673004</v>
      </c>
      <c r="G77">
        <f t="shared" si="26"/>
        <v>882656</v>
      </c>
      <c r="I77" s="314">
        <f>B77/$B$80</f>
        <v>0.43263930800872114</v>
      </c>
      <c r="J77" s="314">
        <f>C77/$C$80</f>
        <v>0.47943773522112115</v>
      </c>
      <c r="K77" s="314">
        <f>D77/$D$80</f>
        <v>0.4147165826191927</v>
      </c>
      <c r="L77" s="314">
        <f>E77/$E$80</f>
        <v>0.44032428389140671</v>
      </c>
      <c r="M77" s="1574">
        <f>F77/$F$80</f>
        <v>0.49046263542299784</v>
      </c>
      <c r="N77" s="1574">
        <f>G77/$G$80</f>
        <v>0.46066294513312761</v>
      </c>
      <c r="O77" s="1117">
        <f>AVERAGE(I77:M77)</f>
        <v>0.45151610903268791</v>
      </c>
    </row>
    <row r="78" spans="1:15" ht="14.4" x14ac:dyDescent="0.3">
      <c r="A78" s="1593" t="s">
        <v>916</v>
      </c>
      <c r="B78">
        <f t="shared" si="26"/>
        <v>52778</v>
      </c>
      <c r="C78">
        <f t="shared" si="26"/>
        <v>168923</v>
      </c>
      <c r="D78">
        <f t="shared" si="26"/>
        <v>150461</v>
      </c>
      <c r="E78">
        <f t="shared" si="26"/>
        <v>257955</v>
      </c>
      <c r="F78">
        <f t="shared" si="26"/>
        <v>162026</v>
      </c>
      <c r="G78">
        <f t="shared" si="26"/>
        <v>244012</v>
      </c>
      <c r="I78" s="314">
        <f>B78/$B$80</f>
        <v>0.11753963605427785</v>
      </c>
      <c r="J78" s="314">
        <f>C78/$C$80</f>
        <v>0.14951743158893527</v>
      </c>
      <c r="K78" s="314">
        <f>D78/$D$80</f>
        <v>0.12491801427672403</v>
      </c>
      <c r="L78" s="314">
        <f>E78/$E$80</f>
        <v>0.16691406179227092</v>
      </c>
      <c r="M78" s="1574">
        <f>F78/$F$80</f>
        <v>0.11807908863401502</v>
      </c>
      <c r="N78" s="1574">
        <f>G78/$G$80</f>
        <v>0.12735118389024119</v>
      </c>
      <c r="O78" s="1117">
        <f>AVERAGE(I78:M78)</f>
        <v>0.13539364646924462</v>
      </c>
    </row>
    <row r="79" spans="1:15" ht="14.4" x14ac:dyDescent="0.3">
      <c r="A79" s="1593" t="s">
        <v>927</v>
      </c>
      <c r="B79">
        <f t="shared" si="26"/>
        <v>201980</v>
      </c>
      <c r="C79">
        <f t="shared" si="26"/>
        <v>419202</v>
      </c>
      <c r="D79">
        <f t="shared" si="26"/>
        <v>554500</v>
      </c>
      <c r="E79">
        <f t="shared" si="26"/>
        <v>606988</v>
      </c>
      <c r="F79">
        <f t="shared" si="26"/>
        <v>537152</v>
      </c>
      <c r="G79">
        <f t="shared" si="26"/>
        <v>789388</v>
      </c>
      <c r="I79" s="314">
        <f>B79/$B$80</f>
        <v>0.449821055937001</v>
      </c>
      <c r="J79" s="314">
        <f>C79/$C$80</f>
        <v>0.37104483318994358</v>
      </c>
      <c r="K79" s="314">
        <f>D79/$D$80</f>
        <v>0.46036540310408325</v>
      </c>
      <c r="L79" s="314">
        <f>E79/$E$80</f>
        <v>0.39276165431632237</v>
      </c>
      <c r="M79" s="1574">
        <f>F79/$F$80</f>
        <v>0.39145827594298716</v>
      </c>
      <c r="N79" s="1574">
        <f>G79/$G$80</f>
        <v>0.41198587097663114</v>
      </c>
      <c r="O79" s="1117">
        <f>AVERAGE(I79:M79)</f>
        <v>0.41309024449806742</v>
      </c>
    </row>
    <row r="80" spans="1:15" x14ac:dyDescent="0.2">
      <c r="B80">
        <f t="shared" ref="B80:G80" si="27">B77+B78+B79</f>
        <v>449023</v>
      </c>
      <c r="C80">
        <f t="shared" si="27"/>
        <v>1129788</v>
      </c>
      <c r="D80">
        <f t="shared" si="27"/>
        <v>1204478</v>
      </c>
      <c r="E80">
        <f t="shared" si="27"/>
        <v>1545436</v>
      </c>
      <c r="F80">
        <f t="shared" si="27"/>
        <v>1372182</v>
      </c>
      <c r="G80">
        <f t="shared" si="27"/>
        <v>1916056</v>
      </c>
    </row>
    <row r="81" spans="1:13" ht="14.4" hidden="1" x14ac:dyDescent="0.3">
      <c r="A81" s="1575" t="s">
        <v>445</v>
      </c>
    </row>
    <row r="82" spans="1:13" ht="14.4" hidden="1" x14ac:dyDescent="0.3">
      <c r="A82" s="1593" t="s">
        <v>915</v>
      </c>
      <c r="B82" s="414">
        <f t="shared" ref="B82:G84" si="28">B72+B77</f>
        <v>1418174</v>
      </c>
      <c r="C82" s="414">
        <f t="shared" si="28"/>
        <v>1863469</v>
      </c>
      <c r="D82" s="414">
        <f t="shared" si="28"/>
        <v>1815857</v>
      </c>
      <c r="E82" s="414">
        <f t="shared" si="28"/>
        <v>2105638</v>
      </c>
      <c r="F82" s="414">
        <f t="shared" si="28"/>
        <v>1713439</v>
      </c>
      <c r="G82" s="414">
        <f t="shared" si="28"/>
        <v>2211804</v>
      </c>
      <c r="I82" s="1576">
        <f>B82/$B$85</f>
        <v>0.55384722331246705</v>
      </c>
      <c r="J82" s="1576">
        <f>C82/$C$85</f>
        <v>0.54436383447675496</v>
      </c>
      <c r="K82" s="1576">
        <f>D82/$D$85</f>
        <v>0.5106733798131452</v>
      </c>
      <c r="L82" s="1576">
        <f>E82/$E$85</f>
        <v>0.5415831711005159</v>
      </c>
      <c r="M82" s="1576">
        <f>F82/$F$85</f>
        <v>0.55242305860793461</v>
      </c>
    </row>
    <row r="83" spans="1:13" ht="14.4" hidden="1" x14ac:dyDescent="0.3">
      <c r="A83" s="1593" t="s">
        <v>916</v>
      </c>
      <c r="B83" s="414">
        <f t="shared" si="28"/>
        <v>372547</v>
      </c>
      <c r="C83" s="414">
        <f t="shared" si="28"/>
        <v>519356</v>
      </c>
      <c r="D83" s="414">
        <f t="shared" si="28"/>
        <v>541457</v>
      </c>
      <c r="E83" s="414">
        <f t="shared" si="28"/>
        <v>837889</v>
      </c>
      <c r="F83" s="414">
        <f t="shared" si="28"/>
        <v>590994</v>
      </c>
      <c r="G83" s="414">
        <f t="shared" si="28"/>
        <v>555303</v>
      </c>
      <c r="I83" s="1576">
        <f>B83/$B$85</f>
        <v>0.14549281082814214</v>
      </c>
      <c r="J83" s="1576">
        <f>C83/$C$85</f>
        <v>0.15171630095188574</v>
      </c>
      <c r="K83" s="1576">
        <f>D83/$D$85</f>
        <v>0.15227392697414288</v>
      </c>
      <c r="L83" s="1576">
        <f>E83/$E$85</f>
        <v>0.21551025468301779</v>
      </c>
      <c r="M83" s="1576">
        <f>F83/$F$85</f>
        <v>0.1905400268693182</v>
      </c>
    </row>
    <row r="84" spans="1:13" ht="14.4" hidden="1" x14ac:dyDescent="0.3">
      <c r="A84" s="1593" t="s">
        <v>927</v>
      </c>
      <c r="B84" s="414">
        <f t="shared" si="28"/>
        <v>769866</v>
      </c>
      <c r="C84" s="414">
        <f t="shared" si="28"/>
        <v>1040380</v>
      </c>
      <c r="D84" s="414">
        <f t="shared" si="28"/>
        <v>1198495</v>
      </c>
      <c r="E84" s="414">
        <f t="shared" si="28"/>
        <v>944404</v>
      </c>
      <c r="F84" s="414">
        <f t="shared" si="28"/>
        <v>797246</v>
      </c>
      <c r="G84" s="414">
        <f t="shared" si="28"/>
        <v>1387048</v>
      </c>
      <c r="I84" s="1576">
        <f>B84/$B$85</f>
        <v>0.30065996585939081</v>
      </c>
      <c r="J84" s="1576">
        <f>C84/$C$85</f>
        <v>0.30391986457135928</v>
      </c>
      <c r="K84" s="1576">
        <f>D84/$D$85</f>
        <v>0.33705269321271192</v>
      </c>
      <c r="L84" s="1576">
        <f>E84/$E$85</f>
        <v>0.2429065742164663</v>
      </c>
      <c r="M84" s="1576">
        <f>F84/$F$85</f>
        <v>0.25703691452274718</v>
      </c>
    </row>
    <row r="85" spans="1:13" hidden="1" x14ac:dyDescent="0.2">
      <c r="B85" s="414">
        <f t="shared" ref="B85:G85" si="29">B82+B83+B84</f>
        <v>2560587</v>
      </c>
      <c r="C85" s="414">
        <f t="shared" si="29"/>
        <v>3423205</v>
      </c>
      <c r="D85" s="414">
        <f t="shared" si="29"/>
        <v>3555809</v>
      </c>
      <c r="E85" s="414">
        <f t="shared" si="29"/>
        <v>3887931</v>
      </c>
      <c r="F85" s="414">
        <f t="shared" si="29"/>
        <v>3101679</v>
      </c>
      <c r="G85" s="414">
        <f t="shared" si="29"/>
        <v>4154155</v>
      </c>
    </row>
    <row r="88" spans="1:13" x14ac:dyDescent="0.2">
      <c r="A88" s="1607" t="s">
        <v>959</v>
      </c>
    </row>
    <row r="89" spans="1:13" x14ac:dyDescent="0.2">
      <c r="A89" s="1607"/>
      <c r="B89" s="123">
        <f>B70</f>
        <v>43647</v>
      </c>
      <c r="C89" s="123">
        <f t="shared" ref="C89:G89" si="30">C70</f>
        <v>43678</v>
      </c>
      <c r="D89" s="123">
        <f t="shared" si="30"/>
        <v>43709</v>
      </c>
      <c r="E89" s="123">
        <f t="shared" si="30"/>
        <v>43739</v>
      </c>
      <c r="F89" s="123">
        <f t="shared" si="30"/>
        <v>43770</v>
      </c>
      <c r="G89" s="123">
        <f t="shared" si="30"/>
        <v>43800</v>
      </c>
    </row>
    <row r="90" spans="1:13" x14ac:dyDescent="0.2">
      <c r="A90" s="415" t="s">
        <v>960</v>
      </c>
      <c r="I90" s="415" t="s">
        <v>928</v>
      </c>
    </row>
    <row r="91" spans="1:13" ht="14.4" x14ac:dyDescent="0.3">
      <c r="A91" s="1593" t="s">
        <v>915</v>
      </c>
      <c r="B91" s="402" t="e">
        <f>B72*$I$91</f>
        <v>#REF!</v>
      </c>
      <c r="C91" s="402" t="e">
        <f>C72*$I$91</f>
        <v>#REF!</v>
      </c>
      <c r="D91" s="402" t="e">
        <f>D72*$I$91</f>
        <v>#REF!</v>
      </c>
      <c r="E91" s="402" t="e">
        <f>E72*$I$91</f>
        <v>#REF!</v>
      </c>
      <c r="F91" s="402" t="e">
        <f>F72*$I$91</f>
        <v>#REF!</v>
      </c>
      <c r="G91" s="1327" t="e">
        <f>AVERAGE(B91:F91)</f>
        <v>#REF!</v>
      </c>
      <c r="I91" s="165" t="e">
        <f>'Tr Bulk Supply Tariffs (2)'!C142</f>
        <v>#REF!</v>
      </c>
    </row>
    <row r="92" spans="1:13" ht="14.4" x14ac:dyDescent="0.3">
      <c r="A92" s="1593" t="s">
        <v>916</v>
      </c>
      <c r="B92" s="402" t="e">
        <f>B73*$I$92</f>
        <v>#REF!</v>
      </c>
      <c r="C92" s="402" t="e">
        <f>C73*$I$92</f>
        <v>#REF!</v>
      </c>
      <c r="D92" s="402" t="e">
        <f>D73*$I$92</f>
        <v>#REF!</v>
      </c>
      <c r="E92" s="402" t="e">
        <f>E73*$I$92</f>
        <v>#REF!</v>
      </c>
      <c r="F92" s="402" t="e">
        <f>F73*$I$92</f>
        <v>#REF!</v>
      </c>
      <c r="G92" s="1327" t="e">
        <f>AVERAGE(B92:F92)</f>
        <v>#REF!</v>
      </c>
      <c r="I92" s="165" t="e">
        <f>'Tr Bulk Supply Tariffs (2)'!C143</f>
        <v>#REF!</v>
      </c>
    </row>
    <row r="93" spans="1:13" ht="14.4" x14ac:dyDescent="0.3">
      <c r="A93" s="1593" t="s">
        <v>927</v>
      </c>
      <c r="B93" s="402" t="e">
        <f>B74*$I$93</f>
        <v>#REF!</v>
      </c>
      <c r="C93" s="402" t="e">
        <f>C74*$I$93</f>
        <v>#REF!</v>
      </c>
      <c r="D93" s="402" t="e">
        <f>D74*$I$93</f>
        <v>#REF!</v>
      </c>
      <c r="E93" s="402" t="e">
        <f>E74*$I$93</f>
        <v>#REF!</v>
      </c>
      <c r="F93" s="402" t="e">
        <f>F74*$I$93</f>
        <v>#REF!</v>
      </c>
      <c r="G93" s="1327" t="e">
        <f>AVERAGE(B93:F93)</f>
        <v>#REF!</v>
      </c>
      <c r="I93" s="165" t="e">
        <f>'Tr Bulk Supply Tariffs (2)'!C144</f>
        <v>#REF!</v>
      </c>
    </row>
    <row r="94" spans="1:13" x14ac:dyDescent="0.2">
      <c r="B94" s="241" t="e">
        <f t="shared" ref="B94:G94" si="31">B91+B92+B93</f>
        <v>#REF!</v>
      </c>
      <c r="C94" s="241" t="e">
        <f t="shared" si="31"/>
        <v>#REF!</v>
      </c>
      <c r="D94" s="241" t="e">
        <f t="shared" si="31"/>
        <v>#REF!</v>
      </c>
      <c r="E94" s="241" t="e">
        <f t="shared" si="31"/>
        <v>#REF!</v>
      </c>
      <c r="F94" s="241" t="e">
        <f t="shared" si="31"/>
        <v>#REF!</v>
      </c>
      <c r="G94" s="241" t="e">
        <f t="shared" si="31"/>
        <v>#REF!</v>
      </c>
    </row>
    <row r="95" spans="1:13" x14ac:dyDescent="0.2">
      <c r="A95" s="415" t="s">
        <v>961</v>
      </c>
      <c r="I95" s="415" t="s">
        <v>929</v>
      </c>
    </row>
    <row r="96" spans="1:13" ht="14.4" x14ac:dyDescent="0.3">
      <c r="A96" s="1593" t="s">
        <v>915</v>
      </c>
      <c r="B96" s="402" t="e">
        <f>B77*$I$96</f>
        <v>#REF!</v>
      </c>
      <c r="C96" s="402" t="e">
        <f>C77*$I$96</f>
        <v>#REF!</v>
      </c>
      <c r="D96" s="402" t="e">
        <f>D77*$I$96</f>
        <v>#REF!</v>
      </c>
      <c r="E96" s="402" t="e">
        <f>E77*$I$96</f>
        <v>#REF!</v>
      </c>
      <c r="F96" s="402" t="e">
        <f>F77*$I$96</f>
        <v>#REF!</v>
      </c>
      <c r="G96" s="1327" t="e">
        <f>AVERAGE(B96:F96)</f>
        <v>#REF!</v>
      </c>
      <c r="I96" s="165" t="e">
        <f>'Tr Bulk Supply Tariffs (2)'!C168</f>
        <v>#REF!</v>
      </c>
    </row>
    <row r="97" spans="1:9" ht="14.4" x14ac:dyDescent="0.3">
      <c r="A97" s="1593" t="s">
        <v>916</v>
      </c>
      <c r="B97" s="402" t="e">
        <f>B78*$I$97</f>
        <v>#REF!</v>
      </c>
      <c r="C97" s="402" t="e">
        <f>C78*$I$97</f>
        <v>#REF!</v>
      </c>
      <c r="D97" s="402" t="e">
        <f>D78*$I$97</f>
        <v>#REF!</v>
      </c>
      <c r="E97" s="402" t="e">
        <f>E78*$I$97</f>
        <v>#REF!</v>
      </c>
      <c r="F97" s="402" t="e">
        <f>F78*$I$97</f>
        <v>#REF!</v>
      </c>
      <c r="G97" s="1327" t="e">
        <f>AVERAGE(B97:F97)</f>
        <v>#REF!</v>
      </c>
      <c r="I97" s="165" t="e">
        <f>'Tr Bulk Supply Tariffs (2)'!C169</f>
        <v>#REF!</v>
      </c>
    </row>
    <row r="98" spans="1:9" ht="14.4" x14ac:dyDescent="0.3">
      <c r="A98" s="1593" t="s">
        <v>927</v>
      </c>
      <c r="B98" s="402" t="e">
        <f>B79*$I$98</f>
        <v>#REF!</v>
      </c>
      <c r="C98" s="402" t="e">
        <f>C79*$I$98</f>
        <v>#REF!</v>
      </c>
      <c r="D98" s="402" t="e">
        <f>D79*$I$98</f>
        <v>#REF!</v>
      </c>
      <c r="E98" s="402" t="e">
        <f>E79*$I$98</f>
        <v>#REF!</v>
      </c>
      <c r="F98" s="402" t="e">
        <f>F79*$I$98</f>
        <v>#REF!</v>
      </c>
      <c r="G98" s="1327" t="e">
        <f>AVERAGE(B98:F98)</f>
        <v>#REF!</v>
      </c>
      <c r="I98" s="165" t="e">
        <f>'Tr Bulk Supply Tariffs (2)'!C170</f>
        <v>#REF!</v>
      </c>
    </row>
    <row r="99" spans="1:9" x14ac:dyDescent="0.2">
      <c r="B99" s="402" t="e">
        <f t="shared" ref="B99:G99" si="32">B96+B97+B98</f>
        <v>#REF!</v>
      </c>
      <c r="C99" s="402" t="e">
        <f t="shared" si="32"/>
        <v>#REF!</v>
      </c>
      <c r="D99" s="402" t="e">
        <f t="shared" si="32"/>
        <v>#REF!</v>
      </c>
      <c r="E99" s="402" t="e">
        <f t="shared" si="32"/>
        <v>#REF!</v>
      </c>
      <c r="F99" s="402" t="e">
        <f t="shared" si="32"/>
        <v>#REF!</v>
      </c>
      <c r="G99" s="1327" t="e">
        <f t="shared" si="32"/>
        <v>#REF!</v>
      </c>
      <c r="I99" s="165"/>
    </row>
  </sheetData>
  <pageMargins left="0.7" right="0.7" top="0.75" bottom="0.75" header="0.3" footer="0.3"/>
  <pageSetup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00FF00"/>
  </sheetPr>
  <dimension ref="A1:M99"/>
  <sheetViews>
    <sheetView workbookViewId="0">
      <selection activeCell="I18" sqref="I18"/>
    </sheetView>
  </sheetViews>
  <sheetFormatPr defaultRowHeight="12.6" x14ac:dyDescent="0.2"/>
  <cols>
    <col min="1" max="1" width="12" customWidth="1"/>
    <col min="2" max="2" width="13.08984375" customWidth="1"/>
    <col min="3" max="3" width="20.26953125" customWidth="1"/>
    <col min="4" max="4" width="19.453125" customWidth="1"/>
    <col min="5" max="5" width="19.36328125" customWidth="1"/>
    <col min="6" max="6" width="18.08984375" bestFit="1" customWidth="1"/>
    <col min="7" max="7" width="19" bestFit="1" customWidth="1"/>
    <col min="8" max="8" width="18.08984375" bestFit="1" customWidth="1"/>
    <col min="9" max="9" width="18.453125" customWidth="1"/>
    <col min="10" max="11" width="12" customWidth="1"/>
    <col min="12" max="13" width="11.6328125" bestFit="1" customWidth="1"/>
  </cols>
  <sheetData>
    <row r="1" spans="1:13" ht="14.4" x14ac:dyDescent="0.3">
      <c r="E1" s="681">
        <f>DispatchSchedule!F3</f>
        <v>46023</v>
      </c>
      <c r="F1" s="681">
        <f>DispatchSchedule!G3</f>
        <v>46054</v>
      </c>
      <c r="G1" s="681">
        <f>DispatchSchedule!H3</f>
        <v>46082</v>
      </c>
      <c r="H1" s="681">
        <f>DispatchSchedule!I3</f>
        <v>46113</v>
      </c>
      <c r="I1" s="681">
        <f>DispatchSchedule!J3</f>
        <v>46143</v>
      </c>
      <c r="J1" s="681">
        <f>DispatchSchedule!K3</f>
        <v>46174</v>
      </c>
    </row>
    <row r="2" spans="1:13" ht="14.4" x14ac:dyDescent="0.3">
      <c r="A2" s="682"/>
      <c r="B2" s="682"/>
      <c r="C2" s="682"/>
      <c r="D2" s="683" t="s">
        <v>679</v>
      </c>
      <c r="E2" s="682" t="s">
        <v>39</v>
      </c>
      <c r="F2" s="682" t="s">
        <v>39</v>
      </c>
      <c r="G2" s="682" t="s">
        <v>39</v>
      </c>
      <c r="H2" s="682" t="s">
        <v>39</v>
      </c>
      <c r="I2" s="682" t="s">
        <v>39</v>
      </c>
      <c r="J2" s="682" t="s">
        <v>39</v>
      </c>
    </row>
    <row r="3" spans="1:13" ht="14.4" x14ac:dyDescent="0.3">
      <c r="A3" s="684" t="s">
        <v>649</v>
      </c>
      <c r="B3" s="685"/>
      <c r="C3" s="685"/>
      <c r="D3" s="685"/>
      <c r="E3" s="686">
        <f>DispatchSchedule!F66</f>
        <v>0</v>
      </c>
      <c r="F3" s="686">
        <f>DispatchSchedule!G66</f>
        <v>0</v>
      </c>
      <c r="G3" s="686">
        <f>DispatchSchedule!H66</f>
        <v>0</v>
      </c>
      <c r="H3" s="686">
        <f>DispatchSchedule!I66</f>
        <v>3002.9619753086417</v>
      </c>
      <c r="I3" s="686">
        <f>DispatchSchedule!J66</f>
        <v>2891.6951911589003</v>
      </c>
      <c r="J3" s="686">
        <f>DispatchSchedule!K66</f>
        <v>2807.8982583774241</v>
      </c>
      <c r="K3" s="2"/>
      <c r="L3" s="2"/>
    </row>
    <row r="4" spans="1:13" x14ac:dyDescent="0.2">
      <c r="A4" s="2961" t="s">
        <v>46</v>
      </c>
      <c r="B4" s="884" t="s">
        <v>680</v>
      </c>
      <c r="C4" s="884"/>
      <c r="D4" s="889"/>
      <c r="E4" s="888">
        <f>+E3</f>
        <v>0</v>
      </c>
      <c r="F4" s="888">
        <f t="shared" ref="F4:J4" si="0">+F3</f>
        <v>0</v>
      </c>
      <c r="G4" s="888">
        <f t="shared" si="0"/>
        <v>0</v>
      </c>
      <c r="H4" s="888">
        <f t="shared" si="0"/>
        <v>3002.9619753086417</v>
      </c>
      <c r="I4" s="888">
        <f t="shared" si="0"/>
        <v>2891.6951911589003</v>
      </c>
      <c r="J4" s="888">
        <f t="shared" si="0"/>
        <v>2807.8982583774241</v>
      </c>
      <c r="K4" s="2"/>
      <c r="L4" s="2"/>
    </row>
    <row r="5" spans="1:13" x14ac:dyDescent="0.2">
      <c r="A5" s="2961"/>
      <c r="B5" s="884"/>
      <c r="C5" s="884" t="s">
        <v>681</v>
      </c>
      <c r="D5" s="889">
        <v>0.03</v>
      </c>
      <c r="E5" s="888">
        <f>+E4*$D$5</f>
        <v>0</v>
      </c>
      <c r="F5" s="888">
        <f t="shared" ref="F5:J5" si="1">+F4*$D$5</f>
        <v>0</v>
      </c>
      <c r="G5" s="888">
        <f t="shared" si="1"/>
        <v>0</v>
      </c>
      <c r="H5" s="888">
        <f t="shared" si="1"/>
        <v>90.088859259259252</v>
      </c>
      <c r="I5" s="888">
        <f t="shared" si="1"/>
        <v>86.750855734767001</v>
      </c>
      <c r="J5" s="888">
        <f t="shared" si="1"/>
        <v>84.236947751322717</v>
      </c>
      <c r="K5" s="2"/>
      <c r="L5" s="2"/>
    </row>
    <row r="6" spans="1:13" x14ac:dyDescent="0.2">
      <c r="A6" s="2961"/>
      <c r="B6" s="884"/>
      <c r="C6" s="884" t="s">
        <v>682</v>
      </c>
      <c r="D6" s="889"/>
      <c r="E6" s="885">
        <f>+E4-E5</f>
        <v>0</v>
      </c>
      <c r="F6" s="885">
        <f t="shared" ref="F6:J6" si="2">+F4-F5</f>
        <v>0</v>
      </c>
      <c r="G6" s="885">
        <f t="shared" si="2"/>
        <v>0</v>
      </c>
      <c r="H6" s="885">
        <f t="shared" si="2"/>
        <v>2912.8731160493826</v>
      </c>
      <c r="I6" s="885">
        <f t="shared" si="2"/>
        <v>2804.9443354241334</v>
      </c>
      <c r="J6" s="885">
        <f t="shared" si="2"/>
        <v>2723.6613106261016</v>
      </c>
      <c r="K6" s="2"/>
      <c r="L6" s="2"/>
    </row>
    <row r="7" spans="1:13" x14ac:dyDescent="0.2">
      <c r="A7" s="2961"/>
      <c r="B7" s="884"/>
      <c r="C7" s="884" t="s">
        <v>683</v>
      </c>
      <c r="D7" s="889"/>
      <c r="E7" s="888">
        <f>'Transmission Tariff_1'!B15</f>
        <v>8.8964000000000016</v>
      </c>
      <c r="F7" s="888">
        <f>'Transmission Tariff_1'!C15</f>
        <v>8.3468999999999998</v>
      </c>
      <c r="G7" s="888">
        <f>'Transmission Tariff_1'!D15</f>
        <v>10.706</v>
      </c>
      <c r="H7" s="888">
        <f>'Transmission Tariff_1'!E15</f>
        <v>10.2525</v>
      </c>
      <c r="I7" s="888">
        <f>'Transmission Tariff_1'!F15</f>
        <v>14.135299999999997</v>
      </c>
      <c r="J7" s="888">
        <f>'Transmission Tariff_1'!G15</f>
        <v>13.073599999999999</v>
      </c>
      <c r="K7" s="562"/>
      <c r="L7" s="2"/>
    </row>
    <row r="8" spans="1:13" x14ac:dyDescent="0.2">
      <c r="A8" s="2961"/>
      <c r="B8" s="886" t="s">
        <v>684</v>
      </c>
      <c r="C8" s="886" t="s">
        <v>685</v>
      </c>
      <c r="D8" s="890"/>
      <c r="E8" s="887">
        <f>+E6-E7</f>
        <v>-8.8964000000000016</v>
      </c>
      <c r="F8" s="887">
        <f t="shared" ref="F8:J8" si="3">+F6-F7</f>
        <v>-8.3468999999999998</v>
      </c>
      <c r="G8" s="887">
        <f t="shared" si="3"/>
        <v>-10.706</v>
      </c>
      <c r="H8" s="887">
        <f t="shared" si="3"/>
        <v>2902.6206160493825</v>
      </c>
      <c r="I8" s="887">
        <f t="shared" si="3"/>
        <v>2790.8090354241335</v>
      </c>
      <c r="J8" s="887">
        <f t="shared" si="3"/>
        <v>2710.5877106261014</v>
      </c>
      <c r="K8" s="2"/>
      <c r="L8" s="2"/>
    </row>
    <row r="9" spans="1:13" x14ac:dyDescent="0.2">
      <c r="A9" s="2961"/>
      <c r="B9" s="886"/>
      <c r="C9" s="886" t="s">
        <v>686</v>
      </c>
      <c r="D9" s="890">
        <v>2.5000000000000001E-2</v>
      </c>
      <c r="E9" s="887">
        <f>+E8*$D$9</f>
        <v>-0.22241000000000005</v>
      </c>
      <c r="F9" s="887">
        <f t="shared" ref="F9:J9" si="4">+F8*$D$9</f>
        <v>-0.20867250000000001</v>
      </c>
      <c r="G9" s="887">
        <f t="shared" si="4"/>
        <v>-0.26765</v>
      </c>
      <c r="H9" s="887">
        <f t="shared" si="4"/>
        <v>72.565515401234563</v>
      </c>
      <c r="I9" s="887">
        <f t="shared" si="4"/>
        <v>69.770225885603338</v>
      </c>
      <c r="J9" s="887">
        <f t="shared" si="4"/>
        <v>67.764692765652541</v>
      </c>
      <c r="K9" s="2"/>
      <c r="L9" s="2"/>
    </row>
    <row r="10" spans="1:13" x14ac:dyDescent="0.2">
      <c r="A10" s="2961"/>
      <c r="B10" s="886"/>
      <c r="C10" s="886"/>
      <c r="D10" s="891"/>
      <c r="E10" s="887">
        <f>+E8-E9</f>
        <v>-8.6739900000000016</v>
      </c>
      <c r="F10" s="887">
        <f t="shared" ref="F10:J10" si="5">+F8-F9</f>
        <v>-8.1382274999999993</v>
      </c>
      <c r="G10" s="887">
        <f t="shared" si="5"/>
        <v>-10.43835</v>
      </c>
      <c r="H10" s="887">
        <f t="shared" si="5"/>
        <v>2830.0551006481478</v>
      </c>
      <c r="I10" s="887">
        <f t="shared" si="5"/>
        <v>2721.0388095385301</v>
      </c>
      <c r="J10" s="887">
        <f t="shared" si="5"/>
        <v>2642.823017860449</v>
      </c>
      <c r="K10" s="2"/>
      <c r="L10" s="2"/>
    </row>
    <row r="11" spans="1:13" x14ac:dyDescent="0.2">
      <c r="E11" s="298"/>
      <c r="F11" s="2"/>
      <c r="G11" s="2"/>
      <c r="H11" s="2"/>
      <c r="I11" s="2"/>
      <c r="J11" s="2"/>
      <c r="K11" s="2"/>
      <c r="L11" s="2"/>
    </row>
    <row r="12" spans="1:13" ht="18" thickBot="1" x14ac:dyDescent="0.4">
      <c r="C12" s="2959">
        <f>E1</f>
        <v>46023</v>
      </c>
      <c r="D12" s="2960"/>
      <c r="E12" s="2960"/>
      <c r="F12" s="2960"/>
      <c r="G12" s="2960"/>
      <c r="H12" s="2960"/>
      <c r="I12" s="2960"/>
      <c r="J12" s="241"/>
    </row>
    <row r="13" spans="1:13" ht="15" customHeight="1" x14ac:dyDescent="0.2">
      <c r="C13" s="2962" t="s">
        <v>687</v>
      </c>
      <c r="D13" s="2963"/>
      <c r="E13" s="2963" t="s">
        <v>688</v>
      </c>
      <c r="F13" s="2963"/>
      <c r="G13" s="2963" t="s">
        <v>689</v>
      </c>
      <c r="H13" s="2963"/>
      <c r="I13" s="687" t="s">
        <v>690</v>
      </c>
      <c r="K13" s="402"/>
      <c r="L13" s="402"/>
      <c r="M13" s="402"/>
    </row>
    <row r="14" spans="1:13" ht="14.4" x14ac:dyDescent="0.3">
      <c r="C14" s="790" t="s">
        <v>691</v>
      </c>
      <c r="D14" s="791" t="s">
        <v>692</v>
      </c>
      <c r="E14" s="791" t="s">
        <v>693</v>
      </c>
      <c r="F14" s="791" t="s">
        <v>692</v>
      </c>
      <c r="G14" s="791" t="s">
        <v>693</v>
      </c>
      <c r="H14" s="791" t="s">
        <v>692</v>
      </c>
      <c r="I14" s="792" t="s">
        <v>692</v>
      </c>
    </row>
    <row r="15" spans="1:13" ht="14.4" x14ac:dyDescent="0.3">
      <c r="A15" s="688" t="s">
        <v>649</v>
      </c>
      <c r="C15" s="820">
        <f>'Transmission Tariff_1'!B8*1000000</f>
        <v>6034567062.5324726</v>
      </c>
      <c r="D15" s="821" t="e">
        <f>C15/E3</f>
        <v>#DIV/0!</v>
      </c>
      <c r="E15" s="415"/>
      <c r="F15" s="415"/>
      <c r="G15" s="415"/>
      <c r="H15" s="415"/>
      <c r="I15" s="822"/>
    </row>
    <row r="16" spans="1:13" ht="14.4" x14ac:dyDescent="0.3">
      <c r="A16" s="688" t="s">
        <v>46</v>
      </c>
      <c r="B16" s="689"/>
      <c r="C16" s="469"/>
      <c r="D16" s="823"/>
      <c r="E16" s="415"/>
      <c r="F16" s="415"/>
      <c r="G16" s="415"/>
      <c r="H16" s="415"/>
      <c r="I16" s="822"/>
    </row>
    <row r="17" spans="1:9" ht="14.4" x14ac:dyDescent="0.3">
      <c r="B17" s="690"/>
      <c r="C17" s="824"/>
      <c r="D17" s="793"/>
      <c r="E17" s="821"/>
      <c r="F17" s="821"/>
      <c r="G17" s="821"/>
      <c r="H17" s="821"/>
      <c r="I17" s="825"/>
    </row>
    <row r="18" spans="1:9" ht="14.4" x14ac:dyDescent="0.3">
      <c r="B18" s="690" t="s">
        <v>694</v>
      </c>
      <c r="C18" s="826"/>
      <c r="D18" s="793" t="e">
        <f>+C15/E6</f>
        <v>#DIV/0!</v>
      </c>
      <c r="E18" s="821">
        <f>'Transmission Tariff_1'!B9*1000000*0.4</f>
        <v>685269701.61081004</v>
      </c>
      <c r="F18" s="821" t="e">
        <f>+E18/E6</f>
        <v>#DIV/0!</v>
      </c>
      <c r="G18" s="821">
        <f>'Transmission Tariff_1'!B10*1000000*0.4</f>
        <v>239577722.02053267</v>
      </c>
      <c r="H18" s="821" t="e">
        <f>+G18/E6</f>
        <v>#DIV/0!</v>
      </c>
      <c r="I18" s="825" t="e">
        <f>D18+F18+H18</f>
        <v>#DIV/0!</v>
      </c>
    </row>
    <row r="19" spans="1:9" ht="14.4" x14ac:dyDescent="0.3">
      <c r="B19" s="690"/>
      <c r="C19" s="469"/>
      <c r="D19" s="794"/>
      <c r="E19" s="821" t="e">
        <f>+E18-(F18*E7)</f>
        <v>#DIV/0!</v>
      </c>
      <c r="F19" s="821"/>
      <c r="G19" s="821" t="e">
        <f>G18-(E7*H18)</f>
        <v>#DIV/0!</v>
      </c>
      <c r="H19" s="821"/>
      <c r="I19" s="825"/>
    </row>
    <row r="20" spans="1:9" ht="14.4" x14ac:dyDescent="0.3">
      <c r="B20" s="690"/>
      <c r="C20" s="469"/>
      <c r="D20" s="823"/>
      <c r="E20" s="415"/>
      <c r="F20" s="821"/>
      <c r="G20" s="821"/>
      <c r="H20" s="821"/>
      <c r="I20" s="825"/>
    </row>
    <row r="21" spans="1:9" ht="14.4" x14ac:dyDescent="0.3">
      <c r="B21" s="690"/>
      <c r="C21" s="469"/>
      <c r="D21" s="823"/>
      <c r="E21" s="821">
        <f>'Transmission Tariff_1'!B9*1000000*0.6</f>
        <v>1027904552.4162149</v>
      </c>
      <c r="F21" s="821"/>
      <c r="G21" s="821">
        <f>'Transmission Tariff_1'!B10*1000000*0.6</f>
        <v>359366583.03079897</v>
      </c>
      <c r="H21" s="821"/>
      <c r="I21" s="825"/>
    </row>
    <row r="22" spans="1:9" ht="15" thickBot="1" x14ac:dyDescent="0.35">
      <c r="B22" s="690" t="s">
        <v>695</v>
      </c>
      <c r="C22" s="827" t="e">
        <f>+C15-(D18*E7)</f>
        <v>#DIV/0!</v>
      </c>
      <c r="D22" s="828" t="e">
        <f>+C22/E10</f>
        <v>#DIV/0!</v>
      </c>
      <c r="E22" s="828" t="e">
        <f>+E19+E21</f>
        <v>#DIV/0!</v>
      </c>
      <c r="F22" s="828" t="e">
        <f>+E22/E10</f>
        <v>#DIV/0!</v>
      </c>
      <c r="G22" s="828" t="e">
        <f>+G19+G21</f>
        <v>#DIV/0!</v>
      </c>
      <c r="H22" s="828" t="e">
        <f>G22/E10</f>
        <v>#DIV/0!</v>
      </c>
      <c r="I22" s="829" t="e">
        <f>+D22+F22+H22</f>
        <v>#DIV/0!</v>
      </c>
    </row>
    <row r="23" spans="1:9" x14ac:dyDescent="0.2">
      <c r="B23" s="690"/>
    </row>
    <row r="24" spans="1:9" ht="18" thickBot="1" x14ac:dyDescent="0.4">
      <c r="B24" s="690"/>
      <c r="C24" s="2959">
        <f>F1</f>
        <v>46054</v>
      </c>
      <c r="D24" s="2960"/>
      <c r="E24" s="2960"/>
      <c r="F24" s="2960"/>
      <c r="G24" s="2960"/>
      <c r="H24" s="2960"/>
      <c r="I24" s="2960"/>
    </row>
    <row r="25" spans="1:9" ht="14.4" x14ac:dyDescent="0.2">
      <c r="B25" s="690"/>
      <c r="C25" s="691" t="s">
        <v>687</v>
      </c>
      <c r="D25" s="692"/>
      <c r="E25" s="692" t="s">
        <v>688</v>
      </c>
      <c r="F25" s="692"/>
      <c r="G25" s="692" t="s">
        <v>689</v>
      </c>
      <c r="H25" s="692"/>
      <c r="I25" s="687" t="s">
        <v>690</v>
      </c>
    </row>
    <row r="26" spans="1:9" ht="14.4" x14ac:dyDescent="0.3">
      <c r="B26" s="690"/>
      <c r="C26" s="790" t="s">
        <v>691</v>
      </c>
      <c r="D26" s="791" t="s">
        <v>692</v>
      </c>
      <c r="E26" s="791" t="s">
        <v>693</v>
      </c>
      <c r="F26" s="791" t="s">
        <v>692</v>
      </c>
      <c r="G26" s="791" t="s">
        <v>693</v>
      </c>
      <c r="H26" s="791" t="s">
        <v>692</v>
      </c>
      <c r="I26" s="792" t="s">
        <v>692</v>
      </c>
    </row>
    <row r="27" spans="1:9" ht="14.4" x14ac:dyDescent="0.3">
      <c r="A27" s="688" t="s">
        <v>649</v>
      </c>
      <c r="C27" s="820">
        <f>'Transmission Tariff_1'!C8*1000000</f>
        <v>6215737252.4962139</v>
      </c>
      <c r="D27" s="821" t="e">
        <f>C27/F3</f>
        <v>#DIV/0!</v>
      </c>
      <c r="E27" s="415"/>
      <c r="F27" s="415"/>
      <c r="G27" s="415"/>
      <c r="H27" s="415"/>
      <c r="I27" s="822"/>
    </row>
    <row r="28" spans="1:9" ht="14.4" x14ac:dyDescent="0.3">
      <c r="A28" s="688" t="s">
        <v>46</v>
      </c>
      <c r="B28" s="689"/>
      <c r="C28" s="469"/>
      <c r="D28" s="823"/>
      <c r="E28" s="415"/>
      <c r="F28" s="415"/>
      <c r="G28" s="415"/>
      <c r="H28" s="415"/>
      <c r="I28" s="822"/>
    </row>
    <row r="29" spans="1:9" ht="14.4" x14ac:dyDescent="0.3">
      <c r="B29" s="690"/>
      <c r="C29" s="824"/>
      <c r="D29" s="793"/>
      <c r="E29" s="821"/>
      <c r="F29" s="821"/>
      <c r="G29" s="821"/>
      <c r="H29" s="821"/>
      <c r="I29" s="825"/>
    </row>
    <row r="30" spans="1:9" ht="14.4" x14ac:dyDescent="0.3">
      <c r="B30" s="690" t="s">
        <v>694</v>
      </c>
      <c r="C30" s="826"/>
      <c r="D30" s="793" t="e">
        <f>+C27/F6</f>
        <v>#DIV/0!</v>
      </c>
      <c r="E30" s="821">
        <f>'Transmission Tariff_1'!C9*1000000*0.4</f>
        <v>685269701.61081004</v>
      </c>
      <c r="F30" s="821" t="e">
        <f>+E30/F6</f>
        <v>#DIV/0!</v>
      </c>
      <c r="G30" s="821">
        <f>'Transmission Tariff_1'!C10*1000000*0.4</f>
        <v>233064124.2949363</v>
      </c>
      <c r="H30" s="821" t="e">
        <f>+G30/F6</f>
        <v>#DIV/0!</v>
      </c>
      <c r="I30" s="825" t="e">
        <f>D30+F30+H30</f>
        <v>#DIV/0!</v>
      </c>
    </row>
    <row r="31" spans="1:9" ht="14.4" x14ac:dyDescent="0.3">
      <c r="B31" s="690"/>
      <c r="C31" s="469"/>
      <c r="D31" s="794"/>
      <c r="E31" s="821" t="e">
        <f>+E30-(F30*F7)</f>
        <v>#DIV/0!</v>
      </c>
      <c r="F31" s="821"/>
      <c r="G31" s="821" t="e">
        <f>G30-(F7*H30)</f>
        <v>#DIV/0!</v>
      </c>
      <c r="H31" s="821"/>
      <c r="I31" s="825"/>
    </row>
    <row r="32" spans="1:9" ht="14.4" x14ac:dyDescent="0.3">
      <c r="B32" s="690"/>
      <c r="C32" s="469"/>
      <c r="D32" s="823"/>
      <c r="E32" s="415"/>
      <c r="F32" s="821"/>
      <c r="G32" s="821"/>
      <c r="H32" s="821"/>
      <c r="I32" s="825"/>
    </row>
    <row r="33" spans="1:9" ht="14.4" x14ac:dyDescent="0.3">
      <c r="B33" s="690"/>
      <c r="C33" s="469"/>
      <c r="D33" s="823"/>
      <c r="E33" s="821">
        <f>'Transmission Tariff_1'!C9*1000000*0.6</f>
        <v>1027904552.4162149</v>
      </c>
      <c r="F33" s="821"/>
      <c r="G33" s="821">
        <f>'Transmission Tariff_1'!C10*1000000*0.6</f>
        <v>349596186.44240439</v>
      </c>
      <c r="H33" s="821"/>
      <c r="I33" s="825"/>
    </row>
    <row r="34" spans="1:9" ht="15" thickBot="1" x14ac:dyDescent="0.35">
      <c r="B34" s="690" t="s">
        <v>695</v>
      </c>
      <c r="C34" s="827" t="e">
        <f>+C27-(D30*F7)</f>
        <v>#DIV/0!</v>
      </c>
      <c r="D34" s="828" t="e">
        <f>+C34/F10</f>
        <v>#DIV/0!</v>
      </c>
      <c r="E34" s="828" t="e">
        <f>+E31+E33</f>
        <v>#DIV/0!</v>
      </c>
      <c r="F34" s="828" t="e">
        <f>+E34/F10</f>
        <v>#DIV/0!</v>
      </c>
      <c r="G34" s="828" t="e">
        <f>+G31+G33</f>
        <v>#DIV/0!</v>
      </c>
      <c r="H34" s="828" t="e">
        <f>G34/F10</f>
        <v>#DIV/0!</v>
      </c>
      <c r="I34" s="829" t="e">
        <f>+D34+F34+H34</f>
        <v>#DIV/0!</v>
      </c>
    </row>
    <row r="35" spans="1:9" x14ac:dyDescent="0.2">
      <c r="B35" s="690"/>
    </row>
    <row r="36" spans="1:9" ht="18" thickBot="1" x14ac:dyDescent="0.4">
      <c r="B36" s="690"/>
      <c r="C36" s="2959">
        <f>G1</f>
        <v>46082</v>
      </c>
      <c r="D36" s="2960"/>
      <c r="E36" s="2960"/>
      <c r="F36" s="2960"/>
      <c r="G36" s="2960"/>
      <c r="H36" s="2960"/>
      <c r="I36" s="2960"/>
    </row>
    <row r="37" spans="1:9" ht="14.4" x14ac:dyDescent="0.2">
      <c r="B37" s="690"/>
      <c r="C37" s="691" t="s">
        <v>687</v>
      </c>
      <c r="D37" s="692"/>
      <c r="E37" s="692" t="s">
        <v>688</v>
      </c>
      <c r="F37" s="692"/>
      <c r="G37" s="692" t="s">
        <v>689</v>
      </c>
      <c r="H37" s="692"/>
      <c r="I37" s="687" t="s">
        <v>690</v>
      </c>
    </row>
    <row r="38" spans="1:9" ht="14.4" x14ac:dyDescent="0.3">
      <c r="B38" s="690"/>
      <c r="C38" s="790" t="s">
        <v>691</v>
      </c>
      <c r="D38" s="791" t="s">
        <v>692</v>
      </c>
      <c r="E38" s="791" t="s">
        <v>693</v>
      </c>
      <c r="F38" s="791" t="s">
        <v>692</v>
      </c>
      <c r="G38" s="791" t="s">
        <v>693</v>
      </c>
      <c r="H38" s="791" t="s">
        <v>692</v>
      </c>
      <c r="I38" s="792" t="s">
        <v>692</v>
      </c>
    </row>
    <row r="39" spans="1:9" ht="14.4" x14ac:dyDescent="0.3">
      <c r="A39" s="688" t="s">
        <v>649</v>
      </c>
      <c r="C39" s="820">
        <f>'Transmission Tariff_1'!D8*1000000</f>
        <v>6333151142.1898289</v>
      </c>
      <c r="D39" s="821" t="e">
        <f>C39/G3</f>
        <v>#DIV/0!</v>
      </c>
      <c r="E39" s="415"/>
      <c r="F39" s="415"/>
      <c r="G39" s="415"/>
      <c r="H39" s="415"/>
      <c r="I39" s="822"/>
    </row>
    <row r="40" spans="1:9" ht="14.4" x14ac:dyDescent="0.3">
      <c r="A40" s="688" t="s">
        <v>46</v>
      </c>
      <c r="B40" s="689"/>
      <c r="C40" s="469"/>
      <c r="D40" s="823"/>
      <c r="E40" s="415"/>
      <c r="F40" s="415"/>
      <c r="G40" s="415"/>
      <c r="H40" s="415"/>
      <c r="I40" s="822"/>
    </row>
    <row r="41" spans="1:9" ht="14.4" x14ac:dyDescent="0.3">
      <c r="B41" s="690"/>
      <c r="C41" s="824"/>
      <c r="D41" s="793"/>
      <c r="E41" s="821"/>
      <c r="F41" s="821"/>
      <c r="G41" s="821"/>
      <c r="H41" s="821"/>
      <c r="I41" s="825"/>
    </row>
    <row r="42" spans="1:9" ht="14.4" x14ac:dyDescent="0.3">
      <c r="B42" s="690" t="s">
        <v>694</v>
      </c>
      <c r="C42" s="826"/>
      <c r="D42" s="793" t="e">
        <f>+C39/G6</f>
        <v>#DIV/0!</v>
      </c>
      <c r="E42" s="821">
        <f>'Transmission Tariff_1'!D9*1000000*0.4</f>
        <v>685269701.61081004</v>
      </c>
      <c r="F42" s="821" t="e">
        <f>+E42/G6</f>
        <v>#DIV/0!</v>
      </c>
      <c r="G42" s="821">
        <f>'Transmission Tariff_1'!D10*1000000*0.4</f>
        <v>233381567.68168947</v>
      </c>
      <c r="H42" s="821" t="e">
        <f>+G42/G6</f>
        <v>#DIV/0!</v>
      </c>
      <c r="I42" s="825" t="e">
        <f>D42+F42+H42</f>
        <v>#DIV/0!</v>
      </c>
    </row>
    <row r="43" spans="1:9" ht="14.4" x14ac:dyDescent="0.3">
      <c r="B43" s="690"/>
      <c r="C43" s="469"/>
      <c r="D43" s="794"/>
      <c r="E43" s="821" t="e">
        <f>+E42-(F42*G7)</f>
        <v>#DIV/0!</v>
      </c>
      <c r="F43" s="821"/>
      <c r="G43" s="821" t="e">
        <f>+G42-(H42*G7)</f>
        <v>#DIV/0!</v>
      </c>
      <c r="H43" s="821"/>
      <c r="I43" s="825"/>
    </row>
    <row r="44" spans="1:9" ht="14.4" x14ac:dyDescent="0.3">
      <c r="B44" s="690"/>
      <c r="C44" s="469"/>
      <c r="D44" s="823"/>
      <c r="E44" s="415"/>
      <c r="F44" s="821"/>
      <c r="G44" s="821"/>
      <c r="H44" s="821"/>
      <c r="I44" s="825"/>
    </row>
    <row r="45" spans="1:9" ht="14.4" x14ac:dyDescent="0.3">
      <c r="B45" s="690"/>
      <c r="C45" s="469"/>
      <c r="D45" s="823"/>
      <c r="E45" s="821">
        <f>'Transmission Tariff_1'!D9*1000000*0.6</f>
        <v>1027904552.4162149</v>
      </c>
      <c r="F45" s="821"/>
      <c r="G45" s="821">
        <f>'Transmission Tariff_1'!D10*1000000*0.6</f>
        <v>350072351.52253419</v>
      </c>
      <c r="H45" s="821"/>
      <c r="I45" s="825"/>
    </row>
    <row r="46" spans="1:9" ht="15" thickBot="1" x14ac:dyDescent="0.35">
      <c r="B46" s="690" t="s">
        <v>695</v>
      </c>
      <c r="C46" s="827" t="e">
        <f>+C39-(D42*F7)</f>
        <v>#DIV/0!</v>
      </c>
      <c r="D46" s="828">
        <f>+C39/G10</f>
        <v>-606719562.20952821</v>
      </c>
      <c r="E46" s="828" t="e">
        <f>+E43+E45</f>
        <v>#DIV/0!</v>
      </c>
      <c r="F46" s="828" t="e">
        <f>+E46/G10</f>
        <v>#DIV/0!</v>
      </c>
      <c r="G46" s="828" t="e">
        <f>+G43+G45</f>
        <v>#DIV/0!</v>
      </c>
      <c r="H46" s="828" t="e">
        <f>G46/G10</f>
        <v>#DIV/0!</v>
      </c>
      <c r="I46" s="829" t="e">
        <f>+D46+F46+H46</f>
        <v>#DIV/0!</v>
      </c>
    </row>
    <row r="47" spans="1:9" x14ac:dyDescent="0.2">
      <c r="B47" s="690"/>
    </row>
    <row r="48" spans="1:9" ht="18" thickBot="1" x14ac:dyDescent="0.4">
      <c r="B48" s="690"/>
      <c r="C48" s="2959">
        <f>H1</f>
        <v>46113</v>
      </c>
      <c r="D48" s="2960"/>
      <c r="E48" s="2960"/>
      <c r="F48" s="2960"/>
      <c r="G48" s="2960"/>
      <c r="H48" s="2960"/>
      <c r="I48" s="2960"/>
    </row>
    <row r="49" spans="1:9" ht="14.4" x14ac:dyDescent="0.2">
      <c r="B49" s="690"/>
      <c r="C49" s="691" t="s">
        <v>687</v>
      </c>
      <c r="D49" s="692"/>
      <c r="E49" s="692" t="s">
        <v>688</v>
      </c>
      <c r="F49" s="692"/>
      <c r="G49" s="692" t="s">
        <v>689</v>
      </c>
      <c r="H49" s="692"/>
      <c r="I49" s="687" t="s">
        <v>690</v>
      </c>
    </row>
    <row r="50" spans="1:9" ht="14.4" x14ac:dyDescent="0.3">
      <c r="B50" s="690"/>
      <c r="C50" s="790" t="s">
        <v>691</v>
      </c>
      <c r="D50" s="791" t="s">
        <v>692</v>
      </c>
      <c r="E50" s="791" t="s">
        <v>693</v>
      </c>
      <c r="F50" s="791" t="s">
        <v>692</v>
      </c>
      <c r="G50" s="791" t="s">
        <v>693</v>
      </c>
      <c r="H50" s="791" t="s">
        <v>692</v>
      </c>
      <c r="I50" s="792" t="s">
        <v>692</v>
      </c>
    </row>
    <row r="51" spans="1:9" ht="14.4" x14ac:dyDescent="0.3">
      <c r="A51" s="688" t="s">
        <v>649</v>
      </c>
      <c r="C51" s="820">
        <f>'Transmission Tariff_1'!E8*1000000</f>
        <v>6064185129.977767</v>
      </c>
      <c r="D51" s="821">
        <f>C51/H3</f>
        <v>2019401.237791063</v>
      </c>
      <c r="E51" s="415"/>
      <c r="F51" s="415"/>
      <c r="G51" s="415"/>
      <c r="H51" s="415"/>
      <c r="I51" s="822"/>
    </row>
    <row r="52" spans="1:9" ht="14.4" x14ac:dyDescent="0.3">
      <c r="A52" s="688" t="s">
        <v>46</v>
      </c>
      <c r="B52" s="689"/>
      <c r="C52" s="469"/>
      <c r="D52" s="823"/>
      <c r="E52" s="415"/>
      <c r="F52" s="415"/>
      <c r="G52" s="415"/>
      <c r="H52" s="415"/>
      <c r="I52" s="822"/>
    </row>
    <row r="53" spans="1:9" ht="14.4" x14ac:dyDescent="0.3">
      <c r="B53" s="690"/>
      <c r="C53" s="824"/>
      <c r="D53" s="793"/>
      <c r="E53" s="821"/>
      <c r="F53" s="821"/>
      <c r="G53" s="821"/>
      <c r="H53" s="821"/>
      <c r="I53" s="825"/>
    </row>
    <row r="54" spans="1:9" ht="14.4" x14ac:dyDescent="0.3">
      <c r="B54" s="690" t="s">
        <v>694</v>
      </c>
      <c r="C54" s="826"/>
      <c r="D54" s="793">
        <f>+C51/H6</f>
        <v>2081856.9461763536</v>
      </c>
      <c r="E54" s="821">
        <f>'Transmission Tariff_1'!E9*1000000*0.4</f>
        <v>685269701.61081004</v>
      </c>
      <c r="F54" s="821">
        <f>+E54/H6</f>
        <v>235255.59621361567</v>
      </c>
      <c r="G54" s="821">
        <f>'Transmission Tariff_1'!E10*1000000*0.4</f>
        <v>268265311.52710667</v>
      </c>
      <c r="H54" s="821">
        <f>+G54/H6</f>
        <v>92096.463127424024</v>
      </c>
      <c r="I54" s="825">
        <f>D54+F54+H54</f>
        <v>2409209.0055173934</v>
      </c>
    </row>
    <row r="55" spans="1:9" ht="14.4" x14ac:dyDescent="0.3">
      <c r="B55" s="690"/>
      <c r="C55" s="469"/>
      <c r="D55" s="794"/>
      <c r="E55" s="821">
        <f>+E54-(F54*H7)</f>
        <v>682857743.61062992</v>
      </c>
      <c r="F55" s="821"/>
      <c r="G55" s="821">
        <f>+G54-(H54*H7)</f>
        <v>267321092.53889275</v>
      </c>
      <c r="H55" s="821"/>
      <c r="I55" s="825"/>
    </row>
    <row r="56" spans="1:9" ht="14.4" x14ac:dyDescent="0.3">
      <c r="B56" s="690"/>
      <c r="C56" s="469"/>
      <c r="D56" s="823"/>
      <c r="E56" s="415"/>
      <c r="F56" s="821"/>
      <c r="G56" s="821"/>
      <c r="H56" s="821"/>
      <c r="I56" s="825"/>
    </row>
    <row r="57" spans="1:9" ht="14.4" x14ac:dyDescent="0.3">
      <c r="B57" s="690"/>
      <c r="C57" s="469"/>
      <c r="D57" s="823"/>
      <c r="E57" s="821">
        <f>'Transmission Tariff_1'!E9*1000000*0.61</f>
        <v>1045036294.9564853</v>
      </c>
      <c r="F57" s="821"/>
      <c r="G57" s="821">
        <f>'Transmission Tariff_1'!E10*1000000*0.6</f>
        <v>402397967.29065996</v>
      </c>
      <c r="H57" s="821"/>
      <c r="I57" s="825"/>
    </row>
    <row r="58" spans="1:9" ht="15" thickBot="1" x14ac:dyDescent="0.35">
      <c r="B58" s="690" t="s">
        <v>695</v>
      </c>
      <c r="C58" s="827">
        <f>+C51-(D54*H7)</f>
        <v>6042840891.6370935</v>
      </c>
      <c r="D58" s="828">
        <f>+C58/H10</f>
        <v>2135237.893514209</v>
      </c>
      <c r="E58" s="828">
        <f>+E55+E57</f>
        <v>1727894038.5671153</v>
      </c>
      <c r="F58" s="828">
        <f>+E58/H10</f>
        <v>610551.37695777998</v>
      </c>
      <c r="G58" s="828">
        <f>+G55+G57</f>
        <v>669719059.82955265</v>
      </c>
      <c r="H58" s="828">
        <f>G58/H10</f>
        <v>236645.23693414009</v>
      </c>
      <c r="I58" s="829">
        <f>+D58+F58+H58</f>
        <v>2982434.5074061295</v>
      </c>
    </row>
    <row r="59" spans="1:9" x14ac:dyDescent="0.2">
      <c r="B59" s="690"/>
    </row>
    <row r="60" spans="1:9" ht="18" thickBot="1" x14ac:dyDescent="0.4">
      <c r="B60" s="690"/>
      <c r="C60" s="2959">
        <f>I1</f>
        <v>46143</v>
      </c>
      <c r="D60" s="2960"/>
      <c r="E60" s="2960"/>
      <c r="F60" s="2960"/>
      <c r="G60" s="2960"/>
      <c r="H60" s="2960"/>
      <c r="I60" s="2960"/>
    </row>
    <row r="61" spans="1:9" ht="14.4" x14ac:dyDescent="0.2">
      <c r="B61" s="690"/>
      <c r="C61" s="691" t="s">
        <v>687</v>
      </c>
      <c r="D61" s="692"/>
      <c r="E61" s="692" t="s">
        <v>688</v>
      </c>
      <c r="F61" s="692"/>
      <c r="G61" s="692" t="s">
        <v>689</v>
      </c>
      <c r="H61" s="692"/>
      <c r="I61" s="687" t="s">
        <v>690</v>
      </c>
    </row>
    <row r="62" spans="1:9" ht="14.4" x14ac:dyDescent="0.3">
      <c r="B62" s="690"/>
      <c r="C62" s="790" t="s">
        <v>691</v>
      </c>
      <c r="D62" s="791" t="s">
        <v>692</v>
      </c>
      <c r="E62" s="791" t="s">
        <v>693</v>
      </c>
      <c r="F62" s="791" t="s">
        <v>692</v>
      </c>
      <c r="G62" s="791" t="s">
        <v>693</v>
      </c>
      <c r="H62" s="791" t="s">
        <v>692</v>
      </c>
      <c r="I62" s="792" t="s">
        <v>692</v>
      </c>
    </row>
    <row r="63" spans="1:9" ht="14.4" x14ac:dyDescent="0.3">
      <c r="A63" s="688" t="s">
        <v>649</v>
      </c>
      <c r="C63" s="820">
        <f>'Transmission Tariff_1'!F8*1000000</f>
        <v>6167423689.0124741</v>
      </c>
      <c r="D63" s="821">
        <f>C63/I3</f>
        <v>2132805.5971697229</v>
      </c>
      <c r="E63" s="415"/>
      <c r="F63" s="415"/>
      <c r="G63" s="415"/>
      <c r="H63" s="415"/>
      <c r="I63" s="822"/>
    </row>
    <row r="64" spans="1:9" ht="14.4" x14ac:dyDescent="0.3">
      <c r="A64" s="688" t="s">
        <v>46</v>
      </c>
      <c r="B64" s="689"/>
      <c r="C64" s="469"/>
      <c r="D64" s="823"/>
      <c r="E64" s="415"/>
      <c r="F64" s="415"/>
      <c r="G64" s="415"/>
      <c r="H64" s="415"/>
      <c r="I64" s="822"/>
    </row>
    <row r="65" spans="1:9" ht="14.4" x14ac:dyDescent="0.3">
      <c r="B65" s="690"/>
      <c r="C65" s="824"/>
      <c r="D65" s="793"/>
      <c r="E65" s="821"/>
      <c r="F65" s="821"/>
      <c r="G65" s="821"/>
      <c r="H65" s="821"/>
      <c r="I65" s="825"/>
    </row>
    <row r="66" spans="1:9" ht="14.4" x14ac:dyDescent="0.3">
      <c r="B66" s="690" t="s">
        <v>694</v>
      </c>
      <c r="C66" s="826"/>
      <c r="D66" s="793">
        <f>+C63/I6</f>
        <v>2198768.6568760029</v>
      </c>
      <c r="E66" s="821">
        <f>'Transmission Tariff_1'!F9*1000000*0.4</f>
        <v>685269701.61081004</v>
      </c>
      <c r="F66" s="821">
        <f>+E66/I6</f>
        <v>244307.77215662319</v>
      </c>
      <c r="G66" s="821">
        <f>'Transmission Tariff_1'!F10*1000000*0.4</f>
        <v>267606732.40335548</v>
      </c>
      <c r="H66" s="821">
        <f>+G66/I6</f>
        <v>95405.362959864535</v>
      </c>
      <c r="I66" s="825">
        <f>D66+F66+H66</f>
        <v>2538481.7919924906</v>
      </c>
    </row>
    <row r="67" spans="1:9" ht="14.4" x14ac:dyDescent="0.3">
      <c r="B67" s="690"/>
      <c r="C67" s="469"/>
      <c r="D67" s="794"/>
      <c r="E67" s="821">
        <f>+E66-(F66*I7)</f>
        <v>681816337.95904458</v>
      </c>
      <c r="F67" s="821"/>
      <c r="G67" s="821">
        <f>+G66-(H66*I7)</f>
        <v>266258148.97630891</v>
      </c>
      <c r="H67" s="821"/>
      <c r="I67" s="825"/>
    </row>
    <row r="68" spans="1:9" ht="14.4" x14ac:dyDescent="0.3">
      <c r="B68" s="690"/>
      <c r="C68" s="469"/>
      <c r="D68" s="823"/>
      <c r="E68" s="415"/>
      <c r="F68" s="821"/>
      <c r="G68" s="821"/>
      <c r="H68" s="821"/>
      <c r="I68" s="825"/>
    </row>
    <row r="69" spans="1:9" ht="14.4" x14ac:dyDescent="0.3">
      <c r="B69" s="690"/>
      <c r="C69" s="469"/>
      <c r="D69" s="823"/>
      <c r="E69" s="821">
        <f>'Transmission Tariff_1'!F9*1000000*0.6</f>
        <v>1027904552.4162149</v>
      </c>
      <c r="F69" s="821"/>
      <c r="G69" s="821">
        <f>'Transmission Tariff_1'!F10*1000000*0.6</f>
        <v>401410098.60503316</v>
      </c>
      <c r="H69" s="821"/>
      <c r="I69" s="825"/>
    </row>
    <row r="70" spans="1:9" ht="15" thickBot="1" x14ac:dyDescent="0.35">
      <c r="B70" s="690" t="s">
        <v>695</v>
      </c>
      <c r="C70" s="827">
        <f>+C63-(D66*I7)</f>
        <v>6136343434.416935</v>
      </c>
      <c r="D70" s="828">
        <f>+C70/I10</f>
        <v>2255147.3403856438</v>
      </c>
      <c r="E70" s="828">
        <f>+E67+E69</f>
        <v>1709720890.3752594</v>
      </c>
      <c r="F70" s="828">
        <f>+E70/I10</f>
        <v>628333.88644876273</v>
      </c>
      <c r="G70" s="828">
        <f>+G67+G69</f>
        <v>667668247.5813421</v>
      </c>
      <c r="H70" s="828">
        <f>G70/I10</f>
        <v>245372.55596680523</v>
      </c>
      <c r="I70" s="829">
        <f>+D70+F70+H70</f>
        <v>3128853.7828012118</v>
      </c>
    </row>
    <row r="71" spans="1:9" x14ac:dyDescent="0.2">
      <c r="B71" s="690"/>
    </row>
    <row r="72" spans="1:9" ht="18" thickBot="1" x14ac:dyDescent="0.4">
      <c r="B72" s="690"/>
      <c r="C72" s="2959">
        <f>J1</f>
        <v>46174</v>
      </c>
      <c r="D72" s="2960"/>
      <c r="E72" s="2960"/>
      <c r="F72" s="2960"/>
      <c r="G72" s="2960"/>
      <c r="H72" s="2960"/>
      <c r="I72" s="2960"/>
    </row>
    <row r="73" spans="1:9" ht="14.4" x14ac:dyDescent="0.2">
      <c r="B73" s="690"/>
      <c r="C73" s="691" t="s">
        <v>687</v>
      </c>
      <c r="D73" s="692"/>
      <c r="E73" s="692" t="s">
        <v>688</v>
      </c>
      <c r="F73" s="692"/>
      <c r="G73" s="692" t="s">
        <v>689</v>
      </c>
      <c r="H73" s="692"/>
      <c r="I73" s="687" t="s">
        <v>690</v>
      </c>
    </row>
    <row r="74" spans="1:9" ht="14.4" x14ac:dyDescent="0.3">
      <c r="B74" s="690"/>
      <c r="C74" s="790" t="s">
        <v>691</v>
      </c>
      <c r="D74" s="791" t="s">
        <v>692</v>
      </c>
      <c r="E74" s="791" t="s">
        <v>693</v>
      </c>
      <c r="F74" s="791" t="s">
        <v>692</v>
      </c>
      <c r="G74" s="791" t="s">
        <v>693</v>
      </c>
      <c r="H74" s="791" t="s">
        <v>692</v>
      </c>
      <c r="I74" s="792" t="s">
        <v>692</v>
      </c>
    </row>
    <row r="75" spans="1:9" ht="14.4" x14ac:dyDescent="0.3">
      <c r="A75" s="688" t="s">
        <v>649</v>
      </c>
      <c r="C75" s="820">
        <f>'Transmission Tariff_1'!G8*1000000</f>
        <v>6082123607.3186541</v>
      </c>
      <c r="D75" s="821">
        <f>C75/J3</f>
        <v>2166076.9186249925</v>
      </c>
      <c r="E75" s="415"/>
      <c r="F75" s="415"/>
      <c r="G75" s="415"/>
      <c r="H75" s="415"/>
      <c r="I75" s="822"/>
    </row>
    <row r="76" spans="1:9" ht="14.4" x14ac:dyDescent="0.3">
      <c r="A76" s="688" t="s">
        <v>46</v>
      </c>
      <c r="B76" s="689"/>
      <c r="C76" s="469"/>
      <c r="D76" s="823"/>
      <c r="E76" s="415"/>
      <c r="F76" s="415"/>
      <c r="G76" s="415"/>
      <c r="H76" s="415"/>
      <c r="I76" s="822"/>
    </row>
    <row r="77" spans="1:9" ht="14.4" x14ac:dyDescent="0.3">
      <c r="B77" s="690"/>
      <c r="C77" s="824"/>
      <c r="D77" s="793"/>
      <c r="E77" s="821"/>
      <c r="F77" s="821"/>
      <c r="G77" s="821"/>
      <c r="H77" s="821"/>
      <c r="I77" s="825"/>
    </row>
    <row r="78" spans="1:9" ht="14.4" x14ac:dyDescent="0.3">
      <c r="B78" s="690" t="s">
        <v>694</v>
      </c>
      <c r="C78" s="826"/>
      <c r="D78" s="793">
        <f>+C75/J6</f>
        <v>2233068.988273188</v>
      </c>
      <c r="E78" s="821">
        <f>'Transmission Tariff_1'!G9*1000000*0.4</f>
        <v>685269701.61081004</v>
      </c>
      <c r="F78" s="821">
        <f>+E78/J6</f>
        <v>251598.72078708778</v>
      </c>
      <c r="G78" s="821">
        <f>'Transmission Tariff_1'!G10*1000000*0.4</f>
        <v>323321975.1894123</v>
      </c>
      <c r="H78" s="821">
        <f>+G78/J6</f>
        <v>118708.58315900102</v>
      </c>
      <c r="I78" s="825">
        <f>D78+F78+H78</f>
        <v>2603376.292219277</v>
      </c>
    </row>
    <row r="79" spans="1:9" ht="14.4" x14ac:dyDescent="0.3">
      <c r="B79" s="690"/>
      <c r="C79" s="469"/>
      <c r="D79" s="794"/>
      <c r="E79" s="821">
        <f>+E78-(F78*J7)</f>
        <v>681980400.57472801</v>
      </c>
      <c r="F79" s="821"/>
      <c r="G79" s="821">
        <f>+G78-(H78*J7)</f>
        <v>321770026.65662479</v>
      </c>
      <c r="H79" s="821"/>
      <c r="I79" s="825"/>
    </row>
    <row r="80" spans="1:9" ht="14.4" x14ac:dyDescent="0.3">
      <c r="B80" s="690"/>
      <c r="C80" s="469"/>
      <c r="D80" s="823"/>
      <c r="E80" s="415"/>
      <c r="F80" s="821"/>
      <c r="G80" s="821"/>
      <c r="H80" s="821"/>
      <c r="I80" s="825"/>
    </row>
    <row r="81" spans="1:9" ht="14.4" x14ac:dyDescent="0.3">
      <c r="B81" s="690"/>
      <c r="C81" s="469"/>
      <c r="D81" s="823"/>
      <c r="E81" s="821">
        <f>'Transmission Tariff_1'!G9*1000000*0.6</f>
        <v>1027904552.4162149</v>
      </c>
      <c r="F81" s="821"/>
      <c r="G81" s="821">
        <f>'Transmission Tariff_1'!G10*1000000*0.6</f>
        <v>484982962.78411835</v>
      </c>
      <c r="H81" s="821"/>
      <c r="I81" s="825"/>
    </row>
    <row r="82" spans="1:9" ht="15" thickBot="1" x14ac:dyDescent="0.35">
      <c r="B82" s="690" t="s">
        <v>695</v>
      </c>
      <c r="C82" s="827">
        <f>+C75-(D78*J7)</f>
        <v>6052929356.5935659</v>
      </c>
      <c r="D82" s="828">
        <f>+C82/J10</f>
        <v>2290327.1674596802</v>
      </c>
      <c r="E82" s="828">
        <f>+E79+E81</f>
        <v>1709884952.990943</v>
      </c>
      <c r="F82" s="828">
        <f>+E82/J10</f>
        <v>646991.84978917544</v>
      </c>
      <c r="G82" s="828">
        <f>+G79+G81</f>
        <v>806752989.44074321</v>
      </c>
      <c r="H82" s="828">
        <f>G82/J10</f>
        <v>305261.82948635978</v>
      </c>
      <c r="I82" s="829">
        <f>+D82+F82+H82</f>
        <v>3242580.8467352157</v>
      </c>
    </row>
    <row r="84" spans="1:9" x14ac:dyDescent="0.2">
      <c r="I84" s="241"/>
    </row>
    <row r="85" spans="1:9" x14ac:dyDescent="0.2">
      <c r="I85" s="241"/>
    </row>
    <row r="86" spans="1:9" ht="13.2" thickBot="1" x14ac:dyDescent="0.25">
      <c r="I86" s="241"/>
    </row>
    <row r="87" spans="1:9" ht="15" thickBot="1" x14ac:dyDescent="0.25">
      <c r="C87" s="798" t="s">
        <v>696</v>
      </c>
      <c r="D87" s="798" t="s">
        <v>697</v>
      </c>
    </row>
    <row r="88" spans="1:9" ht="35.4" thickBot="1" x14ac:dyDescent="0.4">
      <c r="B88" s="795" t="s">
        <v>698</v>
      </c>
      <c r="C88" s="796" t="e">
        <f>AVERAGE(I18,I30,I42,I54,I66,I78)</f>
        <v>#DIV/0!</v>
      </c>
      <c r="D88" s="797" t="e">
        <f>C88/AVERAGE('Transmission Tariff_1'!B23:G23)</f>
        <v>#DIV/0!</v>
      </c>
    </row>
    <row r="92" spans="1:9" ht="14.4" x14ac:dyDescent="0.3">
      <c r="A92" s="693" t="s">
        <v>738</v>
      </c>
    </row>
    <row r="93" spans="1:9" ht="14.4" x14ac:dyDescent="0.3">
      <c r="A93" s="693" t="s">
        <v>699</v>
      </c>
    </row>
    <row r="95" spans="1:9" ht="13.2" thickBot="1" x14ac:dyDescent="0.25"/>
    <row r="96" spans="1:9" ht="20.25" customHeight="1" thickBot="1" x14ac:dyDescent="0.4">
      <c r="C96" s="2964" t="s">
        <v>711</v>
      </c>
      <c r="D96" s="2965"/>
      <c r="E96" s="2965"/>
      <c r="F96" s="2965"/>
      <c r="G96" s="2965"/>
      <c r="H96" s="2965"/>
      <c r="I96" s="2966"/>
    </row>
    <row r="97" spans="3:9" ht="26.4" x14ac:dyDescent="0.3">
      <c r="C97" s="799" t="s">
        <v>663</v>
      </c>
      <c r="D97" s="800" t="e">
        <f>C22/1000000</f>
        <v>#DIV/0!</v>
      </c>
      <c r="E97" s="800" t="e">
        <f>C34/1000000</f>
        <v>#DIV/0!</v>
      </c>
      <c r="F97" s="800" t="e">
        <f>C46/1000000</f>
        <v>#DIV/0!</v>
      </c>
      <c r="G97" s="800">
        <f>C58/1000000</f>
        <v>6042.8408916370936</v>
      </c>
      <c r="H97" s="800">
        <f>C70/1000000</f>
        <v>6136.3434344169345</v>
      </c>
      <c r="I97" s="801">
        <f>C82/1000000</f>
        <v>6052.9293565935659</v>
      </c>
    </row>
    <row r="98" spans="3:9" ht="27.6" x14ac:dyDescent="0.3">
      <c r="C98" s="802" t="s">
        <v>664</v>
      </c>
      <c r="D98" s="803" t="e">
        <f>E22/1000000</f>
        <v>#DIV/0!</v>
      </c>
      <c r="E98" s="803" t="e">
        <f>E34/1000000</f>
        <v>#DIV/0!</v>
      </c>
      <c r="F98" s="803" t="e">
        <f>E46/1000000</f>
        <v>#DIV/0!</v>
      </c>
      <c r="G98" s="803">
        <f>E58/1000000</f>
        <v>1727.8940385671153</v>
      </c>
      <c r="H98" s="803">
        <f>E70/1000000</f>
        <v>1709.7208903752594</v>
      </c>
      <c r="I98" s="804">
        <f>E82/1000000</f>
        <v>1709.884952990943</v>
      </c>
    </row>
    <row r="99" spans="3:9" ht="27" thickBot="1" x14ac:dyDescent="0.35">
      <c r="C99" s="805" t="s">
        <v>665</v>
      </c>
      <c r="D99" s="806" t="e">
        <f>G22/1000000</f>
        <v>#DIV/0!</v>
      </c>
      <c r="E99" s="806" t="e">
        <f>G34/1000000</f>
        <v>#DIV/0!</v>
      </c>
      <c r="F99" s="806" t="e">
        <f>G46/1000000</f>
        <v>#DIV/0!</v>
      </c>
      <c r="G99" s="806">
        <f>G58/1000000</f>
        <v>669.71905982955263</v>
      </c>
      <c r="H99" s="806">
        <f>G70/1000000</f>
        <v>667.66824758134214</v>
      </c>
      <c r="I99" s="807">
        <f>G82/1000000</f>
        <v>806.75298944074325</v>
      </c>
    </row>
  </sheetData>
  <mergeCells count="11">
    <mergeCell ref="C96:I96"/>
    <mergeCell ref="C36:I36"/>
    <mergeCell ref="C48:I48"/>
    <mergeCell ref="C60:I60"/>
    <mergeCell ref="C72:I72"/>
    <mergeCell ref="C24:I24"/>
    <mergeCell ref="A4:A10"/>
    <mergeCell ref="C12:I12"/>
    <mergeCell ref="C13:D13"/>
    <mergeCell ref="E13:F13"/>
    <mergeCell ref="G13:H13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49">
    <tabColor rgb="FF00B050"/>
    <pageSetUpPr fitToPage="1"/>
  </sheetPr>
  <dimension ref="A1:K81"/>
  <sheetViews>
    <sheetView showGridLines="0" topLeftCell="A24" workbookViewId="0">
      <selection activeCell="F4" sqref="F4"/>
    </sheetView>
  </sheetViews>
  <sheetFormatPr defaultColWidth="11" defaultRowHeight="12.6" x14ac:dyDescent="0.2"/>
  <cols>
    <col min="1" max="1" width="45.36328125" customWidth="1"/>
    <col min="3" max="3" width="28.36328125" customWidth="1"/>
    <col min="4" max="8" width="19" bestFit="1" customWidth="1"/>
    <col min="10" max="10" width="11.453125" bestFit="1" customWidth="1"/>
    <col min="11" max="11" width="16.08984375" customWidth="1"/>
  </cols>
  <sheetData>
    <row r="1" spans="1:11" s="27" customFormat="1" ht="16.8" hidden="1" thickBot="1" x14ac:dyDescent="0.35">
      <c r="A1" s="3" t="s">
        <v>34</v>
      </c>
      <c r="I1" s="586"/>
    </row>
    <row r="2" spans="1:11" ht="13.2" hidden="1" thickBot="1" x14ac:dyDescent="0.25">
      <c r="J2" s="2949">
        <v>2020</v>
      </c>
      <c r="K2" s="2950"/>
    </row>
    <row r="3" spans="1:11" ht="27.75" hidden="1" customHeight="1" thickBot="1" x14ac:dyDescent="0.25">
      <c r="A3" s="323" t="s">
        <v>43</v>
      </c>
      <c r="B3" s="1061" t="s">
        <v>36</v>
      </c>
      <c r="C3" s="1063">
        <f>DispatchSchedule!F3</f>
        <v>46023</v>
      </c>
      <c r="D3" s="425">
        <f>DispatchSchedule!G3</f>
        <v>46054</v>
      </c>
      <c r="E3" s="425">
        <f>DispatchSchedule!H3</f>
        <v>46082</v>
      </c>
      <c r="F3" s="425">
        <f>DispatchSchedule!I3</f>
        <v>46113</v>
      </c>
      <c r="G3" s="425">
        <f>DispatchSchedule!J3</f>
        <v>46143</v>
      </c>
      <c r="H3" s="1069">
        <f>DispatchSchedule!K3</f>
        <v>46174</v>
      </c>
      <c r="J3" s="584" t="s">
        <v>652</v>
      </c>
      <c r="K3" s="1048" t="s">
        <v>787</v>
      </c>
    </row>
    <row r="4" spans="1:11" hidden="1" x14ac:dyDescent="0.2">
      <c r="A4" s="6" t="s">
        <v>63</v>
      </c>
      <c r="B4" s="160" t="s">
        <v>60</v>
      </c>
      <c r="C4" s="1064">
        <f t="shared" ref="C4:H4" si="0">$K$4</f>
        <v>1256.7385249799097</v>
      </c>
      <c r="D4" s="1081">
        <f t="shared" si="0"/>
        <v>1256.7385249799097</v>
      </c>
      <c r="E4" s="1081">
        <f t="shared" si="0"/>
        <v>1256.7385249799097</v>
      </c>
      <c r="F4" s="1081">
        <f t="shared" si="0"/>
        <v>1256.7385249799097</v>
      </c>
      <c r="G4" s="1081">
        <f t="shared" si="0"/>
        <v>1256.7385249799097</v>
      </c>
      <c r="H4" s="1082">
        <f t="shared" si="0"/>
        <v>1256.7385249799097</v>
      </c>
      <c r="I4" s="310"/>
      <c r="J4" s="1102">
        <v>15080.862299758917</v>
      </c>
      <c r="K4" s="661">
        <f>J4/12</f>
        <v>1256.7385249799097</v>
      </c>
    </row>
    <row r="5" spans="1:11" ht="12" hidden="1" customHeight="1" x14ac:dyDescent="0.2">
      <c r="A5" s="6" t="s">
        <v>64</v>
      </c>
      <c r="B5" s="160" t="s">
        <v>60</v>
      </c>
      <c r="C5" s="1064">
        <f t="shared" ref="C5:H5" si="1">$K$5</f>
        <v>117.46206739526413</v>
      </c>
      <c r="D5" s="1081">
        <f t="shared" si="1"/>
        <v>117.46206739526413</v>
      </c>
      <c r="E5" s="1081">
        <f t="shared" si="1"/>
        <v>117.46206739526413</v>
      </c>
      <c r="F5" s="1081">
        <f t="shared" si="1"/>
        <v>117.46206739526413</v>
      </c>
      <c r="G5" s="1081">
        <f t="shared" si="1"/>
        <v>117.46206739526413</v>
      </c>
      <c r="H5" s="1082">
        <f t="shared" si="1"/>
        <v>117.46206739526413</v>
      </c>
      <c r="I5" s="310"/>
      <c r="J5" s="1102">
        <v>1409.5448087431696</v>
      </c>
      <c r="K5" s="661">
        <f>J5/12</f>
        <v>117.46206739526413</v>
      </c>
    </row>
    <row r="6" spans="1:11" hidden="1" x14ac:dyDescent="0.2">
      <c r="A6" s="6" t="s">
        <v>192</v>
      </c>
      <c r="B6" s="160" t="s">
        <v>60</v>
      </c>
      <c r="C6" s="1067"/>
      <c r="D6" s="1068"/>
      <c r="E6" s="1068"/>
      <c r="F6" s="1068"/>
      <c r="G6" s="1068"/>
      <c r="H6" s="1066"/>
      <c r="I6" s="310"/>
      <c r="J6" s="1103"/>
      <c r="K6" s="661"/>
    </row>
    <row r="7" spans="1:11" hidden="1" x14ac:dyDescent="0.2">
      <c r="A7" s="6" t="s">
        <v>593</v>
      </c>
      <c r="B7" s="160" t="s">
        <v>60</v>
      </c>
      <c r="C7" s="1290">
        <v>905.71</v>
      </c>
      <c r="D7" s="540">
        <v>886.29000000000008</v>
      </c>
      <c r="E7" s="540">
        <v>866.84</v>
      </c>
      <c r="F7" s="540">
        <v>847.42</v>
      </c>
      <c r="G7" s="540">
        <v>827.98</v>
      </c>
      <c r="H7" s="1291">
        <v>991.67</v>
      </c>
      <c r="I7" s="310"/>
      <c r="J7" s="1326">
        <f>SUM(C7:H7)</f>
        <v>5325.91</v>
      </c>
      <c r="K7" s="661"/>
    </row>
    <row r="8" spans="1:11" ht="13.2" hidden="1" thickBot="1" x14ac:dyDescent="0.25">
      <c r="A8" s="13" t="s">
        <v>35</v>
      </c>
      <c r="B8" s="1062" t="s">
        <v>39</v>
      </c>
      <c r="C8" s="1065">
        <f>+DispatchSchedule!F66*'Gen. Capacity'!$D1</f>
        <v>0</v>
      </c>
      <c r="D8" s="539">
        <f>+DispatchSchedule!G66*'Gen. Capacity'!$D1</f>
        <v>0</v>
      </c>
      <c r="E8" s="539">
        <f>+DispatchSchedule!H66*'Gen. Capacity'!$D1</f>
        <v>0</v>
      </c>
      <c r="F8" s="539">
        <f>+DispatchSchedule!I66*'Gen. Capacity'!$D1</f>
        <v>2834.8154617842506</v>
      </c>
      <c r="G8" s="539">
        <f>+DispatchSchedule!J66*'Gen. Capacity'!$D1</f>
        <v>2729.7789003212042</v>
      </c>
      <c r="H8" s="1070">
        <f>+DispatchSchedule!K66*'Gen. Capacity'!$D1</f>
        <v>2650.6740556204618</v>
      </c>
      <c r="I8" s="214"/>
      <c r="J8" s="360"/>
      <c r="K8" s="360"/>
    </row>
    <row r="9" spans="1:11" hidden="1" x14ac:dyDescent="0.2">
      <c r="B9" s="2"/>
      <c r="C9" s="322"/>
      <c r="D9" s="322"/>
      <c r="E9" s="322"/>
      <c r="F9" s="322"/>
      <c r="G9" s="322"/>
      <c r="H9" s="322"/>
    </row>
    <row r="10" spans="1:11" hidden="1" x14ac:dyDescent="0.2">
      <c r="A10" s="725" t="s">
        <v>715</v>
      </c>
      <c r="B10" s="2"/>
      <c r="C10" s="322"/>
      <c r="D10" s="322"/>
      <c r="E10" s="322"/>
      <c r="F10" s="322"/>
      <c r="G10" s="322"/>
      <c r="H10" s="322"/>
    </row>
    <row r="11" spans="1:11" ht="13.2" hidden="1" thickBot="1" x14ac:dyDescent="0.25">
      <c r="A11" s="323" t="s">
        <v>43</v>
      </c>
      <c r="B11" s="175" t="s">
        <v>36</v>
      </c>
      <c r="C11" s="425">
        <f>C3</f>
        <v>46023</v>
      </c>
      <c r="D11" s="425">
        <f t="shared" ref="D11:H11" si="2">D3</f>
        <v>46054</v>
      </c>
      <c r="E11" s="425">
        <f t="shared" si="2"/>
        <v>46082</v>
      </c>
      <c r="F11" s="425">
        <f t="shared" si="2"/>
        <v>46113</v>
      </c>
      <c r="G11" s="425">
        <f t="shared" si="2"/>
        <v>46143</v>
      </c>
      <c r="H11" s="425">
        <f t="shared" si="2"/>
        <v>46174</v>
      </c>
      <c r="J11" s="150">
        <f>J4+J5</f>
        <v>16490.407108502088</v>
      </c>
    </row>
    <row r="12" spans="1:11" hidden="1" x14ac:dyDescent="0.2">
      <c r="A12" s="717" t="s">
        <v>63</v>
      </c>
      <c r="B12" s="718" t="s">
        <v>60</v>
      </c>
      <c r="C12" s="719" t="e">
        <f>'Transmission Tariff_2'!D98</f>
        <v>#DIV/0!</v>
      </c>
      <c r="D12" s="719" t="e">
        <f>'Transmission Tariff_2'!E98</f>
        <v>#DIV/0!</v>
      </c>
      <c r="E12" s="719" t="e">
        <f>'Transmission Tariff_2'!F98</f>
        <v>#DIV/0!</v>
      </c>
      <c r="F12" s="719">
        <f>'Transmission Tariff_2'!G98</f>
        <v>1727.8940385671153</v>
      </c>
      <c r="G12" s="719">
        <f>'Transmission Tariff_2'!H98</f>
        <v>1709.7208903752594</v>
      </c>
      <c r="H12" s="726">
        <f>'Transmission Tariff_2'!I98</f>
        <v>1709.884952990943</v>
      </c>
      <c r="J12" s="150"/>
    </row>
    <row r="13" spans="1:11" hidden="1" x14ac:dyDescent="0.2">
      <c r="A13" s="717" t="s">
        <v>64</v>
      </c>
      <c r="B13" s="721" t="s">
        <v>60</v>
      </c>
      <c r="C13" s="720" t="e">
        <f>'Transmission Tariff_2'!D99</f>
        <v>#DIV/0!</v>
      </c>
      <c r="D13" s="720" t="e">
        <f>'Transmission Tariff_2'!E99</f>
        <v>#DIV/0!</v>
      </c>
      <c r="E13" s="720" t="e">
        <f>'Transmission Tariff_2'!F99</f>
        <v>#DIV/0!</v>
      </c>
      <c r="F13" s="720">
        <f>'Transmission Tariff_2'!G99</f>
        <v>669.71905982955263</v>
      </c>
      <c r="G13" s="720">
        <f>'Transmission Tariff_2'!H99</f>
        <v>667.66824758134214</v>
      </c>
      <c r="H13" s="727">
        <f>'Transmission Tariff_2'!I99</f>
        <v>806.75298944074325</v>
      </c>
      <c r="J13" s="150"/>
    </row>
    <row r="14" spans="1:11" ht="13.2" hidden="1" thickBot="1" x14ac:dyDescent="0.25">
      <c r="A14" s="722" t="s">
        <v>35</v>
      </c>
      <c r="B14" s="723" t="s">
        <v>39</v>
      </c>
      <c r="C14" s="724">
        <f>'Transmission Tariff_2'!E10</f>
        <v>-8.6739900000000016</v>
      </c>
      <c r="D14" s="724">
        <f>'Transmission Tariff_2'!F10</f>
        <v>-8.1382274999999993</v>
      </c>
      <c r="E14" s="724">
        <f>'Transmission Tariff_2'!G10</f>
        <v>-10.43835</v>
      </c>
      <c r="F14" s="724">
        <f>'Transmission Tariff_2'!H10</f>
        <v>2830.0551006481478</v>
      </c>
      <c r="G14" s="724">
        <f>'Transmission Tariff_2'!I10</f>
        <v>2721.0388095385301</v>
      </c>
      <c r="H14" s="724">
        <f>'Transmission Tariff_2'!J10</f>
        <v>2642.823017860449</v>
      </c>
      <c r="J14" s="150"/>
    </row>
    <row r="15" spans="1:11" hidden="1" x14ac:dyDescent="0.2">
      <c r="B15" s="2"/>
      <c r="H15" s="70"/>
      <c r="J15" s="150"/>
    </row>
    <row r="16" spans="1:11" ht="13.2" hidden="1" thickBot="1" x14ac:dyDescent="0.25">
      <c r="B16" s="2"/>
      <c r="C16" s="70"/>
      <c r="D16" s="70"/>
      <c r="E16" s="70"/>
      <c r="F16" s="70"/>
      <c r="G16" s="70"/>
      <c r="H16" s="70"/>
      <c r="J16" s="150"/>
    </row>
    <row r="17" spans="1:11" ht="13.2" hidden="1" thickBot="1" x14ac:dyDescent="0.25">
      <c r="A17" s="24" t="s">
        <v>27</v>
      </c>
      <c r="B17" s="23" t="s">
        <v>36</v>
      </c>
      <c r="C17" s="425">
        <f>C3</f>
        <v>46023</v>
      </c>
      <c r="D17" s="425">
        <f t="shared" ref="D17:H17" si="3">+D3</f>
        <v>46054</v>
      </c>
      <c r="E17" s="425">
        <f t="shared" si="3"/>
        <v>46082</v>
      </c>
      <c r="F17" s="425">
        <f t="shared" si="3"/>
        <v>46113</v>
      </c>
      <c r="G17" s="425">
        <f t="shared" si="3"/>
        <v>46143</v>
      </c>
      <c r="H17" s="425">
        <f t="shared" si="3"/>
        <v>46174</v>
      </c>
      <c r="I17" s="70"/>
    </row>
    <row r="18" spans="1:11" hidden="1" x14ac:dyDescent="0.2">
      <c r="A18" s="14" t="s">
        <v>41</v>
      </c>
      <c r="B18" s="31" t="str">
        <f>B19</f>
        <v>SLR/MW</v>
      </c>
      <c r="C18" s="389" t="e">
        <f>C4*1000000/(C8)</f>
        <v>#DIV/0!</v>
      </c>
      <c r="D18" s="389" t="e">
        <f t="shared" ref="D18:H18" si="4">D4*1000000/(D8)</f>
        <v>#DIV/0!</v>
      </c>
      <c r="E18" s="389" t="e">
        <f t="shared" si="4"/>
        <v>#DIV/0!</v>
      </c>
      <c r="F18" s="389">
        <f t="shared" si="4"/>
        <v>443322.86948544811</v>
      </c>
      <c r="G18" s="389">
        <f t="shared" si="4"/>
        <v>460381.06779711472</v>
      </c>
      <c r="H18" s="390">
        <f t="shared" si="4"/>
        <v>474120.35527911637</v>
      </c>
      <c r="K18" s="415"/>
    </row>
    <row r="19" spans="1:11" ht="13.2" hidden="1" thickBot="1" x14ac:dyDescent="0.25">
      <c r="A19" s="10" t="s">
        <v>40</v>
      </c>
      <c r="B19" s="32" t="s">
        <v>42</v>
      </c>
      <c r="C19" s="391" t="e">
        <f>(C5+C7)*1000000/(C8)</f>
        <v>#DIV/0!</v>
      </c>
      <c r="D19" s="391" t="e">
        <f t="shared" ref="D19:H19" si="5">(D5+D7)*1000000/(D8)</f>
        <v>#DIV/0!</v>
      </c>
      <c r="E19" s="391" t="e">
        <f t="shared" si="5"/>
        <v>#DIV/0!</v>
      </c>
      <c r="F19" s="391">
        <f t="shared" si="5"/>
        <v>340368.56381048571</v>
      </c>
      <c r="G19" s="391">
        <f t="shared" si="5"/>
        <v>346343.82560580899</v>
      </c>
      <c r="H19" s="392">
        <f t="shared" si="5"/>
        <v>418433.9696702701</v>
      </c>
    </row>
    <row r="20" spans="1:11" hidden="1" x14ac:dyDescent="0.2">
      <c r="C20" s="70"/>
      <c r="D20" s="70"/>
      <c r="E20" s="70"/>
      <c r="F20" s="70"/>
      <c r="G20" s="70"/>
    </row>
    <row r="21" spans="1:11" ht="13.2" hidden="1" thickBot="1" x14ac:dyDescent="0.25">
      <c r="A21" s="24" t="s">
        <v>27</v>
      </c>
      <c r="B21" s="23" t="s">
        <v>36</v>
      </c>
      <c r="C21" s="425">
        <f>C3</f>
        <v>46023</v>
      </c>
      <c r="D21" s="425">
        <f t="shared" ref="D21:H21" si="6">D3</f>
        <v>46054</v>
      </c>
      <c r="E21" s="425">
        <f t="shared" si="6"/>
        <v>46082</v>
      </c>
      <c r="F21" s="425">
        <f t="shared" si="6"/>
        <v>46113</v>
      </c>
      <c r="G21" s="425">
        <f t="shared" si="6"/>
        <v>46143</v>
      </c>
      <c r="H21" s="425">
        <f t="shared" si="6"/>
        <v>46174</v>
      </c>
    </row>
    <row r="22" spans="1:11" hidden="1" x14ac:dyDescent="0.2">
      <c r="A22" s="711" t="s">
        <v>713</v>
      </c>
      <c r="B22" s="712" t="str">
        <f>B23</f>
        <v>SLR/MW</v>
      </c>
      <c r="C22" s="713" t="e">
        <f t="shared" ref="C22:H22" si="7">C12*1000000/(C14)</f>
        <v>#DIV/0!</v>
      </c>
      <c r="D22" s="713" t="e">
        <f t="shared" si="7"/>
        <v>#DIV/0!</v>
      </c>
      <c r="E22" s="713" t="e">
        <f t="shared" si="7"/>
        <v>#DIV/0!</v>
      </c>
      <c r="F22" s="713">
        <f t="shared" si="7"/>
        <v>610551.37695777998</v>
      </c>
      <c r="G22" s="713">
        <f t="shared" si="7"/>
        <v>628333.88644876273</v>
      </c>
      <c r="H22" s="713">
        <f t="shared" si="7"/>
        <v>646991.84978917544</v>
      </c>
    </row>
    <row r="23" spans="1:11" ht="13.2" hidden="1" thickBot="1" x14ac:dyDescent="0.25">
      <c r="A23" s="714" t="s">
        <v>714</v>
      </c>
      <c r="B23" s="715" t="s">
        <v>42</v>
      </c>
      <c r="C23" s="716" t="e">
        <f t="shared" ref="C23:H23" si="8">(C13)*1000000/(C14)</f>
        <v>#DIV/0!</v>
      </c>
      <c r="D23" s="716" t="e">
        <f t="shared" si="8"/>
        <v>#DIV/0!</v>
      </c>
      <c r="E23" s="716" t="e">
        <f t="shared" si="8"/>
        <v>#DIV/0!</v>
      </c>
      <c r="F23" s="716">
        <f t="shared" si="8"/>
        <v>236645.23693414009</v>
      </c>
      <c r="G23" s="716">
        <f t="shared" si="8"/>
        <v>245372.55596680523</v>
      </c>
      <c r="H23" s="716">
        <f t="shared" si="8"/>
        <v>305261.82948635978</v>
      </c>
    </row>
    <row r="25" spans="1:11" ht="16.2" x14ac:dyDescent="0.3">
      <c r="A25" s="3" t="s">
        <v>26</v>
      </c>
      <c r="B25" s="1"/>
      <c r="C25" s="1706" t="s">
        <v>1036</v>
      </c>
      <c r="D25" s="1336">
        <f>'Loss %'!C6</f>
        <v>3.54</v>
      </c>
    </row>
    <row r="26" spans="1:11" ht="13.2" thickBot="1" x14ac:dyDescent="0.25">
      <c r="A26" s="1" t="s">
        <v>29</v>
      </c>
      <c r="B26" s="1"/>
    </row>
    <row r="27" spans="1:11" ht="13.2" thickBot="1" x14ac:dyDescent="0.25">
      <c r="A27" s="46" t="s">
        <v>27</v>
      </c>
      <c r="B27" s="66" t="s">
        <v>36</v>
      </c>
      <c r="C27" s="425">
        <f t="shared" ref="C27:H27" si="9">C3</f>
        <v>46023</v>
      </c>
      <c r="D27" s="425">
        <f t="shared" si="9"/>
        <v>46054</v>
      </c>
      <c r="E27" s="425">
        <f t="shared" si="9"/>
        <v>46082</v>
      </c>
      <c r="F27" s="425">
        <f t="shared" si="9"/>
        <v>46113</v>
      </c>
      <c r="G27" s="425">
        <f t="shared" si="9"/>
        <v>46143</v>
      </c>
      <c r="H27" s="425">
        <f t="shared" si="9"/>
        <v>46174</v>
      </c>
    </row>
    <row r="28" spans="1:11" x14ac:dyDescent="0.2">
      <c r="A28" s="45" t="s">
        <v>28</v>
      </c>
      <c r="B28" s="91" t="s">
        <v>56</v>
      </c>
      <c r="C28" s="1708">
        <f t="shared" ref="C28:H28" si="10">+C29*0.0267*$D$25/2.6</f>
        <v>0</v>
      </c>
      <c r="D28" s="1708">
        <f t="shared" si="10"/>
        <v>0</v>
      </c>
      <c r="E28" s="1708">
        <f t="shared" si="10"/>
        <v>0</v>
      </c>
      <c r="F28" s="1708">
        <f t="shared" si="10"/>
        <v>31.736895066372526</v>
      </c>
      <c r="G28" s="1708">
        <f t="shared" si="10"/>
        <v>34.009046685800328</v>
      </c>
      <c r="H28" s="92">
        <f t="shared" si="10"/>
        <v>33.237082480206325</v>
      </c>
      <c r="I28" s="338"/>
    </row>
    <row r="29" spans="1:11" x14ac:dyDescent="0.2">
      <c r="A29" s="7" t="s">
        <v>30</v>
      </c>
      <c r="B29" s="20" t="s">
        <v>56</v>
      </c>
      <c r="C29" s="540">
        <f>'Gen. Energy Cost'!B10</f>
        <v>0</v>
      </c>
      <c r="D29" s="540">
        <f>'Gen. Energy Cost'!H10</f>
        <v>0</v>
      </c>
      <c r="E29" s="540">
        <f>'Gen. Energy Cost'!Q10</f>
        <v>0</v>
      </c>
      <c r="F29" s="540">
        <f>'Gen. Energy Cost'!W10</f>
        <v>873.01812535780016</v>
      </c>
      <c r="G29" s="540">
        <f>'Gen. Energy Cost'!AC10</f>
        <v>935.52044460399986</v>
      </c>
      <c r="H29" s="541">
        <f>'Gen. Energy Cost'!AI10</f>
        <v>914.28526257999988</v>
      </c>
    </row>
    <row r="30" spans="1:11" ht="13.2" thickBot="1" x14ac:dyDescent="0.25">
      <c r="A30" s="10" t="s">
        <v>38</v>
      </c>
      <c r="B30" s="11" t="s">
        <v>37</v>
      </c>
      <c r="C30" s="1771" t="e">
        <f>C28/C29</f>
        <v>#DIV/0!</v>
      </c>
      <c r="D30" s="28" t="e">
        <f t="shared" ref="D30:H30" si="11">D28/D29</f>
        <v>#DIV/0!</v>
      </c>
      <c r="E30" s="28" t="e">
        <f t="shared" si="11"/>
        <v>#DIV/0!</v>
      </c>
      <c r="F30" s="28">
        <f t="shared" si="11"/>
        <v>3.6353076923076925E-2</v>
      </c>
      <c r="G30" s="28">
        <f t="shared" si="11"/>
        <v>3.6353076923076919E-2</v>
      </c>
      <c r="H30" s="29">
        <f t="shared" si="11"/>
        <v>3.6353076923076932E-2</v>
      </c>
    </row>
    <row r="31" spans="1:11" x14ac:dyDescent="0.2">
      <c r="C31" s="2"/>
      <c r="D31" s="2"/>
      <c r="E31" s="2"/>
      <c r="F31" s="2"/>
      <c r="G31" s="2"/>
      <c r="H31" s="2"/>
    </row>
    <row r="32" spans="1:11" ht="13.2" thickBot="1" x14ac:dyDescent="0.25">
      <c r="A32" s="1" t="s">
        <v>32</v>
      </c>
      <c r="B32" s="1"/>
    </row>
    <row r="33" spans="1:9" ht="13.2" thickBot="1" x14ac:dyDescent="0.25">
      <c r="A33" s="22" t="s">
        <v>27</v>
      </c>
      <c r="B33" s="25" t="s">
        <v>36</v>
      </c>
      <c r="C33" s="425">
        <f t="shared" ref="C33:H33" si="12">+C3</f>
        <v>46023</v>
      </c>
      <c r="D33" s="425">
        <f t="shared" si="12"/>
        <v>46054</v>
      </c>
      <c r="E33" s="425">
        <f t="shared" si="12"/>
        <v>46082</v>
      </c>
      <c r="F33" s="425">
        <f t="shared" si="12"/>
        <v>46113</v>
      </c>
      <c r="G33" s="425">
        <f t="shared" si="12"/>
        <v>46143</v>
      </c>
      <c r="H33" s="425">
        <f t="shared" si="12"/>
        <v>46174</v>
      </c>
    </row>
    <row r="34" spans="1:9" x14ac:dyDescent="0.2">
      <c r="A34" s="6" t="s">
        <v>28</v>
      </c>
      <c r="B34" s="20" t="s">
        <v>56</v>
      </c>
      <c r="C34" s="1707">
        <f t="shared" ref="C34:H34" si="13">+C35*0.0341*$D$25/2.6</f>
        <v>0</v>
      </c>
      <c r="D34" s="1707">
        <f t="shared" si="13"/>
        <v>0</v>
      </c>
      <c r="E34" s="1707">
        <f t="shared" si="13"/>
        <v>0</v>
      </c>
      <c r="F34" s="1707">
        <f t="shared" si="13"/>
        <v>13.767205216800379</v>
      </c>
      <c r="G34" s="1707">
        <f t="shared" si="13"/>
        <v>14.752845984837977</v>
      </c>
      <c r="H34" s="1707">
        <f t="shared" si="13"/>
        <v>14.417974233325713</v>
      </c>
    </row>
    <row r="35" spans="1:9" x14ac:dyDescent="0.2">
      <c r="A35" s="7" t="s">
        <v>30</v>
      </c>
      <c r="B35" s="20" t="s">
        <v>56</v>
      </c>
      <c r="C35" s="540">
        <f>'Gen. Energy Cost'!B11</f>
        <v>0</v>
      </c>
      <c r="D35" s="540">
        <f>'Gen. Energy Cost'!H11</f>
        <v>0</v>
      </c>
      <c r="E35" s="540">
        <f>'Gen. Energy Cost'!Q11</f>
        <v>0</v>
      </c>
      <c r="F35" s="540">
        <f>'Gen. Energy Cost'!W11</f>
        <v>296.52512188877006</v>
      </c>
      <c r="G35" s="540">
        <f>'Gen. Energy Cost'!AC11</f>
        <v>317.75435790860001</v>
      </c>
      <c r="H35" s="541">
        <f>'Gen. Energy Cost'!AI11</f>
        <v>310.54171849699998</v>
      </c>
    </row>
    <row r="36" spans="1:9" ht="13.2" thickBot="1" x14ac:dyDescent="0.25">
      <c r="A36" s="10" t="s">
        <v>38</v>
      </c>
      <c r="B36" s="11" t="s">
        <v>37</v>
      </c>
      <c r="C36" s="28" t="e">
        <f t="shared" ref="C36:H36" si="14">C34/C35</f>
        <v>#DIV/0!</v>
      </c>
      <c r="D36" s="28" t="e">
        <f t="shared" si="14"/>
        <v>#DIV/0!</v>
      </c>
      <c r="E36" s="28" t="e">
        <f t="shared" si="14"/>
        <v>#DIV/0!</v>
      </c>
      <c r="F36" s="28">
        <f t="shared" si="14"/>
        <v>4.6428461538461537E-2</v>
      </c>
      <c r="G36" s="28">
        <f t="shared" si="14"/>
        <v>4.6428461538461537E-2</v>
      </c>
      <c r="H36" s="29">
        <f t="shared" si="14"/>
        <v>4.6428461538461537E-2</v>
      </c>
    </row>
    <row r="38" spans="1:9" ht="13.2" thickBot="1" x14ac:dyDescent="0.25">
      <c r="A38" s="1" t="s">
        <v>33</v>
      </c>
      <c r="B38" s="1"/>
    </row>
    <row r="39" spans="1:9" ht="13.2" thickBot="1" x14ac:dyDescent="0.25">
      <c r="A39" s="22" t="s">
        <v>27</v>
      </c>
      <c r="B39" s="25" t="s">
        <v>36</v>
      </c>
      <c r="C39" s="425">
        <f t="shared" ref="C39:H39" si="15">+C3</f>
        <v>46023</v>
      </c>
      <c r="D39" s="425">
        <f t="shared" si="15"/>
        <v>46054</v>
      </c>
      <c r="E39" s="425">
        <f t="shared" si="15"/>
        <v>46082</v>
      </c>
      <c r="F39" s="425">
        <f t="shared" si="15"/>
        <v>46113</v>
      </c>
      <c r="G39" s="425">
        <f t="shared" si="15"/>
        <v>46143</v>
      </c>
      <c r="H39" s="425">
        <f t="shared" si="15"/>
        <v>46174</v>
      </c>
    </row>
    <row r="40" spans="1:9" x14ac:dyDescent="0.2">
      <c r="A40" s="6" t="s">
        <v>28</v>
      </c>
      <c r="B40" s="20" t="s">
        <v>56</v>
      </c>
      <c r="C40" s="1707">
        <f t="shared" ref="C40:H40" si="16">+C41*0.0189*$D$25/2.6</f>
        <v>0</v>
      </c>
      <c r="D40" s="1707">
        <f t="shared" si="16"/>
        <v>0</v>
      </c>
      <c r="E40" s="1707">
        <f t="shared" si="16"/>
        <v>0</v>
      </c>
      <c r="F40" s="1707">
        <f t="shared" si="16"/>
        <v>8.637575334898635</v>
      </c>
      <c r="G40" s="1707">
        <f t="shared" si="16"/>
        <v>9.2559685565441487</v>
      </c>
      <c r="H40" s="1707">
        <f t="shared" si="16"/>
        <v>9.0458692709108597</v>
      </c>
    </row>
    <row r="41" spans="1:9" x14ac:dyDescent="0.2">
      <c r="A41" s="7" t="s">
        <v>30</v>
      </c>
      <c r="B41" s="20" t="s">
        <v>56</v>
      </c>
      <c r="C41" s="1707">
        <f>'Gen. Energy Cost'!B12</f>
        <v>0</v>
      </c>
      <c r="D41" s="1707">
        <f>'Gen. Energy Cost'!H12</f>
        <v>0</v>
      </c>
      <c r="E41" s="540">
        <f>'Gen. Energy Cost'!Q12</f>
        <v>0</v>
      </c>
      <c r="F41" s="540">
        <f>'Gen. Energy Cost'!W12</f>
        <v>335.66041716343005</v>
      </c>
      <c r="G41" s="540">
        <f>'Gen. Energy Cost'!AC12</f>
        <v>359.69148128739999</v>
      </c>
      <c r="H41" s="541">
        <f>'Gen. Energy Cost'!AI12</f>
        <v>351.52691992299998</v>
      </c>
    </row>
    <row r="42" spans="1:9" ht="13.2" thickBot="1" x14ac:dyDescent="0.25">
      <c r="A42" s="10" t="s">
        <v>38</v>
      </c>
      <c r="B42" s="11" t="s">
        <v>37</v>
      </c>
      <c r="C42" s="28" t="e">
        <f t="shared" ref="C42:H42" si="17">C40/C41</f>
        <v>#DIV/0!</v>
      </c>
      <c r="D42" s="28" t="e">
        <f t="shared" si="17"/>
        <v>#DIV/0!</v>
      </c>
      <c r="E42" s="28" t="e">
        <f t="shared" si="17"/>
        <v>#DIV/0!</v>
      </c>
      <c r="F42" s="28">
        <f t="shared" si="17"/>
        <v>2.5733076923076924E-2</v>
      </c>
      <c r="G42" s="28">
        <f t="shared" si="17"/>
        <v>2.5733076923076924E-2</v>
      </c>
      <c r="H42" s="29">
        <f t="shared" si="17"/>
        <v>2.5733076923076921E-2</v>
      </c>
    </row>
    <row r="44" spans="1:9" hidden="1" x14ac:dyDescent="0.2">
      <c r="A44" s="36" t="s">
        <v>605</v>
      </c>
      <c r="B44" t="s">
        <v>56</v>
      </c>
      <c r="C44" s="70">
        <f t="shared" ref="C44:H44" si="18">+C29+C35+C41</f>
        <v>0</v>
      </c>
      <c r="D44" s="70">
        <f t="shared" si="18"/>
        <v>0</v>
      </c>
      <c r="E44" s="70">
        <f t="shared" si="18"/>
        <v>0</v>
      </c>
      <c r="F44" s="70">
        <f t="shared" si="18"/>
        <v>1505.2036644100003</v>
      </c>
      <c r="G44" s="70">
        <f t="shared" si="18"/>
        <v>1612.9662837999997</v>
      </c>
      <c r="H44" s="70">
        <f t="shared" si="18"/>
        <v>1576.3539009999997</v>
      </c>
      <c r="I44" s="70">
        <f>SUM(C44:H44)</f>
        <v>4694.5238492099998</v>
      </c>
    </row>
    <row r="45" spans="1:9" hidden="1" x14ac:dyDescent="0.2">
      <c r="A45" s="36" t="s">
        <v>606</v>
      </c>
      <c r="B45" t="s">
        <v>56</v>
      </c>
      <c r="C45" s="70">
        <f t="shared" ref="C45:H45" si="19">+C28+C34+C40</f>
        <v>0</v>
      </c>
      <c r="D45" s="70">
        <f t="shared" si="19"/>
        <v>0</v>
      </c>
      <c r="E45" s="70">
        <f t="shared" si="19"/>
        <v>0</v>
      </c>
      <c r="F45" s="70">
        <f t="shared" si="19"/>
        <v>54.141675618071538</v>
      </c>
      <c r="G45" s="70">
        <f t="shared" si="19"/>
        <v>58.017861227182451</v>
      </c>
      <c r="H45" s="70">
        <f t="shared" si="19"/>
        <v>56.700925984442904</v>
      </c>
      <c r="I45" s="70">
        <f>SUM(C45:H45)</f>
        <v>168.8604628296969</v>
      </c>
    </row>
    <row r="46" spans="1:9" hidden="1" x14ac:dyDescent="0.2">
      <c r="A46" t="s">
        <v>465</v>
      </c>
      <c r="B46" t="s">
        <v>56</v>
      </c>
      <c r="C46" s="70">
        <f t="shared" ref="C46:H46" si="20">+C44-C45</f>
        <v>0</v>
      </c>
      <c r="D46" s="70">
        <f t="shared" si="20"/>
        <v>0</v>
      </c>
      <c r="E46" s="70">
        <f t="shared" si="20"/>
        <v>0</v>
      </c>
      <c r="F46" s="70">
        <f t="shared" si="20"/>
        <v>1451.0619887919288</v>
      </c>
      <c r="G46" s="70">
        <f t="shared" si="20"/>
        <v>1554.9484225728172</v>
      </c>
      <c r="H46" s="70">
        <f t="shared" si="20"/>
        <v>1519.6529750155569</v>
      </c>
      <c r="I46" s="70">
        <f>SUM(C46:H46)</f>
        <v>4525.6633863803027</v>
      </c>
    </row>
    <row r="47" spans="1:9" ht="16.2" hidden="1" x14ac:dyDescent="0.3">
      <c r="A47" s="3" t="s">
        <v>1037</v>
      </c>
      <c r="B47" s="1"/>
      <c r="C47" s="1706" t="s">
        <v>1036</v>
      </c>
      <c r="D47" s="1336">
        <f>'Loss %'!C7</f>
        <v>2.6296495346279491</v>
      </c>
      <c r="E47">
        <f>D47*0.0267/2.6</f>
        <v>2.700447791329471E-2</v>
      </c>
    </row>
    <row r="48" spans="1:9" ht="13.2" hidden="1" thickBot="1" x14ac:dyDescent="0.25">
      <c r="A48" s="1" t="s">
        <v>29</v>
      </c>
      <c r="B48" s="1"/>
    </row>
    <row r="49" spans="1:9" ht="13.2" hidden="1" thickBot="1" x14ac:dyDescent="0.25">
      <c r="A49" s="46" t="s">
        <v>27</v>
      </c>
      <c r="B49" s="66" t="s">
        <v>36</v>
      </c>
      <c r="C49" s="425" t="str">
        <f t="shared" ref="C49:H49" si="21">C25</f>
        <v>Transmission loss factor</v>
      </c>
      <c r="D49" s="425">
        <f t="shared" si="21"/>
        <v>3.54</v>
      </c>
      <c r="E49" s="425">
        <f t="shared" si="21"/>
        <v>0</v>
      </c>
      <c r="F49" s="425">
        <f t="shared" si="21"/>
        <v>0</v>
      </c>
      <c r="G49" s="425">
        <f t="shared" si="21"/>
        <v>0</v>
      </c>
      <c r="H49" s="425">
        <f t="shared" si="21"/>
        <v>0</v>
      </c>
    </row>
    <row r="50" spans="1:9" hidden="1" x14ac:dyDescent="0.2">
      <c r="A50" s="45" t="s">
        <v>28</v>
      </c>
      <c r="B50" s="91" t="s">
        <v>56</v>
      </c>
      <c r="C50" s="1708">
        <f>+C51*0.0267*$D$47/2.6</f>
        <v>0</v>
      </c>
      <c r="D50" s="1708">
        <f t="shared" ref="D50:H50" si="22">+D51*0.0267*$D$47/2.6</f>
        <v>0</v>
      </c>
      <c r="E50" s="1708">
        <f t="shared" si="22"/>
        <v>0</v>
      </c>
      <c r="F50" s="1708">
        <f t="shared" si="22"/>
        <v>23.575398684130668</v>
      </c>
      <c r="G50" s="1708">
        <f t="shared" si="22"/>
        <v>25.263241183744359</v>
      </c>
      <c r="H50" s="1708">
        <f t="shared" si="22"/>
        <v>24.689796179792459</v>
      </c>
      <c r="I50" s="338"/>
    </row>
    <row r="51" spans="1:9" hidden="1" x14ac:dyDescent="0.2">
      <c r="A51" s="7" t="s">
        <v>30</v>
      </c>
      <c r="B51" s="20" t="s">
        <v>56</v>
      </c>
      <c r="C51" s="540">
        <f>C29</f>
        <v>0</v>
      </c>
      <c r="D51" s="540">
        <f t="shared" ref="D51:H51" si="23">D29</f>
        <v>0</v>
      </c>
      <c r="E51" s="540">
        <f t="shared" si="23"/>
        <v>0</v>
      </c>
      <c r="F51" s="540">
        <f t="shared" si="23"/>
        <v>873.01812535780016</v>
      </c>
      <c r="G51" s="540">
        <f t="shared" si="23"/>
        <v>935.52044460399986</v>
      </c>
      <c r="H51" s="540">
        <f t="shared" si="23"/>
        <v>914.28526257999988</v>
      </c>
    </row>
    <row r="52" spans="1:9" ht="13.2" hidden="1" thickBot="1" x14ac:dyDescent="0.25">
      <c r="A52" s="10" t="s">
        <v>38</v>
      </c>
      <c r="B52" s="11" t="s">
        <v>37</v>
      </c>
      <c r="C52" s="1717" t="e">
        <f>C50/C51</f>
        <v>#DIV/0!</v>
      </c>
      <c r="D52" s="1717" t="e">
        <f t="shared" ref="D52:H52" si="24">D50/D51</f>
        <v>#DIV/0!</v>
      </c>
      <c r="E52" s="1717" t="e">
        <f t="shared" si="24"/>
        <v>#DIV/0!</v>
      </c>
      <c r="F52" s="1717">
        <f t="shared" si="24"/>
        <v>2.7004477913294713E-2</v>
      </c>
      <c r="G52" s="1717">
        <f t="shared" si="24"/>
        <v>2.7004477913294706E-2</v>
      </c>
      <c r="H52" s="1718">
        <f t="shared" si="24"/>
        <v>2.700447791329471E-2</v>
      </c>
    </row>
    <row r="53" spans="1:9" hidden="1" x14ac:dyDescent="0.2">
      <c r="C53" s="2"/>
      <c r="D53" s="2"/>
      <c r="E53" s="2"/>
      <c r="F53" s="2"/>
      <c r="G53" s="2"/>
      <c r="H53" s="2"/>
    </row>
    <row r="54" spans="1:9" ht="13.2" hidden="1" thickBot="1" x14ac:dyDescent="0.25">
      <c r="A54" s="1" t="s">
        <v>32</v>
      </c>
      <c r="B54" s="1"/>
    </row>
    <row r="55" spans="1:9" ht="13.2" hidden="1" thickBot="1" x14ac:dyDescent="0.25">
      <c r="A55" s="22" t="s">
        <v>27</v>
      </c>
      <c r="B55" s="25" t="s">
        <v>36</v>
      </c>
      <c r="C55" s="425" t="str">
        <f t="shared" ref="C55:H55" si="25">+C25</f>
        <v>Transmission loss factor</v>
      </c>
      <c r="D55" s="425">
        <f t="shared" si="25"/>
        <v>3.54</v>
      </c>
      <c r="E55" s="425">
        <f t="shared" si="25"/>
        <v>0</v>
      </c>
      <c r="F55" s="425">
        <f t="shared" si="25"/>
        <v>0</v>
      </c>
      <c r="G55" s="425">
        <f t="shared" si="25"/>
        <v>0</v>
      </c>
      <c r="H55" s="425">
        <f t="shared" si="25"/>
        <v>0</v>
      </c>
    </row>
    <row r="56" spans="1:9" hidden="1" x14ac:dyDescent="0.2">
      <c r="A56" s="6" t="s">
        <v>28</v>
      </c>
      <c r="B56" s="20" t="s">
        <v>56</v>
      </c>
      <c r="C56" s="1707">
        <f>+C57*0.0341*$D$47/2.6</f>
        <v>0</v>
      </c>
      <c r="D56" s="1707">
        <f t="shared" ref="D56:H56" si="26">+D57*0.0341*$D$47/2.6</f>
        <v>0</v>
      </c>
      <c r="E56" s="1707">
        <f t="shared" si="26"/>
        <v>0</v>
      </c>
      <c r="F56" s="1707">
        <f t="shared" si="26"/>
        <v>10.226814912849321</v>
      </c>
      <c r="G56" s="1707">
        <f t="shared" si="26"/>
        <v>10.958987169058474</v>
      </c>
      <c r="H56" s="1707">
        <f t="shared" si="26"/>
        <v>10.710231421735232</v>
      </c>
    </row>
    <row r="57" spans="1:9" hidden="1" x14ac:dyDescent="0.2">
      <c r="A57" s="7" t="s">
        <v>30</v>
      </c>
      <c r="B57" s="20" t="s">
        <v>56</v>
      </c>
      <c r="C57" s="540">
        <f>C35</f>
        <v>0</v>
      </c>
      <c r="D57" s="540">
        <f t="shared" ref="D57:H57" si="27">D35</f>
        <v>0</v>
      </c>
      <c r="E57" s="540">
        <f t="shared" si="27"/>
        <v>0</v>
      </c>
      <c r="F57" s="540">
        <f t="shared" si="27"/>
        <v>296.52512188877006</v>
      </c>
      <c r="G57" s="540">
        <f t="shared" si="27"/>
        <v>317.75435790860001</v>
      </c>
      <c r="H57" s="540">
        <f t="shared" si="27"/>
        <v>310.54171849699998</v>
      </c>
    </row>
    <row r="58" spans="1:9" ht="13.2" hidden="1" thickBot="1" x14ac:dyDescent="0.25">
      <c r="A58" s="10" t="s">
        <v>38</v>
      </c>
      <c r="B58" s="11" t="s">
        <v>37</v>
      </c>
      <c r="C58" s="1715" t="e">
        <f t="shared" ref="C58:H58" si="28">C56/C57</f>
        <v>#DIV/0!</v>
      </c>
      <c r="D58" s="1715" t="e">
        <f t="shared" si="28"/>
        <v>#DIV/0!</v>
      </c>
      <c r="E58" s="1715" t="e">
        <f t="shared" si="28"/>
        <v>#DIV/0!</v>
      </c>
      <c r="F58" s="1715">
        <f t="shared" si="28"/>
        <v>3.448886505031272E-2</v>
      </c>
      <c r="G58" s="1715">
        <f t="shared" si="28"/>
        <v>3.448886505031272E-2</v>
      </c>
      <c r="H58" s="1716">
        <f t="shared" si="28"/>
        <v>3.4488865050312713E-2</v>
      </c>
    </row>
    <row r="59" spans="1:9" hidden="1" x14ac:dyDescent="0.2"/>
    <row r="60" spans="1:9" ht="13.2" hidden="1" thickBot="1" x14ac:dyDescent="0.25">
      <c r="A60" s="1" t="s">
        <v>33</v>
      </c>
      <c r="B60" s="1"/>
    </row>
    <row r="61" spans="1:9" ht="13.2" hidden="1" thickBot="1" x14ac:dyDescent="0.25">
      <c r="A61" s="22" t="s">
        <v>27</v>
      </c>
      <c r="B61" s="25" t="s">
        <v>36</v>
      </c>
      <c r="C61" s="425" t="str">
        <f t="shared" ref="C61:H61" si="29">+C25</f>
        <v>Transmission loss factor</v>
      </c>
      <c r="D61" s="425">
        <f t="shared" si="29"/>
        <v>3.54</v>
      </c>
      <c r="E61" s="425">
        <f t="shared" si="29"/>
        <v>0</v>
      </c>
      <c r="F61" s="425">
        <f t="shared" si="29"/>
        <v>0</v>
      </c>
      <c r="G61" s="425">
        <f t="shared" si="29"/>
        <v>0</v>
      </c>
      <c r="H61" s="425">
        <f t="shared" si="29"/>
        <v>0</v>
      </c>
    </row>
    <row r="62" spans="1:9" hidden="1" x14ac:dyDescent="0.2">
      <c r="A62" s="6" t="s">
        <v>28</v>
      </c>
      <c r="B62" s="20" t="s">
        <v>56</v>
      </c>
      <c r="C62" s="1707">
        <f>+C63*0.0189*$D$47/2.6</f>
        <v>0</v>
      </c>
      <c r="D62" s="1707">
        <f t="shared" ref="D62:H62" si="30">+D63*0.0189*$D$47/2.6</f>
        <v>0</v>
      </c>
      <c r="E62" s="1707">
        <f t="shared" si="30"/>
        <v>0</v>
      </c>
      <c r="F62" s="1707">
        <f t="shared" si="30"/>
        <v>6.4163265422966234</v>
      </c>
      <c r="G62" s="1707">
        <f t="shared" si="30"/>
        <v>6.8756930528947029</v>
      </c>
      <c r="H62" s="1707">
        <f t="shared" si="30"/>
        <v>6.7196231408350302</v>
      </c>
    </row>
    <row r="63" spans="1:9" hidden="1" x14ac:dyDescent="0.2">
      <c r="A63" s="7" t="s">
        <v>30</v>
      </c>
      <c r="B63" s="20" t="s">
        <v>56</v>
      </c>
      <c r="C63" s="540">
        <f>C41</f>
        <v>0</v>
      </c>
      <c r="D63" s="540">
        <f t="shared" ref="D63:H63" si="31">D41</f>
        <v>0</v>
      </c>
      <c r="E63" s="540">
        <f t="shared" si="31"/>
        <v>0</v>
      </c>
      <c r="F63" s="540">
        <f t="shared" si="31"/>
        <v>335.66041716343005</v>
      </c>
      <c r="G63" s="540">
        <f t="shared" si="31"/>
        <v>359.69148128739999</v>
      </c>
      <c r="H63" s="540">
        <f t="shared" si="31"/>
        <v>351.52691992299998</v>
      </c>
    </row>
    <row r="64" spans="1:9" ht="13.2" hidden="1" thickBot="1" x14ac:dyDescent="0.25">
      <c r="A64" s="10" t="s">
        <v>38</v>
      </c>
      <c r="B64" s="11" t="s">
        <v>37</v>
      </c>
      <c r="C64" s="1713" t="e">
        <f t="shared" ref="C64:H64" si="32">C62/C63</f>
        <v>#DIV/0!</v>
      </c>
      <c r="D64" s="1713" t="e">
        <f t="shared" si="32"/>
        <v>#DIV/0!</v>
      </c>
      <c r="E64" s="1713" t="e">
        <f t="shared" si="32"/>
        <v>#DIV/0!</v>
      </c>
      <c r="F64" s="1713">
        <f t="shared" si="32"/>
        <v>1.9115529309410861E-2</v>
      </c>
      <c r="G64" s="1713">
        <f t="shared" si="32"/>
        <v>1.9115529309410861E-2</v>
      </c>
      <c r="H64" s="1714">
        <f t="shared" si="32"/>
        <v>1.9115529309410861E-2</v>
      </c>
    </row>
    <row r="66" spans="1:8" hidden="1" x14ac:dyDescent="0.2">
      <c r="A66" s="484" t="s">
        <v>41</v>
      </c>
      <c r="B66" s="47" t="s">
        <v>94</v>
      </c>
      <c r="C66" s="832">
        <f>C4*1000000</f>
        <v>1256738524.9799097</v>
      </c>
      <c r="D66" s="832">
        <f t="shared" ref="D66:H66" si="33">D4*1000000</f>
        <v>1256738524.9799097</v>
      </c>
      <c r="E66" s="832">
        <f t="shared" si="33"/>
        <v>1256738524.9799097</v>
      </c>
      <c r="F66" s="832">
        <f t="shared" si="33"/>
        <v>1256738524.9799097</v>
      </c>
      <c r="G66" s="832">
        <f t="shared" si="33"/>
        <v>1256738524.9799097</v>
      </c>
      <c r="H66" s="832">
        <f t="shared" si="33"/>
        <v>1256738524.9799097</v>
      </c>
    </row>
    <row r="67" spans="1:8" hidden="1" x14ac:dyDescent="0.2">
      <c r="A67" s="484" t="s">
        <v>40</v>
      </c>
      <c r="B67" s="47" t="s">
        <v>94</v>
      </c>
      <c r="C67" s="832">
        <f>(C5+C7)*1000000</f>
        <v>1023172067.3952641</v>
      </c>
      <c r="D67" s="832">
        <f t="shared" ref="D67:H67" si="34">(D5+D7)*1000000</f>
        <v>1003752067.3952643</v>
      </c>
      <c r="E67" s="832">
        <f t="shared" si="34"/>
        <v>984302067.39526415</v>
      </c>
      <c r="F67" s="832">
        <f t="shared" si="34"/>
        <v>964882067.39526415</v>
      </c>
      <c r="G67" s="832">
        <f t="shared" si="34"/>
        <v>945442067.39526415</v>
      </c>
      <c r="H67" s="832">
        <f t="shared" si="34"/>
        <v>1109132067.3952641</v>
      </c>
    </row>
    <row r="68" spans="1:8" hidden="1" x14ac:dyDescent="0.2">
      <c r="C68" s="402"/>
    </row>
    <row r="69" spans="1:8" hidden="1" x14ac:dyDescent="0.2">
      <c r="A69" s="47" t="s">
        <v>731</v>
      </c>
      <c r="B69" s="484" t="s">
        <v>37</v>
      </c>
      <c r="C69" s="836" t="e">
        <f>(C30+C36+C42)/3</f>
        <v>#DIV/0!</v>
      </c>
    </row>
    <row r="70" spans="1:8" hidden="1" x14ac:dyDescent="0.2"/>
    <row r="71" spans="1:8" hidden="1" x14ac:dyDescent="0.2">
      <c r="C71" s="70"/>
      <c r="D71" s="70"/>
      <c r="E71" s="70"/>
      <c r="F71" s="70"/>
      <c r="G71" s="70"/>
      <c r="H71" s="70"/>
    </row>
    <row r="72" spans="1:8" hidden="1" x14ac:dyDescent="0.2">
      <c r="A72" s="1" t="s">
        <v>788</v>
      </c>
    </row>
    <row r="73" spans="1:8" hidden="1" x14ac:dyDescent="0.2">
      <c r="A73" s="415" t="s">
        <v>839</v>
      </c>
      <c r="C73" s="1117" t="e">
        <f>C30+C36+C42</f>
        <v>#DIV/0!</v>
      </c>
    </row>
    <row r="74" spans="1:8" hidden="1" x14ac:dyDescent="0.2">
      <c r="A74" s="415" t="s">
        <v>800</v>
      </c>
      <c r="C74" s="70">
        <f>C28+C34+C40</f>
        <v>0</v>
      </c>
      <c r="D74" s="1704" t="e">
        <f>C74/C75</f>
        <v>#DIV/0!</v>
      </c>
    </row>
    <row r="75" spans="1:8" hidden="1" x14ac:dyDescent="0.2">
      <c r="C75" s="70">
        <f>C29+C35+C41</f>
        <v>0</v>
      </c>
    </row>
    <row r="76" spans="1:8" hidden="1" x14ac:dyDescent="0.2"/>
    <row r="77" spans="1:8" hidden="1" x14ac:dyDescent="0.2"/>
    <row r="78" spans="1:8" hidden="1" x14ac:dyDescent="0.2"/>
    <row r="79" spans="1:8" hidden="1" x14ac:dyDescent="0.2"/>
    <row r="80" spans="1:8" hidden="1" x14ac:dyDescent="0.2"/>
    <row r="81" hidden="1" x14ac:dyDescent="0.2"/>
  </sheetData>
  <mergeCells count="1">
    <mergeCell ref="J2:K2"/>
  </mergeCells>
  <pageMargins left="0.75" right="0.31" top="1" bottom="1" header="0" footer="0"/>
  <pageSetup paperSize="9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0753" r:id="rId4" name="CommandButton1">
          <controlPr defaultSize="0" autoLine="0" r:id="rId5">
            <anchor moveWithCells="1">
              <from>
                <xdr:col>5</xdr:col>
                <xdr:colOff>411480</xdr:colOff>
                <xdr:row>23</xdr:row>
                <xdr:rowOff>0</xdr:rowOff>
              </from>
              <to>
                <xdr:col>5</xdr:col>
                <xdr:colOff>1165860</xdr:colOff>
                <xdr:row>24</xdr:row>
                <xdr:rowOff>114300</xdr:rowOff>
              </to>
            </anchor>
          </controlPr>
        </control>
      </mc:Choice>
      <mc:Fallback>
        <control shapeId="330753" r:id="rId4" name="Command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00FF00"/>
  </sheetPr>
  <dimension ref="A1:D10"/>
  <sheetViews>
    <sheetView workbookViewId="0">
      <selection activeCell="D5" sqref="D5:D7"/>
    </sheetView>
  </sheetViews>
  <sheetFormatPr defaultRowHeight="12.6" x14ac:dyDescent="0.2"/>
  <cols>
    <col min="2" max="2" width="9.7265625" customWidth="1"/>
    <col min="3" max="3" width="11.26953125" customWidth="1"/>
    <col min="4" max="4" width="10" customWidth="1"/>
  </cols>
  <sheetData>
    <row r="1" spans="1:4" ht="14.4" x14ac:dyDescent="0.3">
      <c r="A1" s="694" t="s">
        <v>700</v>
      </c>
    </row>
    <row r="3" spans="1:4" ht="57.6" x14ac:dyDescent="0.2">
      <c r="B3" s="695" t="s">
        <v>701</v>
      </c>
      <c r="C3" s="2967" t="s">
        <v>702</v>
      </c>
      <c r="D3" s="2967"/>
    </row>
    <row r="4" spans="1:4" x14ac:dyDescent="0.2">
      <c r="A4" s="47"/>
      <c r="B4" s="591"/>
      <c r="C4" s="90" t="s">
        <v>703</v>
      </c>
      <c r="D4" s="90" t="s">
        <v>704</v>
      </c>
    </row>
    <row r="5" spans="1:4" ht="14.4" x14ac:dyDescent="0.3">
      <c r="A5" s="696" t="s">
        <v>705</v>
      </c>
      <c r="B5" s="697">
        <f>'Bulk Supply Tariffs'!F58</f>
        <v>25.309379620955351</v>
      </c>
      <c r="C5" s="697">
        <f>B5*(1-D5)</f>
        <v>25.056285824745796</v>
      </c>
      <c r="D5" s="892">
        <v>0.01</v>
      </c>
    </row>
    <row r="6" spans="1:4" ht="14.4" x14ac:dyDescent="0.3">
      <c r="A6" s="698" t="s">
        <v>706</v>
      </c>
      <c r="B6" s="699">
        <f>'Bulk Supply Tariffs'!F59</f>
        <v>33.201967805179478</v>
      </c>
      <c r="C6" s="699">
        <f>B6*(1-D6)</f>
        <v>32.869948127127685</v>
      </c>
      <c r="D6" s="893">
        <f>D5</f>
        <v>0.01</v>
      </c>
    </row>
    <row r="7" spans="1:4" ht="14.4" x14ac:dyDescent="0.3">
      <c r="A7" s="700" t="s">
        <v>707</v>
      </c>
      <c r="B7" s="701">
        <f>'Bulk Supply Tariffs'!F60</f>
        <v>15.039791627630633</v>
      </c>
      <c r="C7" s="701">
        <f>B7*(1-D7)</f>
        <v>14.889393711354327</v>
      </c>
      <c r="D7" s="894">
        <f>D6</f>
        <v>0.01</v>
      </c>
    </row>
    <row r="10" spans="1:4" ht="14.4" x14ac:dyDescent="0.3">
      <c r="A10" s="693" t="s">
        <v>708</v>
      </c>
    </row>
  </sheetData>
  <mergeCells count="1">
    <mergeCell ref="C3:D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4 D A A B Q S w M E F A A C A A g A t L y q V j i y G d 2 k A A A A 9 g A A A B I A H A B D b 2 5 m a W c v U G F j a 2 F n Z S 5 4 b W w g o h g A K K A U A A A A A A A A A A A A A A A A A A A A A A A A A A A A h Y 9 N D o I w G E S v Q r q n P 0 i M I a U s 3 E p i Q j R u m 1 K h E T 4 M L Z a 7 u f B I X k G M o u 5 c z p u 3 m L l f b z w b 2 y a 4 6 N 6 a D l L E M E W B B t W V B q o U D e 4 Y r l A m + F a q k 6 x 0 M M l g k 9 G W K a q d O y e E e O + x X + C u r 0 h E K S O H f F O o W r c S f W T z X w 4 N W C d B a S T 4 / j V G R J i x J Y 5 p j C k n M + S 5 g a 8 Q T X u f 7 Q / k 6 6 F x Q 6 + F h n B X c D J H T t 4 f x A N Q S w M E F A A C A A g A t L y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S 8 q l Z 4 F A K y 2 A A A A J s B A A A T A B w A R m 9 y b X V s Y X M v U 2 V j d G l v b j E u b S C i G A A o o B Q A A A A A A A A A A A A A A A A A A A A A A A A A A A B 1 k E 9 r w z A M x e + B f A f h X R I w g a x / L q W n s M E u P T S F H U o P b q o t o Y 4 1 b I e 2 h H z 3 2 T N r a W l 0 E b y f 9 M S T w c o 2 p K A M P V / E U R y Z W m g 8 w E b s J e a w B I k 2 j s B V S Z 2 u 0 C l v 5 w p l V n R a o 7 K f p I 9 7 o m O S 9 t u V a H H J w i b b D d u C l H U j O x 4 M X l h R C / X t z S 8 / y J z T 3 2 i 2 0 U K Z L 9 J t Q b J r l Y c m C d d 4 3 7 O g 5 o z D h 7 L z a e b 5 w O E f v I 6 B y R i Y j o H Z G J j f g y G 9 J n p v p E X / r z W d z C 1 S i d L 9 1 G v J Q 2 o O K K o a r O 4 w j a N G P T d a / A J Q S w E C L Q A U A A I A C A C 0 v K p W O L I Z 3 a Q A A A D 2 A A A A E g A A A A A A A A A A A A A A A A A A A A A A Q 2 9 u Z m l n L 1 B h Y 2 t h Z 2 U u e G 1 s U E s B A i 0 A F A A C A A g A t L y q V g / K 6 a u k A A A A 6 Q A A A B M A A A A A A A A A A A A A A A A A 8 A A A A F t D b 2 5 0 Z W 5 0 X 1 R 5 c G V z X S 5 4 b W x Q S w E C L Q A U A A I A C A C 0 v K p W e B Q C s t g A A A C b A Q A A E w A A A A A A A A A A A A A A A A D h A Q A A R m 9 y b X V s Y X M v U 2 V j d G l v b j E u b V B L B Q Y A A A A A A w A D A M I A A A A G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O C w A A A A A A A O w K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B U M T g 6 M D U 6 N T A u O D Y x N z U 1 M F o i I C 8 + P E V u d H J 5 I F R 5 c G U 9 I k Z p b G x D b 2 x 1 b W 5 U e X B l c y I g V m F s d W U 9 I n N B d 0 1 E Q X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t D b 2 x 1 b W 4 x L D B 9 J n F 1 b 3 Q 7 L C Z x d W 9 0 O 1 N l Y 3 R p b 2 4 x L 1 R h Y m x l M S 9 B d X R v U m V t b 3 Z l Z E N v b H V t b n M x L n t D b 2 x 1 b W 4 y L D F 9 J n F 1 b 3 Q 7 L C Z x d W 9 0 O 1 N l Y 3 R p b 2 4 x L 1 R h Y m x l M S 9 B d X R v U m V t b 3 Z l Z E N v b H V t b n M x L n t D b 2 x 1 b W 4 z L D J 9 J n F 1 b 3 Q 7 L C Z x d W 9 0 O 1 N l Y 3 R p b 2 4 x L 1 R h Y m x l M S 9 B d X R v U m V t b 3 Z l Z E N v b H V t b n M x L n t D b 2 x 1 b W 4 0 L D N 9 J n F 1 b 3 Q 7 L C Z x d W 9 0 O 1 N l Y 3 R p b 2 4 x L 1 R h Y m x l M S 9 B d X R v U m V t b 3 Z l Z E N v b H V t b n M x L n t D b 2 x 1 b W 4 1 L D R 9 J n F 1 b 3 Q 7 L C Z x d W 9 0 O 1 N l Y 3 R p b 2 4 x L 1 R h Y m x l M S 9 B d X R v U m V t b 3 Z l Z E N v b H V t b n M x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S 9 B d X R v U m V t b 3 Z l Z E N v b H V t b n M x L n t D b 2 x 1 b W 4 x L D B 9 J n F 1 b 3 Q 7 L C Z x d W 9 0 O 1 N l Y 3 R p b 2 4 x L 1 R h Y m x l M S 9 B d X R v U m V t b 3 Z l Z E N v b H V t b n M x L n t D b 2 x 1 b W 4 y L D F 9 J n F 1 b 3 Q 7 L C Z x d W 9 0 O 1 N l Y 3 R p b 2 4 x L 1 R h Y m x l M S 9 B d X R v U m V t b 3 Z l Z E N v b H V t b n M x L n t D b 2 x 1 b W 4 z L D J 9 J n F 1 b 3 Q 7 L C Z x d W 9 0 O 1 N l Y 3 R p b 2 4 x L 1 R h Y m x l M S 9 B d X R v U m V t b 3 Z l Z E N v b H V t b n M x L n t D b 2 x 1 b W 4 0 L D N 9 J n F 1 b 3 Q 7 L C Z x d W 9 0 O 1 N l Y 3 R p b 2 4 x L 1 R h Y m x l M S 9 B d X R v U m V t b 3 Z l Z E N v b H V t b n M x L n t D b 2 x 1 b W 4 1 L D R 9 J n F 1 b 3 Q 7 L C Z x d W 9 0 O 1 N l Y 3 R p b 2 4 x L 1 R h Y m x l M S 9 B d X R v U m V t b 3 Z l Z E N v b H V t b n M x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Z p b H R l c m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P X T w e 5 n a L S Z w c d K p D L n N f A A A A A A I A A A A A A B B m A A A A A Q A A I A A A A L E J Q q / M Z R L W b I + t 5 X R m X X 0 U f g v Q 9 W W J d c g D V z o y 7 3 y P A A A A A A 6 A A A A A A g A A I A A A A F e y 9 U h 0 w n O V d 6 b e I T V E l u v E N 6 M j u W E y r e A A K C T r F l y H U A A A A F m V P Y L 0 e K 6 z q Q P N a T B 6 P j 6 I N 3 u N + 4 N u k I 8 a Y s b Y + m + 3 h E v n Q q D m r Y I D a s Y E 1 o i o p W V 6 y s 6 L o B y 5 c g u 9 h 2 x C j 2 / d O p a + Z Z F U V M 9 e w v M P K W 3 6 Q A A A A M 4 m 9 U V 1 l r V 4 p h 6 U a H + F E 2 W R N Z Z h x 0 t + k H z U x E y X l 3 Y t 2 1 / i C i V 0 w M p f l z e u I A X P c Y d n o o b l Q 9 K t F c V d P o 6 Y k k 8 = < / D a t a M a s h u p > 
</file>

<file path=customXml/itemProps1.xml><?xml version="1.0" encoding="utf-8"?>
<ds:datastoreItem xmlns:ds="http://schemas.openxmlformats.org/officeDocument/2006/customXml" ds:itemID="{67F3C8D2-20BA-4102-8715-16B4DCA4B8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52</vt:i4>
      </vt:variant>
    </vt:vector>
  </HeadingPairs>
  <TitlesOfParts>
    <vt:vector size="132" baseType="lpstr">
      <vt:lpstr>Index</vt:lpstr>
      <vt:lpstr>DispatchSchedule</vt:lpstr>
      <vt:lpstr>Bulk Supply Tariffs</vt:lpstr>
      <vt:lpstr>Gen. Capacity</vt:lpstr>
      <vt:lpstr>Gen. Energy Cost</vt:lpstr>
      <vt:lpstr>TR &amp; BSS, TLF</vt:lpstr>
      <vt:lpstr>Transmission Tariff_1</vt:lpstr>
      <vt:lpstr>Transmission Tariff_2</vt:lpstr>
      <vt:lpstr>Transmission Tariff_3</vt:lpstr>
      <vt:lpstr>LAXAPANA</vt:lpstr>
      <vt:lpstr>MAHAWELI</vt:lpstr>
      <vt:lpstr>Samanala</vt:lpstr>
      <vt:lpstr>Mannar wind</vt:lpstr>
      <vt:lpstr>DSP1</vt:lpstr>
      <vt:lpstr>DSP2</vt:lpstr>
      <vt:lpstr>GT16</vt:lpstr>
      <vt:lpstr>GT07</vt:lpstr>
      <vt:lpstr>CCKP</vt:lpstr>
      <vt:lpstr>CCKP 02</vt:lpstr>
      <vt:lpstr>CPUT</vt:lpstr>
      <vt:lpstr>DNCHU</vt:lpstr>
      <vt:lpstr>Island Gen</vt:lpstr>
      <vt:lpstr>Barge</vt:lpstr>
      <vt:lpstr>DHOR</vt:lpstr>
      <vt:lpstr>10MW - Thulhiriya</vt:lpstr>
      <vt:lpstr>30MW-Hambantota</vt:lpstr>
      <vt:lpstr>20MW-Mathugama</vt:lpstr>
      <vt:lpstr>HQ Cost</vt:lpstr>
      <vt:lpstr>HQ cost prev</vt:lpstr>
      <vt:lpstr>DAPL</vt:lpstr>
      <vt:lpstr>Altaaqa-Mahi</vt:lpstr>
      <vt:lpstr>Altaaqa-Pol</vt:lpstr>
      <vt:lpstr>VPower-Galle</vt:lpstr>
      <vt:lpstr>Vpower-Pallekale</vt:lpstr>
      <vt:lpstr>VPower-Hambantota</vt:lpstr>
      <vt:lpstr>VPower-Horana</vt:lpstr>
      <vt:lpstr>DCPL</vt:lpstr>
      <vt:lpstr>DPUT</vt:lpstr>
      <vt:lpstr>DLDL</vt:lpstr>
      <vt:lpstr>DAGG</vt:lpstr>
      <vt:lpstr>130MW Supplementary Power</vt:lpstr>
      <vt:lpstr>DNOR</vt:lpstr>
      <vt:lpstr>EMG</vt:lpstr>
      <vt:lpstr>135MW Sup Power</vt:lpstr>
      <vt:lpstr>VPower Valachchenei</vt:lpstr>
      <vt:lpstr>ACE-Matara</vt:lpstr>
      <vt:lpstr>ACE-Embilipitíya</vt:lpstr>
      <vt:lpstr>SGPS 100MW</vt:lpstr>
      <vt:lpstr>SGPS 03</vt:lpstr>
      <vt:lpstr>Sobadhanavi</vt:lpstr>
      <vt:lpstr>Sojitz</vt:lpstr>
      <vt:lpstr>CCKW</vt:lpstr>
      <vt:lpstr>RENW</vt:lpstr>
      <vt:lpstr>Solar Rooftop &amp; self generation</vt:lpstr>
      <vt:lpstr>Inputs</vt:lpstr>
      <vt:lpstr>Summary</vt:lpstr>
      <vt:lpstr>Average Cost</vt:lpstr>
      <vt:lpstr>auxiliary</vt:lpstr>
      <vt:lpstr>Tr Bulk Supply Tariffs</vt:lpstr>
      <vt:lpstr>Tr Customer Tariff</vt:lpstr>
      <vt:lpstr>Gen. Capacity 220</vt:lpstr>
      <vt:lpstr>Gen. Capacity 132</vt:lpstr>
      <vt:lpstr>Gen. Capacity 33</vt:lpstr>
      <vt:lpstr>Gen. Energy Cost 220</vt:lpstr>
      <vt:lpstr>Gen. Energy Cost 132</vt:lpstr>
      <vt:lpstr>Gen. Energy Cost 33</vt:lpstr>
      <vt:lpstr>Energy Tariff</vt:lpstr>
      <vt:lpstr>TR &amp; BSS, TLF voltage wise</vt:lpstr>
      <vt:lpstr>tr.customer tariff-PUCSL method</vt:lpstr>
      <vt:lpstr>tx consumer data</vt:lpstr>
      <vt:lpstr>hydro en &amp; capcost voltage wise</vt:lpstr>
      <vt:lpstr>MW voltage wise</vt:lpstr>
      <vt:lpstr>Loss %</vt:lpstr>
      <vt:lpstr>Tr Bulk Supply Tariffs (2)</vt:lpstr>
      <vt:lpstr>Gen. Energy Cost 220 &amp; 132kV</vt:lpstr>
      <vt:lpstr>Gen. Energy Cost 220 (2)</vt:lpstr>
      <vt:lpstr>Gen. Energy Cost 132 (2)</vt:lpstr>
      <vt:lpstr>Gen. Energy Cost 33 (2)</vt:lpstr>
      <vt:lpstr>tx consumer data (2)</vt:lpstr>
      <vt:lpstr>TOU loss factors</vt:lpstr>
      <vt:lpstr>CEB_Plants</vt:lpstr>
      <vt:lpstr>Combustible</vt:lpstr>
      <vt:lpstr>Currency</vt:lpstr>
      <vt:lpstr>Fuel</vt:lpstr>
      <vt:lpstr>IPP_Plants</vt:lpstr>
      <vt:lpstr>Plants</vt:lpstr>
      <vt:lpstr>'10MW - Thulhiriya'!Print_Area</vt:lpstr>
      <vt:lpstr>'20MW-Mathugama'!Print_Area</vt:lpstr>
      <vt:lpstr>'30MW-Hambantota'!Print_Area</vt:lpstr>
      <vt:lpstr>'ACE-Embilipitíya'!Print_Area</vt:lpstr>
      <vt:lpstr>'ACE-Matara'!Print_Area</vt:lpstr>
      <vt:lpstr>Barge!Print_Area</vt:lpstr>
      <vt:lpstr>'Bulk Supply Tariffs'!Print_Area</vt:lpstr>
      <vt:lpstr>CCKP!Print_Area</vt:lpstr>
      <vt:lpstr>'CCKP 02'!Print_Area</vt:lpstr>
      <vt:lpstr>CCKW!Print_Area</vt:lpstr>
      <vt:lpstr>CPUT!Print_Area</vt:lpstr>
      <vt:lpstr>DispatchSchedule!Print_Area</vt:lpstr>
      <vt:lpstr>DNCHU!Print_Area</vt:lpstr>
      <vt:lpstr>'DSP1'!Print_Area</vt:lpstr>
      <vt:lpstr>'DSP2'!Print_Area</vt:lpstr>
      <vt:lpstr>'Gen. Capacity'!Print_Area</vt:lpstr>
      <vt:lpstr>'Gen. Capacity 132'!Print_Area</vt:lpstr>
      <vt:lpstr>'Gen. Capacity 220'!Print_Area</vt:lpstr>
      <vt:lpstr>'Gen. Capacity 33'!Print_Area</vt:lpstr>
      <vt:lpstr>'Gen. Energy Cost'!Print_Area</vt:lpstr>
      <vt:lpstr>'Gen. Energy Cost 132'!Print_Area</vt:lpstr>
      <vt:lpstr>'Gen. Energy Cost 132 (2)'!Print_Area</vt:lpstr>
      <vt:lpstr>'Gen. Energy Cost 220'!Print_Area</vt:lpstr>
      <vt:lpstr>'Gen. Energy Cost 220 &amp; 132kV'!Print_Area</vt:lpstr>
      <vt:lpstr>'Gen. Energy Cost 220 (2)'!Print_Area</vt:lpstr>
      <vt:lpstr>'Gen. Energy Cost 33'!Print_Area</vt:lpstr>
      <vt:lpstr>'Gen. Energy Cost 33 (2)'!Print_Area</vt:lpstr>
      <vt:lpstr>'GT07'!Print_Area</vt:lpstr>
      <vt:lpstr>'GT16'!Print_Area</vt:lpstr>
      <vt:lpstr>'HQ Cost'!Print_Area</vt:lpstr>
      <vt:lpstr>'HQ cost prev'!Print_Area</vt:lpstr>
      <vt:lpstr>'Island Gen'!Print_Area</vt:lpstr>
      <vt:lpstr>LAXAPANA!Print_Area</vt:lpstr>
      <vt:lpstr>MAHAWELI!Print_Area</vt:lpstr>
      <vt:lpstr>'Mannar wind'!Print_Area</vt:lpstr>
      <vt:lpstr>RENW!Print_Area</vt:lpstr>
      <vt:lpstr>Samanala!Print_Area</vt:lpstr>
      <vt:lpstr>'SGPS 03'!Print_Area</vt:lpstr>
      <vt:lpstr>'SGPS 100MW'!Print_Area</vt:lpstr>
      <vt:lpstr>Sobadhanavi!Print_Area</vt:lpstr>
      <vt:lpstr>'Solar Rooftop &amp; self generation'!Print_Area</vt:lpstr>
      <vt:lpstr>'TOU loss factors'!Print_Area</vt:lpstr>
      <vt:lpstr>'TR &amp; BSS, TLF'!Print_Area</vt:lpstr>
      <vt:lpstr>'TR &amp; BSS, TLF voltage wise'!Print_Area</vt:lpstr>
      <vt:lpstr>'tr.customer tariff-PUCSL method'!Print_Area</vt:lpstr>
      <vt:lpstr>Units</vt:lpstr>
    </vt:vector>
  </TitlesOfParts>
  <Company>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mmartinez</dc:creator>
  <cp:lastModifiedBy>Subramaniam Sharmila</cp:lastModifiedBy>
  <cp:lastPrinted>2026-02-10T05:44:33Z</cp:lastPrinted>
  <dcterms:created xsi:type="dcterms:W3CDTF">2010-06-28T14:11:17Z</dcterms:created>
  <dcterms:modified xsi:type="dcterms:W3CDTF">2026-03-30T07:50:23Z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89df9b9e-bcbf-42dc-a4b9-616d49538ff0</vt:lpwstr>
  </property>
</Properties>
</file>