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shukri108\Downloads\"/>
    </mc:Choice>
  </mc:AlternateContent>
  <xr:revisionPtr revIDLastSave="0" documentId="13_ncr:1_{478CDD01-EF23-42CB-A8E0-7A2CCB00A830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CAPEX SHEDULE" sheetId="1" state="hidden" r:id="rId1"/>
    <sheet name="CAPEX SHEDULE (2025 Annex3)" sheetId="13" r:id="rId2"/>
    <sheet name="CAPEX SHEDULE (2025 Other)" sheetId="16" r:id="rId3"/>
  </sheets>
  <definedNames>
    <definedName name="_xlnm.Print_Area" localSheetId="0">'CAPEX SHEDULE'!$A$1:$U$64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0" i="16" l="1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4" i="16"/>
  <c r="O55" i="16"/>
  <c r="O56" i="16"/>
  <c r="O57" i="16"/>
  <c r="O32" i="16"/>
  <c r="J60" i="16"/>
  <c r="K60" i="16"/>
  <c r="L60" i="16"/>
  <c r="M60" i="16"/>
  <c r="N60" i="16"/>
  <c r="I60" i="16"/>
  <c r="O7" i="13" l="1"/>
  <c r="V7" i="13" s="1"/>
  <c r="O8" i="13"/>
  <c r="V8" i="13" s="1"/>
  <c r="O9" i="13"/>
  <c r="V9" i="13" s="1"/>
  <c r="Y8" i="13" s="1"/>
  <c r="O10" i="13"/>
  <c r="V10" i="13" s="1"/>
  <c r="Y9" i="13" s="1"/>
  <c r="AA10" i="13"/>
  <c r="O11" i="13"/>
  <c r="V11" i="13" s="1"/>
  <c r="O12" i="13"/>
  <c r="V12" i="13" s="1"/>
  <c r="AA12" i="13"/>
  <c r="K13" i="13"/>
  <c r="O13" i="13" s="1"/>
  <c r="N14" i="13"/>
  <c r="O14" i="13" s="1"/>
  <c r="O15" i="13"/>
  <c r="Q15" i="13"/>
  <c r="O16" i="13"/>
  <c r="S16" i="13"/>
  <c r="N17" i="13"/>
  <c r="O17" i="13" s="1"/>
  <c r="O7" i="16"/>
  <c r="V7" i="16" s="1"/>
  <c r="Y7" i="16" s="1"/>
  <c r="O8" i="16"/>
  <c r="V8" i="16" s="1"/>
  <c r="O9" i="16"/>
  <c r="V9" i="16" s="1"/>
  <c r="O10" i="16"/>
  <c r="V10" i="16" s="1"/>
  <c r="O11" i="16"/>
  <c r="V11" i="16" s="1"/>
  <c r="O12" i="16"/>
  <c r="Q12" i="16"/>
  <c r="U12" i="16" s="1"/>
  <c r="I13" i="16"/>
  <c r="J13" i="16"/>
  <c r="J26" i="16" s="1"/>
  <c r="K13" i="16"/>
  <c r="L13" i="16"/>
  <c r="L26" i="16" s="1"/>
  <c r="M13" i="16"/>
  <c r="M26" i="16" s="1"/>
  <c r="N13" i="16"/>
  <c r="P13" i="16"/>
  <c r="Q13" i="16"/>
  <c r="R13" i="16"/>
  <c r="R26" i="16" s="1"/>
  <c r="S13" i="16"/>
  <c r="T13" i="16"/>
  <c r="U13" i="16"/>
  <c r="K14" i="16"/>
  <c r="O14" i="16" s="1"/>
  <c r="O15" i="16"/>
  <c r="V15" i="16" s="1"/>
  <c r="H26" i="16"/>
  <c r="G26" i="16"/>
  <c r="F26" i="16"/>
  <c r="E26" i="16"/>
  <c r="D26" i="16"/>
  <c r="AA25" i="16"/>
  <c r="T25" i="16"/>
  <c r="O25" i="16"/>
  <c r="O24" i="16"/>
  <c r="V24" i="16" s="1"/>
  <c r="Y24" i="16" s="1"/>
  <c r="O23" i="16"/>
  <c r="V23" i="16" s="1"/>
  <c r="Y23" i="16" s="1"/>
  <c r="O22" i="16"/>
  <c r="V22" i="16" s="1"/>
  <c r="N21" i="16"/>
  <c r="O20" i="16"/>
  <c r="V20" i="16" s="1"/>
  <c r="S19" i="16"/>
  <c r="O19" i="16"/>
  <c r="N18" i="16"/>
  <c r="O18" i="16" s="1"/>
  <c r="V18" i="16" s="1"/>
  <c r="Y16" i="16" s="1"/>
  <c r="AA17" i="16"/>
  <c r="N17" i="16"/>
  <c r="Q16" i="16"/>
  <c r="O16" i="16"/>
  <c r="O18" i="13"/>
  <c r="H19" i="13"/>
  <c r="G19" i="13"/>
  <c r="F19" i="13"/>
  <c r="E19" i="13"/>
  <c r="D19" i="13"/>
  <c r="T18" i="13"/>
  <c r="R19" i="13"/>
  <c r="M19" i="13"/>
  <c r="L19" i="13"/>
  <c r="J19" i="13"/>
  <c r="I19" i="13"/>
  <c r="I21" i="13" s="1"/>
  <c r="T70" i="1"/>
  <c r="Q70" i="1"/>
  <c r="N70" i="1"/>
  <c r="K70" i="1"/>
  <c r="T69" i="1"/>
  <c r="Q69" i="1"/>
  <c r="N69" i="1"/>
  <c r="K69" i="1"/>
  <c r="Q68" i="1"/>
  <c r="P68" i="1"/>
  <c r="N68" i="1"/>
  <c r="M68" i="1"/>
  <c r="R67" i="1"/>
  <c r="Q67" i="1"/>
  <c r="P67" i="1"/>
  <c r="O67" i="1"/>
  <c r="N67" i="1"/>
  <c r="M67" i="1"/>
  <c r="L67" i="1"/>
  <c r="T62" i="1"/>
  <c r="S62" i="1"/>
  <c r="R62" i="1"/>
  <c r="P62" i="1"/>
  <c r="O62" i="1"/>
  <c r="N62" i="1"/>
  <c r="M62" i="1"/>
  <c r="L62" i="1"/>
  <c r="K62" i="1"/>
  <c r="J62" i="1"/>
  <c r="I62" i="1"/>
  <c r="E62" i="1"/>
  <c r="X60" i="1"/>
  <c r="X59" i="1"/>
  <c r="V59" i="1"/>
  <c r="X58" i="1"/>
  <c r="V58" i="1"/>
  <c r="V57" i="1"/>
  <c r="V56" i="1"/>
  <c r="V55" i="1"/>
  <c r="V54" i="1"/>
  <c r="X53" i="1"/>
  <c r="V53" i="1"/>
  <c r="V52" i="1"/>
  <c r="X51" i="1"/>
  <c r="V51" i="1"/>
  <c r="X50" i="1"/>
  <c r="V50" i="1"/>
  <c r="V49" i="1"/>
  <c r="W49" i="1" s="1"/>
  <c r="W48" i="1" s="1"/>
  <c r="X48" i="1"/>
  <c r="V48" i="1"/>
  <c r="V47" i="1"/>
  <c r="V46" i="1"/>
  <c r="X45" i="1"/>
  <c r="V45" i="1"/>
  <c r="V44" i="1"/>
  <c r="V43" i="1"/>
  <c r="V42" i="1"/>
  <c r="V41" i="1"/>
  <c r="V40" i="1"/>
  <c r="X39" i="1"/>
  <c r="V39" i="1"/>
  <c r="V38" i="1"/>
  <c r="V37" i="1"/>
  <c r="V36" i="1"/>
  <c r="D36" i="1"/>
  <c r="X35" i="1"/>
  <c r="V35" i="1"/>
  <c r="V34" i="1"/>
  <c r="X32" i="1"/>
  <c r="D32" i="1"/>
  <c r="D62" i="1" s="1"/>
  <c r="X31" i="1"/>
  <c r="V31" i="1"/>
  <c r="X30" i="1"/>
  <c r="V30" i="1"/>
  <c r="X29" i="1"/>
  <c r="X28" i="1"/>
  <c r="V27" i="1"/>
  <c r="W27" i="1" s="1"/>
  <c r="W26" i="1" s="1"/>
  <c r="V26" i="1"/>
  <c r="U25" i="1"/>
  <c r="Q25" i="1"/>
  <c r="V25" i="1" s="1"/>
  <c r="N25" i="1"/>
  <c r="X24" i="1"/>
  <c r="H24" i="1"/>
  <c r="G24" i="1"/>
  <c r="D24" i="1"/>
  <c r="F24" i="1" s="1"/>
  <c r="V23" i="1"/>
  <c r="H23" i="1"/>
  <c r="G23" i="1"/>
  <c r="V22" i="1"/>
  <c r="W23" i="1" s="1"/>
  <c r="H22" i="1"/>
  <c r="G22" i="1"/>
  <c r="V21" i="1"/>
  <c r="W21" i="1" s="1"/>
  <c r="W20" i="1" s="1"/>
  <c r="H21" i="1"/>
  <c r="G21" i="1"/>
  <c r="V20" i="1"/>
  <c r="H20" i="1"/>
  <c r="G20" i="1"/>
  <c r="X19" i="1"/>
  <c r="V19" i="1"/>
  <c r="H19" i="1"/>
  <c r="G19" i="1"/>
  <c r="V18" i="1"/>
  <c r="H18" i="1"/>
  <c r="G18" i="1"/>
  <c r="V17" i="1"/>
  <c r="H17" i="1"/>
  <c r="G17" i="1"/>
  <c r="X16" i="1"/>
  <c r="V16" i="1"/>
  <c r="W18" i="1" s="1"/>
  <c r="W17" i="1" s="1"/>
  <c r="H16" i="1"/>
  <c r="G16" i="1"/>
  <c r="F16" i="1"/>
  <c r="V15" i="1"/>
  <c r="W15" i="1" s="1"/>
  <c r="H15" i="1"/>
  <c r="G15" i="1"/>
  <c r="X14" i="1"/>
  <c r="V14" i="1"/>
  <c r="H14" i="1"/>
  <c r="G14" i="1"/>
  <c r="X13" i="1"/>
  <c r="V13" i="1"/>
  <c r="G13" i="1"/>
  <c r="F13" i="1"/>
  <c r="V12" i="1"/>
  <c r="H12" i="1"/>
  <c r="G12" i="1"/>
  <c r="X11" i="1"/>
  <c r="V11" i="1"/>
  <c r="W11" i="1" s="1"/>
  <c r="H11" i="1"/>
  <c r="G11" i="1"/>
  <c r="F11" i="1"/>
  <c r="V10" i="1"/>
  <c r="W10" i="1" s="1"/>
  <c r="H10" i="1"/>
  <c r="G10" i="1"/>
  <c r="V9" i="1"/>
  <c r="H9" i="1"/>
  <c r="G9" i="1"/>
  <c r="V8" i="1"/>
  <c r="H8" i="1"/>
  <c r="G8" i="1"/>
  <c r="X7" i="1"/>
  <c r="V7" i="1"/>
  <c r="U7" i="1"/>
  <c r="G7" i="1"/>
  <c r="F7" i="1"/>
  <c r="L3" i="1"/>
  <c r="K3" i="1"/>
  <c r="J3" i="1"/>
  <c r="W57" i="1" l="1"/>
  <c r="T64" i="1"/>
  <c r="X27" i="1"/>
  <c r="X62" i="1" s="1"/>
  <c r="F62" i="1"/>
  <c r="W46" i="1"/>
  <c r="W45" i="1" s="1"/>
  <c r="V68" i="1"/>
  <c r="G62" i="1"/>
  <c r="W42" i="1"/>
  <c r="V67" i="1"/>
  <c r="U62" i="1"/>
  <c r="H7" i="1"/>
  <c r="H62" i="1" s="1"/>
  <c r="K64" i="1"/>
  <c r="Q62" i="1"/>
  <c r="Q64" i="1" s="1"/>
  <c r="V69" i="1"/>
  <c r="V70" i="1"/>
  <c r="N64" i="1"/>
  <c r="Y11" i="13"/>
  <c r="Y7" i="13"/>
  <c r="V16" i="13"/>
  <c r="V13" i="13"/>
  <c r="V15" i="13"/>
  <c r="U14" i="13"/>
  <c r="V14" i="13" s="1"/>
  <c r="V17" i="13"/>
  <c r="Y17" i="13" s="1"/>
  <c r="T19" i="13"/>
  <c r="N19" i="13"/>
  <c r="S19" i="13"/>
  <c r="Q19" i="13"/>
  <c r="V18" i="13"/>
  <c r="K19" i="13"/>
  <c r="S26" i="16"/>
  <c r="V12" i="16"/>
  <c r="O13" i="16"/>
  <c r="V13" i="16" s="1"/>
  <c r="K26" i="16"/>
  <c r="N26" i="16"/>
  <c r="P14" i="16"/>
  <c r="V14" i="16" s="1"/>
  <c r="T26" i="16"/>
  <c r="Q26" i="16"/>
  <c r="V16" i="16"/>
  <c r="V25" i="16"/>
  <c r="Y22" i="16" s="1"/>
  <c r="V19" i="16"/>
  <c r="O17" i="16"/>
  <c r="O21" i="16"/>
  <c r="V21" i="16" s="1"/>
  <c r="Y21" i="16" s="1"/>
  <c r="I26" i="16"/>
  <c r="U17" i="16"/>
  <c r="U26" i="16" s="1"/>
  <c r="J21" i="13"/>
  <c r="AA18" i="13"/>
  <c r="V71" i="1" l="1"/>
  <c r="V64" i="1"/>
  <c r="K21" i="13"/>
  <c r="L21" i="13" s="1"/>
  <c r="M21" i="13" s="1"/>
  <c r="N21" i="13" s="1"/>
  <c r="W43" i="1"/>
  <c r="W40" i="1"/>
  <c r="W44" i="1"/>
  <c r="Y18" i="13"/>
  <c r="Y20" i="16"/>
  <c r="Y25" i="16" s="1"/>
  <c r="Z21" i="16" s="1"/>
  <c r="AA21" i="16" s="1"/>
  <c r="Y12" i="13"/>
  <c r="Z11" i="13" s="1"/>
  <c r="AA11" i="13" s="1"/>
  <c r="Y10" i="13"/>
  <c r="Z7" i="13" s="1"/>
  <c r="AA7" i="13" s="1"/>
  <c r="Y14" i="13"/>
  <c r="O19" i="13"/>
  <c r="U19" i="13"/>
  <c r="V19" i="13"/>
  <c r="P19" i="13"/>
  <c r="Z7" i="16"/>
  <c r="AA7" i="16" s="1"/>
  <c r="P26" i="16"/>
  <c r="V17" i="16"/>
  <c r="I28" i="16"/>
  <c r="J28" i="16" s="1"/>
  <c r="K28" i="16" s="1"/>
  <c r="L28" i="16" s="1"/>
  <c r="M28" i="16" s="1"/>
  <c r="N28" i="16" s="1"/>
  <c r="O26" i="16"/>
  <c r="P21" i="13" l="1"/>
  <c r="Q21" i="13" s="1"/>
  <c r="R21" i="13" s="1"/>
  <c r="S21" i="13" s="1"/>
  <c r="T21" i="13" s="1"/>
  <c r="Z9" i="13"/>
  <c r="AA9" i="13" s="1"/>
  <c r="Z8" i="13"/>
  <c r="AA8" i="13" s="1"/>
  <c r="W12" i="13"/>
  <c r="W7" i="13"/>
  <c r="W11" i="13"/>
  <c r="W13" i="13"/>
  <c r="W15" i="13"/>
  <c r="W14" i="13"/>
  <c r="Z14" i="13"/>
  <c r="AA14" i="13" s="1"/>
  <c r="U21" i="13"/>
  <c r="Z17" i="13"/>
  <c r="AA17" i="13" s="1"/>
  <c r="P28" i="16"/>
  <c r="Q28" i="16" s="1"/>
  <c r="R28" i="16" s="1"/>
  <c r="S28" i="16" s="1"/>
  <c r="T28" i="16" s="1"/>
  <c r="U28" i="16" s="1"/>
  <c r="V26" i="16"/>
  <c r="Z22" i="16"/>
  <c r="AA22" i="16" s="1"/>
  <c r="Z20" i="16"/>
  <c r="AA20" i="16" s="1"/>
  <c r="Y17" i="16"/>
  <c r="Z16" i="16" s="1"/>
  <c r="AA16" i="16" s="1"/>
  <c r="Z24" i="16"/>
  <c r="AA24" i="16" s="1"/>
  <c r="Z23" i="16"/>
  <c r="AA23" i="16" s="1"/>
  <c r="W19" i="13" l="1"/>
  <c r="W26" i="16" l="1"/>
</calcChain>
</file>

<file path=xl/sharedStrings.xml><?xml version="1.0" encoding="utf-8"?>
<sst xmlns="http://schemas.openxmlformats.org/spreadsheetml/2006/main" count="315" uniqueCount="178">
  <si>
    <t xml:space="preserve">Implementation Plan of Major CAPEX </t>
  </si>
  <si>
    <t>Complex</t>
  </si>
  <si>
    <t>Power Plant</t>
  </si>
  <si>
    <t>Description</t>
  </si>
  <si>
    <t xml:space="preserve">Estimated Cost for 2024 </t>
  </si>
  <si>
    <t>Forecasted  for 2024</t>
  </si>
  <si>
    <t>Revised Estimated cost for 2025 (LKR)</t>
  </si>
  <si>
    <t>Disbursement during 2025</t>
  </si>
  <si>
    <t>Disbursement period</t>
  </si>
  <si>
    <t>(LKR)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</si>
  <si>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</si>
  <si>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</si>
  <si>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</si>
  <si>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</si>
  <si>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</si>
  <si>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</si>
  <si>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</si>
  <si>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</si>
  <si>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</si>
  <si>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</si>
  <si>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</si>
  <si>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</si>
  <si>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</si>
  <si>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MC</t>
  </si>
  <si>
    <t>Victoria</t>
  </si>
  <si>
    <t>Stator Replacement</t>
  </si>
  <si>
    <t>Transformer replacement</t>
  </si>
  <si>
    <r>
      <rPr>
        <sz val="7"/>
        <color theme="1"/>
        <rFont val="Times New Roman"/>
        <charset val="134"/>
      </rPr>
      <t xml:space="preserve"> </t>
    </r>
    <r>
      <rPr>
        <sz val="11"/>
        <color theme="1"/>
        <rFont val="Times New Roman"/>
        <charset val="134"/>
      </rPr>
      <t>Turbine Overhaul</t>
    </r>
  </si>
  <si>
    <t>Penstock pressure relief valve, CT Replacement</t>
  </si>
  <si>
    <t>Kotmale</t>
  </si>
  <si>
    <t>Circuit Breaker replacement</t>
  </si>
  <si>
    <t>Unit 1 AVR retrofit</t>
  </si>
  <si>
    <t>Ukuwela</t>
  </si>
  <si>
    <t>Turbine Head Cover replacement and Spares</t>
  </si>
  <si>
    <t>Bowatanna</t>
  </si>
  <si>
    <t>Procurement of Static Excitation System</t>
  </si>
  <si>
    <t>Governor Unit Replacement</t>
  </si>
  <si>
    <t>Randenigala</t>
  </si>
  <si>
    <r>
      <rPr>
        <sz val="7"/>
        <color theme="1"/>
        <rFont val="Times New Roman"/>
        <charset val="134"/>
      </rPr>
      <t xml:space="preserve"> </t>
    </r>
    <r>
      <rPr>
        <sz val="11"/>
        <color theme="1"/>
        <rFont val="Times New Roman"/>
        <charset val="134"/>
      </rPr>
      <t>Rantambe AVR 02 Nos Procurement (80% already paid)</t>
    </r>
  </si>
  <si>
    <t>Major Overhaul</t>
  </si>
  <si>
    <t>Drinking Water Treatment Plant</t>
  </si>
  <si>
    <t xml:space="preserve">Upper Kotmale </t>
  </si>
  <si>
    <t>U2 10-year Overhaul  (Already Paid)</t>
  </si>
  <si>
    <t>Spillway Gates Painting</t>
  </si>
  <si>
    <t>Service for 220 kV cable sealing ends</t>
  </si>
  <si>
    <t>Kothmale Power Station</t>
  </si>
  <si>
    <t>Replcement of 220 kV circuit breakers (06Nos)</t>
  </si>
  <si>
    <t>Retrofit of Excitation sytem of U01</t>
  </si>
  <si>
    <t>Other CAPEX works in Mahaweli Complex</t>
  </si>
  <si>
    <t>Buildings, Office Furniture, Computers, Machinery &amp; Tools, Motor Vehicles, Civil Works etc.</t>
  </si>
  <si>
    <t>SC</t>
  </si>
  <si>
    <t>Samanalawewa</t>
  </si>
  <si>
    <r>
      <rPr>
        <sz val="7"/>
        <color theme="1"/>
        <rFont val="Times New Roman"/>
        <charset val="134"/>
      </rPr>
      <t xml:space="preserve"> </t>
    </r>
    <r>
      <rPr>
        <sz val="11"/>
        <color theme="1"/>
        <rFont val="Times New Roman"/>
        <charset val="134"/>
      </rPr>
      <t xml:space="preserve">Replacement of 2 Stators </t>
    </r>
  </si>
  <si>
    <t>Spare parts for Unit 1 Turbine</t>
  </si>
  <si>
    <t>20 nos. of 132 kV CVTs and 24 nos. of 132 kV CTs</t>
  </si>
  <si>
    <t>CAPEX works -Hydro Power  Station a/c in Samanala Complex</t>
  </si>
  <si>
    <t>Other CAPEX works in Samanala Complex</t>
  </si>
  <si>
    <t>LC</t>
  </si>
  <si>
    <t>New Laxapana</t>
  </si>
  <si>
    <t>Installation of Three (03) Generator Transformers and related works in NLPS</t>
  </si>
  <si>
    <t>Wimalasurendra</t>
  </si>
  <si>
    <t>Penstock Exterior Painting - Unit 1 &amp; Unit 2</t>
  </si>
  <si>
    <t>CAPEX works in other power plants in Laxapana Complex</t>
  </si>
  <si>
    <t>GP</t>
  </si>
  <si>
    <t>Udawalawa</t>
  </si>
  <si>
    <t>Installation of 2 Generator Units</t>
  </si>
  <si>
    <t>LVPP Coal Yard</t>
  </si>
  <si>
    <t xml:space="preserve">Enhancing the Coal handling capacity </t>
  </si>
  <si>
    <t>GHQ</t>
  </si>
  <si>
    <t>CAPEX works in GHQ</t>
  </si>
  <si>
    <t>LVPP</t>
  </si>
  <si>
    <t>Overhaul</t>
  </si>
  <si>
    <t>Level A Maintenance of Unit 1</t>
  </si>
  <si>
    <t>Level C Maintenance of Unit 2 &amp; 3</t>
  </si>
  <si>
    <t>Building Constructions</t>
  </si>
  <si>
    <t>Workers Apartment Daluwa</t>
  </si>
  <si>
    <t>Coal Yard Extension</t>
  </si>
  <si>
    <t>Construction of Central Sewer Treatment Plant-Daluwa-LV/T/2016/303</t>
  </si>
  <si>
    <t>Other Building constructions</t>
  </si>
  <si>
    <t>Other CAPEX works in LVPP</t>
  </si>
  <si>
    <t>Lands, Office Furniture, Computers, Machinery &amp; Tools, Motor Vehicles, Civil Works etc.</t>
  </si>
  <si>
    <t>TC</t>
  </si>
  <si>
    <t>Sapugaskande</t>
  </si>
  <si>
    <t>Spare parts for E# 01 ; 24,000 rhrs</t>
  </si>
  <si>
    <t>Spare parts for E# 02 ; 12,000 rhrs (2023)</t>
  </si>
  <si>
    <t>Spare parts for E# 03 ; 24,000 rhrs (2023)</t>
  </si>
  <si>
    <t>Spare parts for major overhauls(12,000 Rhr) 04 Nos of Engines B/F(2023)</t>
  </si>
  <si>
    <t>Uthru Jananee</t>
  </si>
  <si>
    <t>Mechanical Spares for Planned Maintenance for 48000 hrs. maintenance (B/F from year 2023  IND/22/166)</t>
  </si>
  <si>
    <t>Spare Parts for Watsila Diesel Engings (B/F from 2023- IND/21/354)</t>
  </si>
  <si>
    <t>Mechanical Spares for Turbochargers for 48000 hrs. maintenance (B/F from year 2023-IND/23/050 )</t>
  </si>
  <si>
    <t>Barge Mounted Plant</t>
  </si>
  <si>
    <t>Foreign Purchase Safety Mechanical Spare Parts for All Four Main Engines</t>
  </si>
  <si>
    <t>1*50 MW Plant</t>
  </si>
  <si>
    <t>Purchase of 33KV CCV RMU for CSS 1nos and Related spare parts</t>
  </si>
  <si>
    <t>GT 07</t>
  </si>
  <si>
    <t>Purchasing of a new Compressor Rotor for GT-07</t>
  </si>
  <si>
    <t>Purchase of components of Special maintenance of - GT07 (Extended HGPI)(Forwarded from 2023)</t>
  </si>
  <si>
    <t>Purchasing of Compressor Diaphragms for GT07 (Forwarded from 2023)</t>
  </si>
  <si>
    <t xml:space="preserve">Purchasing of Fuel oil Injection Pump </t>
  </si>
  <si>
    <t>Procurement of a new fire water pumping system and  fire water boosting system for fuel tank yard</t>
  </si>
  <si>
    <t>Generator Major Inspection including starting group  disassembly &amp; Reassembly (B/F)</t>
  </si>
  <si>
    <t>Combined Circle (KCCP)</t>
  </si>
  <si>
    <t xml:space="preserve">New Rotor for GT(B/F 2023) and other related CAPEX developments </t>
  </si>
  <si>
    <t>KCCP-02</t>
  </si>
  <si>
    <t>Battery Banks (220VDC 1 set and UPS 1 set)</t>
  </si>
  <si>
    <t xml:space="preserve">Other CAPEX works in Thermal Power Plants </t>
  </si>
  <si>
    <t>Office Furniture, Computers, Machinery &amp; Tools, Motor Vehicles, Civil Works etc.</t>
  </si>
  <si>
    <t>other capex</t>
  </si>
  <si>
    <t>Kukule</t>
  </si>
  <si>
    <t>Umaoya</t>
  </si>
  <si>
    <t>Estimated Cost for 2025</t>
  </si>
  <si>
    <t>Revised Estimated cost for 2024 (LKR)</t>
  </si>
  <si>
    <t>Two (02) new conventional runners for NLPS</t>
  </si>
  <si>
    <t>12 Circuit Breakers for OLPS and NLPS Switchyards (132 kV)</t>
  </si>
  <si>
    <t>Spare parts for Generators &amp; Turbines (Foreign)</t>
  </si>
  <si>
    <t>Expertise Services for Unit 1 Level A Overhaul</t>
  </si>
  <si>
    <t>Unit 3 Level B overhaul spares-2026</t>
  </si>
  <si>
    <t>Expertise Services for Unit 2 Level B Overhaul</t>
  </si>
  <si>
    <t>"A" level maintenance works (Except CMEC works) - Foreign</t>
  </si>
  <si>
    <t>Other Coal Power related CAPEX</t>
  </si>
  <si>
    <t>Security Improvements</t>
  </si>
  <si>
    <t>Purchase of spare parts for E# 01 ; 24,000 rhrs (brought forward from 2024)</t>
  </si>
  <si>
    <t xml:space="preserve">Purchase of spare parts for E# 04 ; 24,000 rhrs </t>
  </si>
  <si>
    <t xml:space="preserve">Spares for 12,000Rhrs major overhauls of 4 Nos of engines </t>
  </si>
  <si>
    <t>Purchase of 2 Nos of FOCs for Station A</t>
  </si>
  <si>
    <t>Hull Inspection and Repair Work</t>
  </si>
  <si>
    <t>KCCP</t>
  </si>
  <si>
    <t>DCS  Upgrade</t>
  </si>
  <si>
    <t>Replacement of Pro-Control system including SCADA system</t>
  </si>
  <si>
    <t>ratio</t>
  </si>
  <si>
    <t>Disbursement during 2024</t>
  </si>
  <si>
    <t>Generator &amp; Penstok</t>
  </si>
  <si>
    <t>Upper Kotmale</t>
  </si>
  <si>
    <t>Consumables,Spillway Gate &amp; 220 kV cable sealing ends</t>
  </si>
  <si>
    <t>5 MVA 6.3/33 kV Transformer for Switchyard &amp; 5 Nos. of 6.3kV CB (Indoor type)</t>
  </si>
  <si>
    <t>Major Capex</t>
  </si>
  <si>
    <t>Level B spares</t>
  </si>
  <si>
    <t>Other majour capex</t>
  </si>
  <si>
    <t>Three (03) Generator Transformers for NLPS</t>
  </si>
  <si>
    <t>Samanala</t>
  </si>
  <si>
    <t>Sapugaskanda</t>
  </si>
  <si>
    <t>Mechanical Spares for Boilers &amp;PLC Upgrade</t>
  </si>
  <si>
    <t>Barge</t>
  </si>
  <si>
    <t>Hull Inspection,Safety Mechanical Spare Parts for All Four Main Engines,Repair Work of Stacks &amp; Generator of DG #3</t>
  </si>
  <si>
    <t>Other Capex</t>
  </si>
  <si>
    <t>Mahaweli Complex</t>
  </si>
  <si>
    <t>U.Kotmale</t>
  </si>
  <si>
    <t>Bowatenna</t>
  </si>
  <si>
    <t>Rand/Rant</t>
  </si>
  <si>
    <t>Nilambe</t>
  </si>
  <si>
    <t>Thambapavani</t>
  </si>
  <si>
    <t>Samanala Complex</t>
  </si>
  <si>
    <t>SWPS</t>
  </si>
  <si>
    <t>IPS</t>
  </si>
  <si>
    <t>UPS</t>
  </si>
  <si>
    <t>Laxapana Complex</t>
  </si>
  <si>
    <t>O-N Laxa</t>
  </si>
  <si>
    <t>Polpitiya</t>
  </si>
  <si>
    <t>WPS</t>
  </si>
  <si>
    <t>Canyon</t>
  </si>
  <si>
    <t>Broadland</t>
  </si>
  <si>
    <t>Thermal Complex</t>
  </si>
  <si>
    <t>KPS</t>
  </si>
  <si>
    <t>KCCP 2</t>
  </si>
  <si>
    <t>Sapu</t>
  </si>
  <si>
    <t>Uthuru Janani</t>
  </si>
  <si>
    <t>Chunnakam</t>
  </si>
  <si>
    <t>50 MW</t>
  </si>
  <si>
    <t>TOTAL</t>
  </si>
  <si>
    <t>Implementation Plan of Major CAPEX -2025- (With respect to CAPEX plan given in Annex 3)</t>
  </si>
  <si>
    <t>Implementation Plan of Major CAPEX -2025- (Other than CAPEX included in Annex 3)</t>
  </si>
  <si>
    <t>(To be financed by short term loans)</t>
  </si>
  <si>
    <t>(CEB own funds will be used)</t>
  </si>
  <si>
    <t>Other Hydro related CAPEX</t>
  </si>
  <si>
    <r>
      <rPr>
        <sz val="7"/>
        <rFont val="Times New Roman"/>
        <charset val="134"/>
      </rPr>
      <t xml:space="preserve"> </t>
    </r>
    <r>
      <rPr>
        <sz val="11"/>
        <rFont val="Times New Roman"/>
        <charset val="134"/>
      </rPr>
      <t xml:space="preserve">Replacement of 2 Stators </t>
    </r>
  </si>
  <si>
    <t>Annex D</t>
  </si>
  <si>
    <t>Annex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</si>
</sst>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3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0000"/>
      <name val="Times New Roman"/>
      <charset val="134"/>
    </font>
    <font>
      <b/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b/>
      <sz val="9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rgb="FF0070C0"/>
      <name val="Times New Roman"/>
      <charset val="134"/>
    </font>
    <font>
      <b/>
      <sz val="11"/>
      <color rgb="FFFF0000"/>
      <name val="Calibri"/>
      <charset val="134"/>
      <scheme val="minor"/>
    </font>
    <font>
      <sz val="11"/>
      <name val="Times New Roman"/>
      <charset val="134"/>
    </font>
    <font>
      <sz val="9"/>
      <name val="Times New Roman"/>
      <charset val="134"/>
    </font>
    <font>
      <sz val="11"/>
      <color rgb="FFC00000"/>
      <name val="Calibri"/>
      <charset val="134"/>
      <scheme val="minor"/>
    </font>
    <font>
      <sz val="11"/>
      <color theme="5" tint="-0.249977111117893"/>
      <name val="Calibri"/>
      <charset val="134"/>
      <scheme val="minor"/>
    </font>
    <font>
      <sz val="11"/>
      <color theme="5" tint="-0.249977111117893"/>
      <name val="Times New Roman"/>
      <charset val="134"/>
    </font>
    <font>
      <sz val="11"/>
      <color rgb="FF00B050"/>
      <name val="Times New Roman"/>
      <charset val="134"/>
    </font>
    <font>
      <sz val="11"/>
      <color theme="9" tint="-0.249977111117893"/>
      <name val="Times New Roman"/>
      <charset val="134"/>
    </font>
    <font>
      <sz val="11"/>
      <color rgb="FF0070C0"/>
      <name val="Calibri"/>
      <charset val="134"/>
      <scheme val="minor"/>
    </font>
    <font>
      <b/>
      <sz val="11"/>
      <color rgb="FF0070C0"/>
      <name val="Times New Roman"/>
      <charset val="134"/>
    </font>
    <font>
      <sz val="11"/>
      <color rgb="FFC00000"/>
      <name val="Times New Roman"/>
      <charset val="134"/>
    </font>
    <font>
      <b/>
      <sz val="11"/>
      <name val="Calibri"/>
      <charset val="134"/>
      <scheme val="minor"/>
    </font>
    <font>
      <sz val="10"/>
      <name val="Arial"/>
      <charset val="134"/>
    </font>
    <font>
      <sz val="11"/>
      <color rgb="FF000000"/>
      <name val="Calibri"/>
      <charset val="134"/>
    </font>
    <font>
      <sz val="7"/>
      <color theme="1"/>
      <name val="Times New Roman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color theme="1"/>
      <name val="Calibri"/>
      <family val="2"/>
      <scheme val="minor"/>
    </font>
    <font>
      <sz val="7"/>
      <name val="Times New Roman"/>
      <charset val="134"/>
    </font>
    <font>
      <b/>
      <sz val="11"/>
      <name val="Times New Roman"/>
      <charset val="134"/>
    </font>
    <font>
      <sz val="11"/>
      <name val="Calibri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7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2" fillId="0" borderId="0"/>
    <xf numFmtId="0" fontId="23" fillId="0" borderId="0" applyBorder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0">
    <xf numFmtId="0" fontId="0" fillId="0" borderId="0" xfId="0"/>
    <xf numFmtId="164" fontId="0" fillId="0" borderId="0" xfId="4" applyFont="1" applyFill="1"/>
    <xf numFmtId="165" fontId="5" fillId="0" borderId="1" xfId="4" applyNumberFormat="1" applyFont="1" applyFill="1" applyBorder="1" applyAlignment="1">
      <alignment horizontal="center" vertical="center" wrapText="1"/>
    </xf>
    <xf numFmtId="9" fontId="5" fillId="0" borderId="6" xfId="17" applyFont="1" applyFill="1" applyBorder="1" applyAlignment="1">
      <alignment horizontal="center" vertical="center" wrapText="1"/>
    </xf>
    <xf numFmtId="165" fontId="5" fillId="0" borderId="6" xfId="4" applyNumberFormat="1" applyFont="1" applyFill="1" applyBorder="1" applyAlignment="1">
      <alignment vertical="center" wrapText="1"/>
    </xf>
    <xf numFmtId="165" fontId="5" fillId="0" borderId="6" xfId="4" applyNumberFormat="1" applyFont="1" applyFill="1" applyBorder="1" applyAlignment="1">
      <alignment horizontal="center" vertical="center" wrapText="1"/>
    </xf>
    <xf numFmtId="9" fontId="6" fillId="0" borderId="2" xfId="17" applyFont="1" applyFill="1" applyBorder="1" applyAlignment="1">
      <alignment horizontal="center" vertical="center" wrapText="1"/>
    </xf>
    <xf numFmtId="165" fontId="6" fillId="0" borderId="2" xfId="4" applyNumberFormat="1" applyFont="1" applyFill="1" applyBorder="1" applyAlignment="1">
      <alignment vertical="center" wrapText="1"/>
    </xf>
    <xf numFmtId="165" fontId="6" fillId="0" borderId="1" xfId="4" applyNumberFormat="1" applyFont="1" applyFill="1" applyBorder="1" applyAlignment="1">
      <alignment horizontal="center" vertical="center" wrapText="1"/>
    </xf>
    <xf numFmtId="9" fontId="5" fillId="0" borderId="2" xfId="17" applyFont="1" applyFill="1" applyBorder="1" applyAlignment="1">
      <alignment horizontal="center" vertical="center" wrapText="1"/>
    </xf>
    <xf numFmtId="165" fontId="5" fillId="0" borderId="2" xfId="4" applyNumberFormat="1" applyFont="1" applyFill="1" applyBorder="1" applyAlignment="1">
      <alignment vertical="center" wrapText="1"/>
    </xf>
    <xf numFmtId="165" fontId="6" fillId="0" borderId="6" xfId="4" applyNumberFormat="1" applyFont="1" applyFill="1" applyBorder="1" applyAlignment="1">
      <alignment horizontal="center" vertical="center" wrapText="1"/>
    </xf>
    <xf numFmtId="165" fontId="5" fillId="0" borderId="2" xfId="4" applyNumberFormat="1" applyFont="1" applyFill="1" applyBorder="1" applyAlignment="1">
      <alignment horizontal="center" vertical="center" wrapText="1"/>
    </xf>
    <xf numFmtId="9" fontId="3" fillId="0" borderId="33" xfId="17" applyFont="1" applyFill="1" applyBorder="1" applyAlignment="1">
      <alignment horizontal="right" vertical="center" wrapText="1"/>
    </xf>
    <xf numFmtId="9" fontId="3" fillId="0" borderId="34" xfId="17" applyFont="1" applyFill="1" applyBorder="1" applyAlignment="1">
      <alignment horizontal="right" vertical="center" wrapText="1"/>
    </xf>
    <xf numFmtId="165" fontId="6" fillId="0" borderId="2" xfId="4" applyNumberFormat="1" applyFont="1" applyFill="1" applyBorder="1" applyAlignment="1">
      <alignment horizontal="center" vertical="center" wrapText="1"/>
    </xf>
    <xf numFmtId="9" fontId="3" fillId="0" borderId="3" xfId="17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3" fontId="0" fillId="0" borderId="0" xfId="0" applyNumberFormat="1"/>
    <xf numFmtId="165" fontId="0" fillId="6" borderId="0" xfId="0" applyNumberFormat="1" applyFill="1"/>
    <xf numFmtId="165" fontId="0" fillId="0" borderId="0" xfId="1" applyNumberFormat="1" applyFont="1"/>
    <xf numFmtId="165" fontId="0" fillId="0" borderId="0" xfId="0" applyNumberFormat="1"/>
    <xf numFmtId="165" fontId="8" fillId="0" borderId="0" xfId="0" applyNumberFormat="1" applyFont="1"/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justify" vertical="center" wrapText="1"/>
    </xf>
    <xf numFmtId="3" fontId="6" fillId="0" borderId="2" xfId="0" applyNumberFormat="1" applyFont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vertical="center" wrapText="1"/>
    </xf>
    <xf numFmtId="9" fontId="6" fillId="0" borderId="2" xfId="2" applyFont="1" applyFill="1" applyBorder="1" applyAlignment="1">
      <alignment horizontal="center" vertical="center" wrapText="1"/>
    </xf>
    <xf numFmtId="165" fontId="6" fillId="0" borderId="2" xfId="1" applyNumberFormat="1" applyFont="1" applyFill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6" fillId="8" borderId="2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vertical="center" wrapText="1"/>
    </xf>
    <xf numFmtId="0" fontId="6" fillId="8" borderId="3" xfId="0" applyFont="1" applyFill="1" applyBorder="1" applyAlignment="1">
      <alignment horizontal="justify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3" fontId="6" fillId="6" borderId="2" xfId="0" applyNumberFormat="1" applyFont="1" applyFill="1" applyBorder="1" applyAlignment="1">
      <alignment horizontal="right"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0" fontId="12" fillId="0" borderId="2" xfId="11" applyFont="1" applyBorder="1" applyAlignment="1">
      <alignment vertical="center" wrapText="1"/>
    </xf>
    <xf numFmtId="0" fontId="7" fillId="0" borderId="2" xfId="11" applyFont="1" applyBorder="1" applyAlignment="1">
      <alignment vertical="center" wrapText="1"/>
    </xf>
    <xf numFmtId="3" fontId="4" fillId="0" borderId="2" xfId="0" applyNumberFormat="1" applyFont="1" applyBorder="1" applyAlignment="1">
      <alignment horizontal="right" vertical="center" wrapText="1"/>
    </xf>
    <xf numFmtId="165" fontId="13" fillId="0" borderId="0" xfId="0" applyNumberFormat="1" applyFont="1"/>
    <xf numFmtId="165" fontId="18" fillId="0" borderId="0" xfId="0" applyNumberFormat="1" applyFont="1"/>
    <xf numFmtId="0" fontId="4" fillId="0" borderId="2" xfId="0" applyFont="1" applyBorder="1" applyAlignment="1">
      <alignment vertical="center" wrapText="1"/>
    </xf>
    <xf numFmtId="165" fontId="6" fillId="9" borderId="2" xfId="1" applyNumberFormat="1" applyFont="1" applyFill="1" applyBorder="1" applyAlignment="1">
      <alignment vertical="center" wrapText="1"/>
    </xf>
    <xf numFmtId="165" fontId="6" fillId="9" borderId="2" xfId="1" applyNumberFormat="1" applyFont="1" applyFill="1" applyBorder="1" applyAlignment="1">
      <alignment horizontal="center" vertical="center" wrapText="1"/>
    </xf>
    <xf numFmtId="165" fontId="6" fillId="10" borderId="2" xfId="1" applyNumberFormat="1" applyFont="1" applyFill="1" applyBorder="1" applyAlignment="1">
      <alignment horizontal="center" vertical="center" wrapText="1"/>
    </xf>
    <xf numFmtId="165" fontId="6" fillId="3" borderId="2" xfId="1" applyNumberFormat="1" applyFont="1" applyFill="1" applyBorder="1" applyAlignment="1">
      <alignment horizontal="center" vertical="center" wrapText="1"/>
    </xf>
    <xf numFmtId="165" fontId="6" fillId="10" borderId="2" xfId="1" applyNumberFormat="1" applyFont="1" applyFill="1" applyBorder="1" applyAlignment="1">
      <alignment vertical="center" wrapText="1"/>
    </xf>
    <xf numFmtId="165" fontId="6" fillId="3" borderId="2" xfId="1" applyNumberFormat="1" applyFont="1" applyFill="1" applyBorder="1" applyAlignment="1">
      <alignment vertical="center" wrapText="1"/>
    </xf>
    <xf numFmtId="165" fontId="6" fillId="9" borderId="1" xfId="1" applyNumberFormat="1" applyFont="1" applyFill="1" applyBorder="1" applyAlignment="1">
      <alignment vertical="center" wrapText="1"/>
    </xf>
    <xf numFmtId="165" fontId="6" fillId="9" borderId="1" xfId="1" applyNumberFormat="1" applyFont="1" applyFill="1" applyBorder="1" applyAlignment="1">
      <alignment horizontal="center" vertical="center" wrapText="1"/>
    </xf>
    <xf numFmtId="165" fontId="6" fillId="10" borderId="1" xfId="1" applyNumberFormat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5" fontId="6" fillId="9" borderId="12" xfId="1" applyNumberFormat="1" applyFont="1" applyFill="1" applyBorder="1" applyAlignment="1">
      <alignment vertical="center" wrapText="1"/>
    </xf>
    <xf numFmtId="165" fontId="6" fillId="9" borderId="12" xfId="1" applyNumberFormat="1" applyFont="1" applyFill="1" applyBorder="1" applyAlignment="1">
      <alignment horizontal="center" vertical="center" wrapText="1"/>
    </xf>
    <xf numFmtId="165" fontId="6" fillId="10" borderId="12" xfId="1" applyNumberFormat="1" applyFont="1" applyFill="1" applyBorder="1" applyAlignment="1">
      <alignment horizontal="center" vertical="center" wrapText="1"/>
    </xf>
    <xf numFmtId="165" fontId="6" fillId="3" borderId="12" xfId="1" applyNumberFormat="1" applyFont="1" applyFill="1" applyBorder="1" applyAlignment="1">
      <alignment horizontal="center" vertical="center" wrapText="1"/>
    </xf>
    <xf numFmtId="165" fontId="6" fillId="9" borderId="3" xfId="1" applyNumberFormat="1" applyFont="1" applyFill="1" applyBorder="1" applyAlignment="1">
      <alignment vertical="center" wrapText="1"/>
    </xf>
    <xf numFmtId="165" fontId="6" fillId="9" borderId="3" xfId="1" applyNumberFormat="1" applyFont="1" applyFill="1" applyBorder="1" applyAlignment="1">
      <alignment horizontal="center" vertical="center" wrapText="1"/>
    </xf>
    <xf numFmtId="165" fontId="6" fillId="10" borderId="3" xfId="1" applyNumberFormat="1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center" vertical="center" wrapText="1"/>
    </xf>
    <xf numFmtId="165" fontId="9" fillId="9" borderId="2" xfId="1" applyNumberFormat="1" applyFont="1" applyFill="1" applyBorder="1" applyAlignment="1">
      <alignment vertical="center" wrapText="1"/>
    </xf>
    <xf numFmtId="165" fontId="9" fillId="10" borderId="2" xfId="1" applyNumberFormat="1" applyFont="1" applyFill="1" applyBorder="1" applyAlignment="1">
      <alignment vertical="center" wrapText="1"/>
    </xf>
    <xf numFmtId="165" fontId="9" fillId="3" borderId="2" xfId="1" applyNumberFormat="1" applyFont="1" applyFill="1" applyBorder="1" applyAlignment="1">
      <alignment vertical="center" wrapText="1"/>
    </xf>
    <xf numFmtId="0" fontId="0" fillId="9" borderId="2" xfId="0" applyFill="1" applyBorder="1"/>
    <xf numFmtId="165" fontId="19" fillId="9" borderId="2" xfId="1" applyNumberFormat="1" applyFont="1" applyFill="1" applyBorder="1" applyAlignment="1">
      <alignment vertical="center" wrapText="1"/>
    </xf>
    <xf numFmtId="165" fontId="20" fillId="9" borderId="2" xfId="1" applyNumberFormat="1" applyFont="1" applyFill="1" applyBorder="1" applyAlignment="1">
      <alignment vertical="center" wrapText="1"/>
    </xf>
    <xf numFmtId="165" fontId="15" fillId="10" borderId="2" xfId="1" applyNumberFormat="1" applyFont="1" applyFill="1" applyBorder="1" applyAlignment="1">
      <alignment vertical="center" wrapText="1"/>
    </xf>
    <xf numFmtId="165" fontId="15" fillId="3" borderId="2" xfId="1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23" xfId="0" applyFont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0" fillId="6" borderId="0" xfId="0" applyFill="1"/>
    <xf numFmtId="165" fontId="1" fillId="0" borderId="0" xfId="0" applyNumberFormat="1" applyFont="1"/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vertical="center"/>
    </xf>
    <xf numFmtId="0" fontId="0" fillId="3" borderId="2" xfId="0" applyFill="1" applyBorder="1"/>
    <xf numFmtId="0" fontId="0" fillId="10" borderId="2" xfId="0" applyFill="1" applyBorder="1"/>
    <xf numFmtId="165" fontId="0" fillId="0" borderId="2" xfId="1" applyNumberFormat="1" applyFont="1" applyFill="1" applyBorder="1"/>
    <xf numFmtId="165" fontId="18" fillId="0" borderId="0" xfId="0" applyNumberFormat="1" applyFont="1" applyAlignment="1">
      <alignment horizontal="center" vertical="center"/>
    </xf>
    <xf numFmtId="165" fontId="18" fillId="8" borderId="0" xfId="0" applyNumberFormat="1" applyFont="1" applyFill="1"/>
    <xf numFmtId="165" fontId="14" fillId="0" borderId="0" xfId="0" applyNumberFormat="1" applyFont="1"/>
    <xf numFmtId="3" fontId="1" fillId="2" borderId="0" xfId="0" applyNumberFormat="1" applyFont="1" applyFill="1"/>
    <xf numFmtId="165" fontId="1" fillId="2" borderId="0" xfId="0" applyNumberFormat="1" applyFont="1" applyFill="1"/>
    <xf numFmtId="165" fontId="8" fillId="6" borderId="0" xfId="0" applyNumberFormat="1" applyFont="1" applyFill="1"/>
    <xf numFmtId="3" fontId="21" fillId="0" borderId="0" xfId="0" applyNumberFormat="1" applyFont="1"/>
    <xf numFmtId="0" fontId="8" fillId="5" borderId="0" xfId="0" applyFont="1" applyFill="1"/>
    <xf numFmtId="0" fontId="0" fillId="5" borderId="0" xfId="0" applyFill="1"/>
    <xf numFmtId="0" fontId="0" fillId="11" borderId="0" xfId="0" applyFill="1"/>
    <xf numFmtId="165" fontId="8" fillId="11" borderId="0" xfId="0" applyNumberFormat="1" applyFont="1" applyFill="1"/>
    <xf numFmtId="165" fontId="0" fillId="11" borderId="0" xfId="0" applyNumberFormat="1" applyFill="1"/>
    <xf numFmtId="165" fontId="0" fillId="5" borderId="0" xfId="0" applyNumberFormat="1" applyFill="1"/>
    <xf numFmtId="0" fontId="6" fillId="8" borderId="2" xfId="0" quotePrefix="1" applyFont="1" applyFill="1" applyBorder="1" applyAlignment="1">
      <alignment horizontal="justify" vertical="center" wrapText="1"/>
    </xf>
    <xf numFmtId="0" fontId="6" fillId="2" borderId="2" xfId="0" quotePrefix="1" applyFont="1" applyFill="1" applyBorder="1" applyAlignment="1">
      <alignment horizontal="justify" vertical="center" wrapText="1"/>
    </xf>
    <xf numFmtId="0" fontId="6" fillId="8" borderId="2" xfId="0" quotePrefix="1" applyFont="1" applyFill="1" applyBorder="1" applyAlignment="1">
      <alignment horizontal="left" vertical="center" wrapText="1"/>
    </xf>
    <xf numFmtId="9" fontId="6" fillId="0" borderId="1" xfId="17" applyFont="1" applyFill="1" applyBorder="1" applyAlignment="1">
      <alignment horizontal="center" vertical="center" wrapText="1"/>
    </xf>
    <xf numFmtId="165" fontId="6" fillId="0" borderId="1" xfId="4" applyNumberFormat="1" applyFont="1" applyFill="1" applyBorder="1" applyAlignment="1">
      <alignment vertical="center" wrapText="1"/>
    </xf>
    <xf numFmtId="9" fontId="5" fillId="0" borderId="40" xfId="17" applyFont="1" applyFill="1" applyBorder="1" applyAlignment="1">
      <alignment horizontal="center" vertical="center" wrapText="1"/>
    </xf>
    <xf numFmtId="165" fontId="5" fillId="0" borderId="40" xfId="4" applyNumberFormat="1" applyFont="1" applyFill="1" applyBorder="1" applyAlignment="1">
      <alignment vertical="center" wrapText="1"/>
    </xf>
    <xf numFmtId="165" fontId="5" fillId="0" borderId="40" xfId="4" applyNumberFormat="1" applyFont="1" applyFill="1" applyBorder="1" applyAlignment="1">
      <alignment horizontal="center" vertical="center" wrapText="1"/>
    </xf>
    <xf numFmtId="0" fontId="2" fillId="0" borderId="0" xfId="14" applyAlignment="1">
      <alignment horizontal="center"/>
    </xf>
    <xf numFmtId="0" fontId="2" fillId="0" borderId="0" xfId="14"/>
    <xf numFmtId="0" fontId="1" fillId="0" borderId="0" xfId="14" applyFont="1"/>
    <xf numFmtId="3" fontId="2" fillId="0" borderId="0" xfId="14" applyNumberFormat="1"/>
    <xf numFmtId="9" fontId="0" fillId="0" borderId="0" xfId="17" applyFont="1" applyFill="1"/>
    <xf numFmtId="0" fontId="4" fillId="0" borderId="8" xfId="14" applyFont="1" applyBorder="1" applyAlignment="1">
      <alignment horizontal="center" vertical="center" wrapText="1"/>
    </xf>
    <xf numFmtId="0" fontId="4" fillId="0" borderId="23" xfId="14" applyFont="1" applyBorder="1" applyAlignment="1">
      <alignment vertical="center" wrapText="1"/>
    </xf>
    <xf numFmtId="0" fontId="4" fillId="0" borderId="6" xfId="14" applyFont="1" applyBorder="1" applyAlignment="1">
      <alignment horizontal="center" vertical="center" wrapText="1"/>
    </xf>
    <xf numFmtId="0" fontId="4" fillId="0" borderId="6" xfId="14" applyFont="1" applyBorder="1" applyAlignment="1">
      <alignment vertical="center" wrapText="1"/>
    </xf>
    <xf numFmtId="0" fontId="4" fillId="0" borderId="31" xfId="14" applyFont="1" applyBorder="1" applyAlignment="1">
      <alignment vertical="center" wrapText="1"/>
    </xf>
    <xf numFmtId="0" fontId="11" fillId="0" borderId="37" xfId="14" applyFont="1" applyBorder="1" applyAlignment="1">
      <alignment horizontal="center" vertical="center" wrapText="1"/>
    </xf>
    <xf numFmtId="0" fontId="11" fillId="0" borderId="9" xfId="14" applyFont="1" applyBorder="1" applyAlignment="1">
      <alignment horizontal="center" vertical="center" wrapText="1"/>
    </xf>
    <xf numFmtId="0" fontId="11" fillId="0" borderId="8" xfId="14" applyFont="1" applyBorder="1" applyAlignment="1">
      <alignment horizontal="justify" vertical="center" wrapText="1"/>
    </xf>
    <xf numFmtId="3" fontId="11" fillId="0" borderId="8" xfId="14" applyNumberFormat="1" applyFont="1" applyBorder="1" applyAlignment="1">
      <alignment horizontal="right" vertical="center" wrapText="1"/>
    </xf>
    <xf numFmtId="165" fontId="27" fillId="0" borderId="29" xfId="4" applyNumberFormat="1" applyFont="1" applyFill="1" applyBorder="1" applyAlignment="1">
      <alignment horizontal="center" vertical="center" wrapText="1"/>
    </xf>
    <xf numFmtId="165" fontId="2" fillId="0" borderId="0" xfId="14" applyNumberFormat="1"/>
    <xf numFmtId="0" fontId="11" fillId="0" borderId="4" xfId="14" applyFont="1" applyBorder="1" applyAlignment="1">
      <alignment horizontal="center" vertical="center" wrapText="1"/>
    </xf>
    <xf numFmtId="0" fontId="11" fillId="0" borderId="1" xfId="14" applyFont="1" applyBorder="1" applyAlignment="1">
      <alignment horizontal="center" vertical="center" wrapText="1"/>
    </xf>
    <xf numFmtId="0" fontId="11" fillId="0" borderId="2" xfId="14" applyFont="1" applyBorder="1" applyAlignment="1">
      <alignment horizontal="justify" vertical="center" wrapText="1"/>
    </xf>
    <xf numFmtId="3" fontId="11" fillId="0" borderId="2" xfId="14" applyNumberFormat="1" applyFont="1" applyBorder="1" applyAlignment="1">
      <alignment horizontal="right" vertical="center" wrapText="1"/>
    </xf>
    <xf numFmtId="165" fontId="27" fillId="0" borderId="30" xfId="4" applyNumberFormat="1" applyFont="1" applyFill="1" applyBorder="1" applyAlignment="1">
      <alignment horizontal="center" vertical="center" wrapText="1"/>
    </xf>
    <xf numFmtId="165" fontId="1" fillId="0" borderId="0" xfId="14" applyNumberFormat="1" applyFont="1"/>
    <xf numFmtId="0" fontId="11" fillId="0" borderId="5" xfId="14" applyFont="1" applyBorder="1" applyAlignment="1">
      <alignment horizontal="center" vertical="center" wrapText="1"/>
    </xf>
    <xf numFmtId="0" fontId="11" fillId="0" borderId="6" xfId="14" applyFont="1" applyBorder="1" applyAlignment="1">
      <alignment horizontal="center" vertical="center" wrapText="1"/>
    </xf>
    <xf numFmtId="0" fontId="11" fillId="0" borderId="6" xfId="14" applyFont="1" applyBorder="1" applyAlignment="1">
      <alignment horizontal="justify" vertical="center" wrapText="1"/>
    </xf>
    <xf numFmtId="3" fontId="11" fillId="0" borderId="6" xfId="14" applyNumberFormat="1" applyFont="1" applyBorder="1" applyAlignment="1">
      <alignment horizontal="right" vertical="center" wrapText="1"/>
    </xf>
    <xf numFmtId="165" fontId="27" fillId="0" borderId="31" xfId="4" applyNumberFormat="1" applyFont="1" applyFill="1" applyBorder="1" applyAlignment="1">
      <alignment horizontal="center" vertical="center" wrapText="1"/>
    </xf>
    <xf numFmtId="3" fontId="11" fillId="0" borderId="8" xfId="14" applyNumberFormat="1" applyFont="1" applyBorder="1" applyAlignment="1">
      <alignment vertical="center" wrapText="1"/>
    </xf>
    <xf numFmtId="0" fontId="11" fillId="0" borderId="7" xfId="14" applyFont="1" applyBorder="1" applyAlignment="1">
      <alignment horizontal="center" vertical="center" wrapText="1"/>
    </xf>
    <xf numFmtId="165" fontId="2" fillId="0" borderId="36" xfId="14" applyNumberFormat="1" applyBorder="1"/>
    <xf numFmtId="3" fontId="2" fillId="0" borderId="36" xfId="14" applyNumberFormat="1" applyBorder="1"/>
    <xf numFmtId="0" fontId="11" fillId="0" borderId="8" xfId="14" applyFont="1" applyBorder="1" applyAlignment="1">
      <alignment horizontal="center" vertical="center" wrapText="1"/>
    </xf>
    <xf numFmtId="0" fontId="11" fillId="0" borderId="10" xfId="14" applyFont="1" applyBorder="1" applyAlignment="1">
      <alignment horizontal="center" vertical="center" wrapText="1"/>
    </xf>
    <xf numFmtId="0" fontId="11" fillId="0" borderId="2" xfId="14" applyFont="1" applyBorder="1" applyAlignment="1">
      <alignment horizontal="center" vertical="center" wrapText="1"/>
    </xf>
    <xf numFmtId="165" fontId="9" fillId="0" borderId="2" xfId="4" applyNumberFormat="1" applyFont="1" applyFill="1" applyBorder="1" applyAlignment="1">
      <alignment vertical="center" wrapText="1"/>
    </xf>
    <xf numFmtId="165" fontId="6" fillId="0" borderId="16" xfId="4" applyNumberFormat="1" applyFont="1" applyFill="1" applyBorder="1" applyAlignment="1">
      <alignment vertical="center" wrapText="1"/>
    </xf>
    <xf numFmtId="165" fontId="5" fillId="0" borderId="16" xfId="4" applyNumberFormat="1" applyFont="1" applyFill="1" applyBorder="1" applyAlignment="1">
      <alignment vertical="center" wrapText="1"/>
    </xf>
    <xf numFmtId="9" fontId="1" fillId="0" borderId="0" xfId="17" applyFont="1" applyFill="1"/>
    <xf numFmtId="3" fontId="1" fillId="0" borderId="0" xfId="14" applyNumberFormat="1" applyFont="1"/>
    <xf numFmtId="0" fontId="11" fillId="0" borderId="1" xfId="14" applyFont="1" applyBorder="1" applyAlignment="1">
      <alignment horizontal="justify" vertical="center" wrapText="1"/>
    </xf>
    <xf numFmtId="3" fontId="11" fillId="0" borderId="1" xfId="14" applyNumberFormat="1" applyFont="1" applyBorder="1" applyAlignment="1">
      <alignment horizontal="right" vertical="center" wrapText="1"/>
    </xf>
    <xf numFmtId="165" fontId="27" fillId="0" borderId="41" xfId="4" applyNumberFormat="1" applyFont="1" applyFill="1" applyBorder="1" applyAlignment="1">
      <alignment horizontal="center" vertical="center" wrapText="1"/>
    </xf>
    <xf numFmtId="165" fontId="6" fillId="0" borderId="18" xfId="4" applyNumberFormat="1" applyFont="1" applyFill="1" applyBorder="1" applyAlignment="1">
      <alignment vertical="center" wrapText="1"/>
    </xf>
    <xf numFmtId="165" fontId="6" fillId="0" borderId="6" xfId="4" applyNumberFormat="1" applyFont="1" applyFill="1" applyBorder="1" applyAlignment="1">
      <alignment vertical="center" wrapText="1"/>
    </xf>
    <xf numFmtId="165" fontId="9" fillId="0" borderId="6" xfId="4" applyNumberFormat="1" applyFont="1" applyFill="1" applyBorder="1" applyAlignment="1">
      <alignment vertical="center" wrapText="1"/>
    </xf>
    <xf numFmtId="0" fontId="11" fillId="0" borderId="43" xfId="14" applyFont="1" applyBorder="1" applyAlignment="1">
      <alignment horizontal="center" vertical="center" wrapText="1"/>
    </xf>
    <xf numFmtId="0" fontId="31" fillId="0" borderId="26" xfId="14" applyFont="1" applyBorder="1" applyAlignment="1">
      <alignment horizontal="justify" vertical="center" wrapText="1"/>
    </xf>
    <xf numFmtId="0" fontId="7" fillId="0" borderId="26" xfId="11" applyFont="1" applyBorder="1" applyAlignment="1">
      <alignment vertical="center" wrapText="1"/>
    </xf>
    <xf numFmtId="3" fontId="31" fillId="0" borderId="26" xfId="14" applyNumberFormat="1" applyFont="1" applyBorder="1" applyAlignment="1">
      <alignment horizontal="right" vertical="center" wrapText="1"/>
    </xf>
    <xf numFmtId="3" fontId="4" fillId="0" borderId="26" xfId="14" applyNumberFormat="1" applyFont="1" applyBorder="1" applyAlignment="1">
      <alignment horizontal="right" vertical="center" wrapText="1"/>
    </xf>
    <xf numFmtId="165" fontId="28" fillId="0" borderId="32" xfId="4" applyNumberFormat="1" applyFont="1" applyFill="1" applyBorder="1" applyAlignment="1">
      <alignment horizontal="center" vertical="center" wrapText="1"/>
    </xf>
    <xf numFmtId="3" fontId="4" fillId="0" borderId="20" xfId="14" applyNumberFormat="1" applyFont="1" applyBorder="1" applyAlignment="1">
      <alignment horizontal="right" vertical="center" wrapText="1"/>
    </xf>
    <xf numFmtId="3" fontId="4" fillId="0" borderId="12" xfId="14" applyNumberFormat="1" applyFont="1" applyBorder="1" applyAlignment="1">
      <alignment horizontal="right" vertical="center" wrapText="1"/>
    </xf>
    <xf numFmtId="0" fontId="32" fillId="0" borderId="0" xfId="14" applyFont="1" applyAlignment="1">
      <alignment horizontal="center"/>
    </xf>
    <xf numFmtId="0" fontId="32" fillId="0" borderId="0" xfId="14" applyFont="1"/>
    <xf numFmtId="3" fontId="8" fillId="0" borderId="0" xfId="14" applyNumberFormat="1" applyFont="1"/>
    <xf numFmtId="3" fontId="4" fillId="0" borderId="0" xfId="14" applyNumberFormat="1" applyFont="1" applyAlignment="1">
      <alignment horizontal="right" vertical="center" wrapText="1"/>
    </xf>
    <xf numFmtId="3" fontId="10" fillId="0" borderId="0" xfId="14" applyNumberFormat="1" applyFont="1"/>
    <xf numFmtId="3" fontId="32" fillId="0" borderId="0" xfId="14" applyNumberFormat="1" applyFont="1"/>
    <xf numFmtId="164" fontId="32" fillId="0" borderId="0" xfId="4" applyFont="1" applyFill="1"/>
    <xf numFmtId="9" fontId="32" fillId="0" borderId="0" xfId="17" applyFont="1" applyFill="1"/>
    <xf numFmtId="0" fontId="31" fillId="0" borderId="8" xfId="14" applyFont="1" applyBorder="1" applyAlignment="1">
      <alignment horizontal="center" vertical="center" wrapText="1"/>
    </xf>
    <xf numFmtId="0" fontId="31" fillId="0" borderId="23" xfId="14" applyFont="1" applyBorder="1" applyAlignment="1">
      <alignment vertical="center" wrapText="1"/>
    </xf>
    <xf numFmtId="0" fontId="31" fillId="0" borderId="6" xfId="14" applyFont="1" applyBorder="1" applyAlignment="1">
      <alignment horizontal="center" vertical="center" wrapText="1"/>
    </xf>
    <xf numFmtId="0" fontId="31" fillId="0" borderId="6" xfId="14" applyFont="1" applyBorder="1" applyAlignment="1">
      <alignment vertical="center" wrapText="1"/>
    </xf>
    <xf numFmtId="0" fontId="31" fillId="0" borderId="31" xfId="14" applyFont="1" applyBorder="1" applyAlignment="1">
      <alignment vertical="center" wrapText="1"/>
    </xf>
    <xf numFmtId="9" fontId="11" fillId="0" borderId="9" xfId="17" applyFont="1" applyFill="1" applyBorder="1" applyAlignment="1">
      <alignment horizontal="center" vertical="center" wrapText="1"/>
    </xf>
    <xf numFmtId="165" fontId="11" fillId="0" borderId="9" xfId="4" applyNumberFormat="1" applyFont="1" applyFill="1" applyBorder="1" applyAlignment="1">
      <alignment horizontal="center" vertical="center" wrapText="1"/>
    </xf>
    <xf numFmtId="165" fontId="11" fillId="0" borderId="9" xfId="4" applyNumberFormat="1" applyFont="1" applyFill="1" applyBorder="1" applyAlignment="1">
      <alignment vertical="center" wrapText="1"/>
    </xf>
    <xf numFmtId="165" fontId="11" fillId="0" borderId="8" xfId="4" applyNumberFormat="1" applyFont="1" applyFill="1" applyBorder="1" applyAlignment="1">
      <alignment vertical="center" wrapText="1"/>
    </xf>
    <xf numFmtId="165" fontId="11" fillId="0" borderId="8" xfId="4" applyNumberFormat="1" applyFont="1" applyFill="1" applyBorder="1" applyAlignment="1">
      <alignment horizontal="center" vertical="center" wrapText="1"/>
    </xf>
    <xf numFmtId="165" fontId="11" fillId="0" borderId="14" xfId="4" applyNumberFormat="1" applyFont="1" applyFill="1" applyBorder="1" applyAlignment="1">
      <alignment horizontal="center" vertical="center" wrapText="1"/>
    </xf>
    <xf numFmtId="9" fontId="31" fillId="0" borderId="35" xfId="17" applyFont="1" applyFill="1" applyBorder="1" applyAlignment="1">
      <alignment horizontal="right" vertical="center" wrapText="1"/>
    </xf>
    <xf numFmtId="165" fontId="32" fillId="0" borderId="0" xfId="14" applyNumberFormat="1" applyFont="1"/>
    <xf numFmtId="3" fontId="32" fillId="0" borderId="0" xfId="4" applyNumberFormat="1" applyFont="1" applyFill="1"/>
    <xf numFmtId="9" fontId="11" fillId="0" borderId="1" xfId="17" applyFont="1" applyFill="1" applyBorder="1" applyAlignment="1">
      <alignment horizontal="center" vertical="center" wrapText="1"/>
    </xf>
    <xf numFmtId="165" fontId="11" fillId="0" borderId="1" xfId="4" applyNumberFormat="1" applyFont="1" applyFill="1" applyBorder="1" applyAlignment="1">
      <alignment horizontal="center" vertical="center" wrapText="1"/>
    </xf>
    <xf numFmtId="165" fontId="11" fillId="0" borderId="1" xfId="4" applyNumberFormat="1" applyFont="1" applyFill="1" applyBorder="1" applyAlignment="1">
      <alignment vertical="center" wrapText="1"/>
    </xf>
    <xf numFmtId="165" fontId="11" fillId="0" borderId="2" xfId="4" applyNumberFormat="1" applyFont="1" applyFill="1" applyBorder="1" applyAlignment="1">
      <alignment vertical="center" wrapText="1"/>
    </xf>
    <xf numFmtId="165" fontId="11" fillId="0" borderId="2" xfId="4" applyNumberFormat="1" applyFont="1" applyFill="1" applyBorder="1" applyAlignment="1">
      <alignment horizontal="center" vertical="center" wrapText="1"/>
    </xf>
    <xf numFmtId="165" fontId="11" fillId="0" borderId="16" xfId="4" applyNumberFormat="1" applyFont="1" applyFill="1" applyBorder="1" applyAlignment="1">
      <alignment horizontal="center" vertical="center" wrapText="1"/>
    </xf>
    <xf numFmtId="9" fontId="31" fillId="0" borderId="33" xfId="17" applyFont="1" applyFill="1" applyBorder="1" applyAlignment="1">
      <alignment horizontal="right" vertical="center" wrapText="1"/>
    </xf>
    <xf numFmtId="9" fontId="11" fillId="0" borderId="6" xfId="17" applyFont="1" applyFill="1" applyBorder="1" applyAlignment="1">
      <alignment horizontal="center" vertical="center" wrapText="1"/>
    </xf>
    <xf numFmtId="165" fontId="11" fillId="0" borderId="6" xfId="4" applyNumberFormat="1" applyFont="1" applyFill="1" applyBorder="1" applyAlignment="1">
      <alignment horizontal="center" vertical="center" wrapText="1"/>
    </xf>
    <xf numFmtId="165" fontId="11" fillId="0" borderId="6" xfId="4" applyNumberFormat="1" applyFont="1" applyFill="1" applyBorder="1" applyAlignment="1">
      <alignment vertical="center" wrapText="1"/>
    </xf>
    <xf numFmtId="165" fontId="11" fillId="0" borderId="18" xfId="4" applyNumberFormat="1" applyFont="1" applyFill="1" applyBorder="1" applyAlignment="1">
      <alignment horizontal="center" vertical="center" wrapText="1"/>
    </xf>
    <xf numFmtId="9" fontId="31" fillId="0" borderId="34" xfId="17" applyFont="1" applyFill="1" applyBorder="1" applyAlignment="1">
      <alignment horizontal="right" vertical="center" wrapText="1"/>
    </xf>
    <xf numFmtId="165" fontId="32" fillId="0" borderId="36" xfId="14" applyNumberFormat="1" applyFont="1" applyBorder="1"/>
    <xf numFmtId="3" fontId="32" fillId="0" borderId="36" xfId="14" applyNumberFormat="1" applyFont="1" applyBorder="1"/>
    <xf numFmtId="9" fontId="11" fillId="0" borderId="8" xfId="17" applyFont="1" applyFill="1" applyBorder="1" applyAlignment="1">
      <alignment horizontal="center" vertical="center" wrapText="1"/>
    </xf>
    <xf numFmtId="165" fontId="11" fillId="0" borderId="14" xfId="4" applyNumberFormat="1" applyFont="1" applyFill="1" applyBorder="1" applyAlignment="1">
      <alignment vertical="center" wrapText="1"/>
    </xf>
    <xf numFmtId="9" fontId="11" fillId="0" borderId="2" xfId="17" applyFont="1" applyFill="1" applyBorder="1" applyAlignment="1">
      <alignment horizontal="center" vertical="center" wrapText="1"/>
    </xf>
    <xf numFmtId="165" fontId="11" fillId="0" borderId="16" xfId="4" applyNumberFormat="1" applyFont="1" applyFill="1" applyBorder="1" applyAlignment="1">
      <alignment vertical="center" wrapText="1"/>
    </xf>
    <xf numFmtId="165" fontId="11" fillId="0" borderId="18" xfId="4" applyNumberFormat="1" applyFont="1" applyFill="1" applyBorder="1" applyAlignment="1">
      <alignment vertical="center" wrapText="1"/>
    </xf>
    <xf numFmtId="3" fontId="31" fillId="0" borderId="20" xfId="14" applyNumberFormat="1" applyFont="1" applyBorder="1" applyAlignment="1">
      <alignment horizontal="right" vertical="center" wrapText="1"/>
    </xf>
    <xf numFmtId="3" fontId="31" fillId="0" borderId="12" xfId="14" applyNumberFormat="1" applyFont="1" applyBorder="1" applyAlignment="1">
      <alignment horizontal="right" vertical="center" wrapText="1"/>
    </xf>
    <xf numFmtId="9" fontId="31" fillId="0" borderId="3" xfId="17" applyFont="1" applyFill="1" applyBorder="1" applyAlignment="1">
      <alignment horizontal="right" vertical="center" wrapText="1"/>
    </xf>
    <xf numFmtId="3" fontId="21" fillId="0" borderId="0" xfId="14" applyNumberFormat="1" applyFont="1"/>
    <xf numFmtId="3" fontId="31" fillId="0" borderId="0" xfId="14" applyNumberFormat="1" applyFont="1" applyAlignment="1">
      <alignment horizontal="right" vertical="center" wrapText="1"/>
    </xf>
    <xf numFmtId="0" fontId="5" fillId="0" borderId="38" xfId="14" applyFont="1" applyBorder="1" applyAlignment="1">
      <alignment horizontal="center" vertical="center" wrapText="1"/>
    </xf>
    <xf numFmtId="0" fontId="5" fillId="0" borderId="40" xfId="14" applyFont="1" applyBorder="1" applyAlignment="1">
      <alignment horizontal="justify" vertical="center" wrapText="1"/>
    </xf>
    <xf numFmtId="3" fontId="5" fillId="0" borderId="40" xfId="14" applyNumberFormat="1" applyFont="1" applyBorder="1" applyAlignment="1">
      <alignment vertical="center" wrapText="1"/>
    </xf>
    <xf numFmtId="165" fontId="9" fillId="0" borderId="40" xfId="4" applyNumberFormat="1" applyFont="1" applyFill="1" applyBorder="1" applyAlignment="1">
      <alignment horizontal="center" vertical="center" wrapText="1"/>
    </xf>
    <xf numFmtId="165" fontId="27" fillId="0" borderId="34" xfId="4" applyNumberFormat="1" applyFont="1" applyFill="1" applyBorder="1" applyAlignment="1">
      <alignment horizontal="center" vertical="center" wrapText="1"/>
    </xf>
    <xf numFmtId="165" fontId="9" fillId="0" borderId="44" xfId="4" applyNumberFormat="1" applyFont="1" applyFill="1" applyBorder="1" applyAlignment="1">
      <alignment horizontal="center" vertical="center" wrapText="1"/>
    </xf>
    <xf numFmtId="0" fontId="5" fillId="0" borderId="5" xfId="14" applyFont="1" applyBorder="1" applyAlignment="1">
      <alignment horizontal="center" vertical="center" wrapText="1"/>
    </xf>
    <xf numFmtId="0" fontId="5" fillId="0" borderId="6" xfId="14" applyFont="1" applyBorder="1" applyAlignment="1">
      <alignment horizontal="justify" vertical="center" wrapText="1"/>
    </xf>
    <xf numFmtId="3" fontId="5" fillId="0" borderId="6" xfId="14" applyNumberFormat="1" applyFont="1" applyBorder="1" applyAlignment="1">
      <alignment horizontal="right" vertical="center" wrapText="1"/>
    </xf>
    <xf numFmtId="165" fontId="5" fillId="0" borderId="18" xfId="4" applyNumberFormat="1" applyFont="1" applyFill="1" applyBorder="1" applyAlignment="1">
      <alignment vertical="center" wrapText="1"/>
    </xf>
    <xf numFmtId="0" fontId="6" fillId="0" borderId="10" xfId="14" applyFont="1" applyBorder="1" applyAlignment="1">
      <alignment horizontal="center" vertical="center" wrapText="1"/>
    </xf>
    <xf numFmtId="0" fontId="6" fillId="0" borderId="2" xfId="14" applyFont="1" applyBorder="1" applyAlignment="1">
      <alignment horizontal="center" vertical="center" wrapText="1"/>
    </xf>
    <xf numFmtId="0" fontId="6" fillId="0" borderId="2" xfId="14" applyFont="1" applyBorder="1" applyAlignment="1">
      <alignment horizontal="justify" vertical="center" wrapText="1"/>
    </xf>
    <xf numFmtId="3" fontId="6" fillId="0" borderId="2" xfId="14" applyNumberFormat="1" applyFont="1" applyBorder="1" applyAlignment="1">
      <alignment horizontal="right" vertical="center" wrapText="1"/>
    </xf>
    <xf numFmtId="165" fontId="9" fillId="0" borderId="16" xfId="4" applyNumberFormat="1" applyFont="1" applyFill="1" applyBorder="1" applyAlignment="1">
      <alignment vertical="center" wrapText="1"/>
    </xf>
    <xf numFmtId="0" fontId="2" fillId="0" borderId="2" xfId="14" applyBorder="1"/>
    <xf numFmtId="0" fontId="5" fillId="0" borderId="6" xfId="14" applyFont="1" applyBorder="1" applyAlignment="1">
      <alignment horizontal="center" vertical="center" wrapText="1"/>
    </xf>
    <xf numFmtId="0" fontId="1" fillId="0" borderId="11" xfId="14" applyFont="1" applyBorder="1"/>
    <xf numFmtId="165" fontId="9" fillId="0" borderId="18" xfId="4" applyNumberFormat="1" applyFont="1" applyFill="1" applyBorder="1" applyAlignment="1">
      <alignment vertical="center" wrapText="1"/>
    </xf>
    <xf numFmtId="0" fontId="5" fillId="0" borderId="10" xfId="14" applyFont="1" applyBorder="1" applyAlignment="1">
      <alignment horizontal="center" vertical="center" wrapText="1"/>
    </xf>
    <xf numFmtId="0" fontId="5" fillId="0" borderId="2" xfId="14" applyFont="1" applyBorder="1" applyAlignment="1">
      <alignment horizontal="center" vertical="center" wrapText="1"/>
    </xf>
    <xf numFmtId="0" fontId="5" fillId="0" borderId="2" xfId="14" applyFont="1" applyBorder="1" applyAlignment="1">
      <alignment horizontal="justify" vertical="center" wrapText="1"/>
    </xf>
    <xf numFmtId="3" fontId="5" fillId="0" borderId="2" xfId="14" applyNumberFormat="1" applyFont="1" applyBorder="1" applyAlignment="1">
      <alignment horizontal="right" vertical="center" wrapText="1"/>
    </xf>
    <xf numFmtId="0" fontId="6" fillId="0" borderId="4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justify" vertical="center" wrapText="1"/>
    </xf>
    <xf numFmtId="3" fontId="6" fillId="0" borderId="1" xfId="14" applyNumberFormat="1" applyFont="1" applyBorder="1" applyAlignment="1">
      <alignment horizontal="right" vertical="center" wrapText="1"/>
    </xf>
    <xf numFmtId="0" fontId="6" fillId="0" borderId="43" xfId="14" applyFont="1" applyBorder="1" applyAlignment="1">
      <alignment horizontal="center" vertical="center" wrapText="1"/>
    </xf>
    <xf numFmtId="0" fontId="4" fillId="0" borderId="26" xfId="14" applyFont="1" applyBorder="1" applyAlignment="1">
      <alignment horizontal="justify" vertical="center" wrapText="1"/>
    </xf>
    <xf numFmtId="0" fontId="29" fillId="0" borderId="0" xfId="14" applyFont="1" applyAlignment="1">
      <alignment horizontal="center"/>
    </xf>
    <xf numFmtId="0" fontId="2" fillId="0" borderId="7" xfId="14" applyBorder="1"/>
    <xf numFmtId="3" fontId="2" fillId="0" borderId="8" xfId="14" applyNumberFormat="1" applyBorder="1"/>
    <xf numFmtId="0" fontId="2" fillId="0" borderId="8" xfId="14" applyBorder="1"/>
    <xf numFmtId="165" fontId="25" fillId="0" borderId="9" xfId="1" applyNumberFormat="1" applyFont="1" applyFill="1" applyBorder="1" applyAlignment="1">
      <alignment horizontal="center" vertical="center" wrapText="1"/>
    </xf>
    <xf numFmtId="165" fontId="4" fillId="0" borderId="35" xfId="14" applyNumberFormat="1" applyFont="1" applyBorder="1" applyAlignment="1">
      <alignment horizontal="center" vertical="center" wrapText="1"/>
    </xf>
    <xf numFmtId="0" fontId="2" fillId="0" borderId="10" xfId="14" applyBorder="1"/>
    <xf numFmtId="165" fontId="25" fillId="0" borderId="1" xfId="1" applyNumberFormat="1" applyFont="1" applyFill="1" applyBorder="1" applyAlignment="1">
      <alignment horizontal="center" vertical="center" wrapText="1"/>
    </xf>
    <xf numFmtId="0" fontId="2" fillId="0" borderId="5" xfId="14" applyBorder="1"/>
    <xf numFmtId="0" fontId="2" fillId="0" borderId="6" xfId="14" applyBorder="1"/>
    <xf numFmtId="165" fontId="25" fillId="0" borderId="6" xfId="1" applyNumberFormat="1" applyFont="1" applyFill="1" applyBorder="1" applyAlignment="1">
      <alignment horizontal="center" vertical="center" wrapText="1"/>
    </xf>
    <xf numFmtId="0" fontId="2" fillId="0" borderId="4" xfId="14" applyBorder="1"/>
    <xf numFmtId="0" fontId="2" fillId="0" borderId="1" xfId="14" applyBorder="1"/>
    <xf numFmtId="0" fontId="2" fillId="0" borderId="42" xfId="14" applyBorder="1"/>
    <xf numFmtId="0" fontId="2" fillId="0" borderId="12" xfId="14" applyBorder="1"/>
    <xf numFmtId="165" fontId="25" fillId="0" borderId="3" xfId="1" applyNumberFormat="1" applyFont="1" applyFill="1" applyBorder="1" applyAlignment="1">
      <alignment horizontal="center" vertical="center" wrapText="1"/>
    </xf>
    <xf numFmtId="0" fontId="2" fillId="0" borderId="24" xfId="14" applyBorder="1" applyAlignment="1">
      <alignment horizontal="center"/>
    </xf>
    <xf numFmtId="0" fontId="2" fillId="0" borderId="25" xfId="14" applyBorder="1"/>
    <xf numFmtId="0" fontId="2" fillId="0" borderId="26" xfId="14" applyBorder="1"/>
    <xf numFmtId="165" fontId="25" fillId="0" borderId="26" xfId="1" applyNumberFormat="1" applyFont="1" applyFill="1" applyBorder="1" applyAlignment="1">
      <alignment horizontal="center" vertical="center" wrapText="1"/>
    </xf>
    <xf numFmtId="0" fontId="4" fillId="0" borderId="32" xfId="14" applyFont="1" applyBorder="1" applyAlignment="1">
      <alignment horizontal="center" vertical="center" wrapText="1"/>
    </xf>
    <xf numFmtId="164" fontId="4" fillId="0" borderId="32" xfId="1" applyFont="1" applyFill="1" applyBorder="1" applyAlignment="1">
      <alignment horizontal="center" vertical="center" wrapText="1"/>
    </xf>
    <xf numFmtId="0" fontId="2" fillId="0" borderId="48" xfId="14" applyBorder="1" applyAlignment="1">
      <alignment horizontal="center"/>
    </xf>
    <xf numFmtId="0" fontId="2" fillId="0" borderId="49" xfId="14" applyBorder="1"/>
    <xf numFmtId="0" fontId="2" fillId="0" borderId="24" xfId="14" applyBorder="1"/>
    <xf numFmtId="165" fontId="8" fillId="0" borderId="48" xfId="14" applyNumberFormat="1" applyFont="1" applyBorder="1"/>
    <xf numFmtId="165" fontId="8" fillId="0" borderId="24" xfId="14" applyNumberFormat="1" applyFont="1" applyBorder="1"/>
    <xf numFmtId="165" fontId="6" fillId="0" borderId="2" xfId="1" applyNumberFormat="1" applyFont="1" applyFill="1" applyBorder="1" applyAlignment="1">
      <alignment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9" fontId="4" fillId="0" borderId="2" xfId="2" applyFont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9" fontId="6" fillId="0" borderId="3" xfId="2" applyFont="1" applyFill="1" applyBorder="1" applyAlignment="1">
      <alignment horizontal="center" vertical="center" wrapText="1"/>
    </xf>
    <xf numFmtId="9" fontId="6" fillId="0" borderId="12" xfId="2" applyFont="1" applyFill="1" applyBorder="1" applyAlignment="1">
      <alignment horizontal="center" vertical="center" wrapText="1"/>
    </xf>
    <xf numFmtId="9" fontId="6" fillId="0" borderId="2" xfId="2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0" fontId="31" fillId="0" borderId="0" xfId="14" applyFont="1" applyAlignment="1">
      <alignment horizontal="right" vertical="center" wrapText="1"/>
    </xf>
    <xf numFmtId="0" fontId="31" fillId="0" borderId="8" xfId="14" applyFont="1" applyBorder="1" applyAlignment="1">
      <alignment horizontal="center" vertical="center" wrapText="1"/>
    </xf>
    <xf numFmtId="0" fontId="31" fillId="0" borderId="6" xfId="14" applyFont="1" applyBorder="1" applyAlignment="1">
      <alignment horizontal="center" vertical="center" wrapText="1"/>
    </xf>
    <xf numFmtId="0" fontId="31" fillId="0" borderId="0" xfId="14" applyFont="1" applyAlignment="1">
      <alignment horizontal="center" vertical="center" wrapText="1"/>
    </xf>
    <xf numFmtId="0" fontId="31" fillId="0" borderId="45" xfId="14" applyFont="1" applyBorder="1" applyAlignment="1">
      <alignment horizontal="center" vertical="center" wrapText="1"/>
    </xf>
    <xf numFmtId="0" fontId="31" fillId="0" borderId="46" xfId="14" applyFont="1" applyBorder="1" applyAlignment="1">
      <alignment horizontal="center" vertical="center" wrapText="1"/>
    </xf>
    <xf numFmtId="0" fontId="31" fillId="0" borderId="47" xfId="14" applyFont="1" applyBorder="1" applyAlignment="1">
      <alignment horizontal="center" vertical="center" wrapText="1"/>
    </xf>
    <xf numFmtId="0" fontId="31" fillId="0" borderId="11" xfId="14" applyFont="1" applyBorder="1" applyAlignment="1">
      <alignment horizontal="center" vertical="center" wrapText="1"/>
    </xf>
    <xf numFmtId="0" fontId="31" fillId="0" borderId="37" xfId="14" applyFont="1" applyBorder="1" applyAlignment="1">
      <alignment horizontal="center" vertical="center" wrapText="1"/>
    </xf>
    <xf numFmtId="0" fontId="31" fillId="0" borderId="38" xfId="14" applyFont="1" applyBorder="1" applyAlignment="1">
      <alignment horizontal="center" vertical="center" wrapText="1"/>
    </xf>
    <xf numFmtId="9" fontId="31" fillId="0" borderId="8" xfId="17" applyFont="1" applyFill="1" applyBorder="1" applyAlignment="1">
      <alignment horizontal="center" vertical="center" wrapText="1"/>
    </xf>
    <xf numFmtId="9" fontId="31" fillId="0" borderId="6" xfId="17" applyFont="1" applyFill="1" applyBorder="1" applyAlignment="1">
      <alignment horizontal="center" vertical="center" wrapText="1"/>
    </xf>
    <xf numFmtId="0" fontId="31" fillId="0" borderId="9" xfId="14" applyFont="1" applyBorder="1" applyAlignment="1">
      <alignment horizontal="center" vertical="center" wrapText="1"/>
    </xf>
    <xf numFmtId="0" fontId="31" fillId="0" borderId="40" xfId="14" applyFont="1" applyBorder="1" applyAlignment="1">
      <alignment horizontal="center" vertical="center" wrapText="1"/>
    </xf>
    <xf numFmtId="0" fontId="2" fillId="0" borderId="9" xfId="14" applyBorder="1" applyAlignment="1">
      <alignment horizontal="center" vertical="center"/>
    </xf>
    <xf numFmtId="0" fontId="2" fillId="0" borderId="3" xfId="14" applyBorder="1" applyAlignment="1">
      <alignment horizontal="center" vertical="center"/>
    </xf>
    <xf numFmtId="0" fontId="2" fillId="0" borderId="40" xfId="14" applyBorder="1" applyAlignment="1">
      <alignment horizontal="center" vertical="center"/>
    </xf>
    <xf numFmtId="0" fontId="26" fillId="0" borderId="11" xfId="14" applyFont="1" applyBorder="1" applyAlignment="1">
      <alignment horizontal="center" vertical="center" wrapText="1"/>
    </xf>
    <xf numFmtId="0" fontId="2" fillId="0" borderId="13" xfId="14" applyBorder="1" applyAlignment="1">
      <alignment horizontal="center" vertical="center" textRotation="90"/>
    </xf>
    <xf numFmtId="0" fontId="2" fillId="0" borderId="15" xfId="14" applyBorder="1" applyAlignment="1">
      <alignment horizontal="center" vertical="center" textRotation="90"/>
    </xf>
    <xf numFmtId="0" fontId="2" fillId="0" borderId="17" xfId="14" applyBorder="1" applyAlignment="1">
      <alignment horizontal="center" vertical="center" textRotation="90"/>
    </xf>
    <xf numFmtId="0" fontId="2" fillId="0" borderId="13" xfId="14" applyBorder="1" applyAlignment="1">
      <alignment horizontal="center" vertical="center" textRotation="90" wrapText="1"/>
    </xf>
    <xf numFmtId="0" fontId="2" fillId="0" borderId="15" xfId="14" applyBorder="1" applyAlignment="1">
      <alignment horizontal="center" vertical="center" textRotation="90" wrapText="1"/>
    </xf>
    <xf numFmtId="0" fontId="2" fillId="0" borderId="17" xfId="14" applyBorder="1" applyAlignment="1">
      <alignment horizontal="center" vertical="center" textRotation="90" wrapText="1"/>
    </xf>
    <xf numFmtId="0" fontId="2" fillId="0" borderId="19" xfId="14" applyBorder="1" applyAlignment="1">
      <alignment horizontal="center" vertical="center" textRotation="90"/>
    </xf>
    <xf numFmtId="0" fontId="2" fillId="0" borderId="21" xfId="14" applyBorder="1" applyAlignment="1">
      <alignment horizontal="center" vertical="center" textRotation="90"/>
    </xf>
    <xf numFmtId="0" fontId="2" fillId="0" borderId="22" xfId="14" applyBorder="1" applyAlignment="1">
      <alignment horizontal="center" vertical="center" textRotation="90"/>
    </xf>
    <xf numFmtId="0" fontId="3" fillId="0" borderId="0" xfId="14" applyFont="1" applyAlignment="1">
      <alignment horizontal="right" vertical="center" wrapText="1"/>
    </xf>
    <xf numFmtId="0" fontId="26" fillId="0" borderId="0" xfId="14" applyFont="1" applyAlignment="1">
      <alignment horizontal="center" vertical="center" wrapText="1"/>
    </xf>
    <xf numFmtId="0" fontId="4" fillId="0" borderId="0" xfId="14" applyFont="1" applyAlignment="1">
      <alignment horizontal="center" vertical="center" wrapText="1"/>
    </xf>
    <xf numFmtId="0" fontId="4" fillId="0" borderId="37" xfId="14" applyFont="1" applyBorder="1" applyAlignment="1">
      <alignment horizontal="center" vertical="center" wrapText="1"/>
    </xf>
    <xf numFmtId="0" fontId="4" fillId="0" borderId="38" xfId="14" applyFont="1" applyBorder="1" applyAlignment="1">
      <alignment horizontal="center" vertical="center" wrapText="1"/>
    </xf>
    <xf numFmtId="0" fontId="4" fillId="0" borderId="8" xfId="14" applyFont="1" applyBorder="1" applyAlignment="1">
      <alignment horizontal="center" vertical="center" wrapText="1"/>
    </xf>
    <xf numFmtId="0" fontId="4" fillId="0" borderId="6" xfId="14" applyFont="1" applyBorder="1" applyAlignment="1">
      <alignment horizontal="center" vertical="center" wrapText="1"/>
    </xf>
    <xf numFmtId="9" fontId="4" fillId="0" borderId="8" xfId="17" applyFont="1" applyFill="1" applyBorder="1" applyAlignment="1">
      <alignment horizontal="center" vertical="center" wrapText="1"/>
    </xf>
    <xf numFmtId="9" fontId="4" fillId="0" borderId="6" xfId="17" applyFont="1" applyFill="1" applyBorder="1" applyAlignment="1">
      <alignment horizontal="center" vertical="center" wrapText="1"/>
    </xf>
    <xf numFmtId="0" fontId="4" fillId="0" borderId="9" xfId="14" applyFont="1" applyBorder="1" applyAlignment="1">
      <alignment horizontal="center" vertical="center" wrapText="1"/>
    </xf>
    <xf numFmtId="0" fontId="4" fillId="0" borderId="40" xfId="14" applyFont="1" applyBorder="1" applyAlignment="1">
      <alignment horizontal="center" vertical="center" wrapText="1"/>
    </xf>
    <xf numFmtId="0" fontId="4" fillId="0" borderId="45" xfId="14" applyFont="1" applyBorder="1" applyAlignment="1">
      <alignment horizontal="center" vertical="center" wrapText="1"/>
    </xf>
    <xf numFmtId="0" fontId="4" fillId="0" borderId="46" xfId="14" applyFont="1" applyBorder="1" applyAlignment="1">
      <alignment horizontal="center" vertical="center" wrapText="1"/>
    </xf>
    <xf numFmtId="0" fontId="4" fillId="0" borderId="47" xfId="14" applyFont="1" applyBorder="1" applyAlignment="1">
      <alignment horizontal="center" vertical="center" wrapText="1"/>
    </xf>
  </cellXfs>
  <cellStyles count="18">
    <cellStyle name="Comma" xfId="1" builtinId="3"/>
    <cellStyle name="Comma 10 2 2" xfId="3" xr:uid="{00000000-0005-0000-0000-000001000000}"/>
    <cellStyle name="Comma 2" xfId="4" xr:uid="{00000000-0005-0000-0000-000002000000}"/>
    <cellStyle name="Comma 22" xfId="5" xr:uid="{00000000-0005-0000-0000-000003000000}"/>
    <cellStyle name="Comma 4 2 30" xfId="6" xr:uid="{00000000-0005-0000-0000-000004000000}"/>
    <cellStyle name="Normal" xfId="0" builtinId="0"/>
    <cellStyle name="Normal 10 2" xfId="7" xr:uid="{00000000-0005-0000-0000-000006000000}"/>
    <cellStyle name="Normal 10 2 4" xfId="8" xr:uid="{00000000-0005-0000-0000-000007000000}"/>
    <cellStyle name="Normal 10 3" xfId="9" xr:uid="{00000000-0005-0000-0000-000008000000}"/>
    <cellStyle name="Normal 2" xfId="10" xr:uid="{00000000-0005-0000-0000-000009000000}"/>
    <cellStyle name="Normal 2 2 10" xfId="11" xr:uid="{00000000-0005-0000-0000-00000A000000}"/>
    <cellStyle name="Normal 2 2 5" xfId="12" xr:uid="{00000000-0005-0000-0000-00000B000000}"/>
    <cellStyle name="Normal 3" xfId="13" xr:uid="{00000000-0005-0000-0000-00000C000000}"/>
    <cellStyle name="Normal 4" xfId="14" xr:uid="{00000000-0005-0000-0000-00000D000000}"/>
    <cellStyle name="Normal 5" xfId="15" xr:uid="{00000000-0005-0000-0000-00000E000000}"/>
    <cellStyle name="Percent" xfId="2" builtinId="5"/>
    <cellStyle name="Percent 2" xfId="16" xr:uid="{00000000-0005-0000-0000-000010000000}"/>
    <cellStyle name="Percent 3" xfId="17" xr:uid="{00000000-0005-0000-0000-000011000000}"/>
  </cellStyles>
  <dxfs count="0"/>
  <tableStyles count="0" defaultTableStyle="TableStyleMedium2" defaultPivotStyle="PivotStyleLight16"/>
  <colors>
    <mruColors>
      <color rgb="FFFFCC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1"/>
  <sheetViews>
    <sheetView topLeftCell="A2" workbookViewId="0">
      <pane xSplit="2" ySplit="5" topLeftCell="C7" activePane="bottomRight" state="frozen"/>
      <selection pane="topRight"/>
      <selection pane="bottomLeft"/>
      <selection pane="bottomRight" activeCell="O16" sqref="O16"/>
    </sheetView>
  </sheetViews>
  <sheetFormatPr defaultColWidth="9" defaultRowHeight="14.5"/>
  <cols>
    <col min="1" max="1" width="10.1796875" style="27" customWidth="1"/>
    <col min="2" max="2" width="20" customWidth="1"/>
    <col min="3" max="3" width="31.81640625" customWidth="1"/>
    <col min="4" max="4" width="15.453125" hidden="1" customWidth="1"/>
    <col min="5" max="5" width="12.26953125" hidden="1" customWidth="1"/>
    <col min="6" max="6" width="20.54296875" customWidth="1"/>
    <col min="7" max="7" width="15.453125" hidden="1" customWidth="1"/>
    <col min="8" max="8" width="14.7265625" hidden="1" customWidth="1"/>
    <col min="9" max="9" width="12.453125" customWidth="1"/>
    <col min="10" max="20" width="14.26953125" customWidth="1"/>
    <col min="21" max="21" width="15.26953125" customWidth="1"/>
    <col min="22" max="22" width="16.54296875" customWidth="1"/>
    <col min="23" max="23" width="15.26953125" customWidth="1"/>
    <col min="24" max="24" width="24.26953125" customWidth="1"/>
  </cols>
  <sheetData>
    <row r="1" spans="1:24">
      <c r="C1" s="275" t="s">
        <v>0</v>
      </c>
    </row>
    <row r="2" spans="1:24">
      <c r="C2" s="275"/>
      <c r="F2" s="22"/>
      <c r="G2" s="22"/>
      <c r="H2" s="22"/>
    </row>
    <row r="3" spans="1:24">
      <c r="C3" s="17"/>
      <c r="J3" s="55">
        <f>+K43+J45+K46</f>
        <v>0</v>
      </c>
      <c r="K3" s="56">
        <f>+K34+K36+K41+K42</f>
        <v>0</v>
      </c>
      <c r="L3" s="25">
        <f>+K34+K36+K41</f>
        <v>0</v>
      </c>
    </row>
    <row r="4" spans="1:24">
      <c r="C4" s="17"/>
    </row>
    <row r="5" spans="1:24" ht="28.5" customHeight="1">
      <c r="A5" s="273" t="s">
        <v>1</v>
      </c>
      <c r="B5" s="276" t="s">
        <v>2</v>
      </c>
      <c r="C5" s="276" t="s">
        <v>3</v>
      </c>
      <c r="D5" s="18" t="s">
        <v>4</v>
      </c>
      <c r="E5" s="278" t="s">
        <v>5</v>
      </c>
      <c r="F5" s="276" t="s">
        <v>6</v>
      </c>
      <c r="G5" s="273" t="s">
        <v>7</v>
      </c>
      <c r="H5" s="273" t="s">
        <v>7</v>
      </c>
      <c r="I5" s="294" t="s">
        <v>8</v>
      </c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85"/>
    </row>
    <row r="6" spans="1:24" ht="27" customHeight="1">
      <c r="A6" s="274"/>
      <c r="B6" s="276"/>
      <c r="C6" s="276"/>
      <c r="D6" s="18" t="s">
        <v>9</v>
      </c>
      <c r="E6" s="278"/>
      <c r="F6" s="276"/>
      <c r="G6" s="274"/>
      <c r="H6" s="274"/>
      <c r="I6" s="57" t="s">
        <v>10</v>
      </c>
      <c r="J6" s="57" t="s">
        <v>11</v>
      </c>
      <c r="K6" s="57" t="s">
        <v>12</v>
      </c>
      <c r="L6" s="57" t="s">
        <v>13</v>
      </c>
      <c r="M6" s="57" t="s">
        <v>14</v>
      </c>
      <c r="N6" s="57" t="s">
        <v>15</v>
      </c>
      <c r="O6" s="57" t="s">
        <v>16</v>
      </c>
      <c r="P6" s="57" t="s">
        <v>17</v>
      </c>
      <c r="Q6" s="57" t="s">
        <v>18</v>
      </c>
      <c r="R6" s="57" t="s">
        <v>19</v>
      </c>
      <c r="S6" s="57" t="s">
        <v>20</v>
      </c>
      <c r="T6" s="57" t="s">
        <v>21</v>
      </c>
      <c r="U6" s="86">
        <v>2025</v>
      </c>
      <c r="X6" s="87" t="s">
        <v>22</v>
      </c>
    </row>
    <row r="7" spans="1:24">
      <c r="A7" s="284" t="s">
        <v>23</v>
      </c>
      <c r="B7" s="284" t="s">
        <v>24</v>
      </c>
      <c r="C7" s="28" t="s">
        <v>25</v>
      </c>
      <c r="D7" s="29">
        <v>1560000000</v>
      </c>
      <c r="E7" s="279">
        <v>0.4</v>
      </c>
      <c r="F7" s="296">
        <f>2540000000*0.4</f>
        <v>1016000000</v>
      </c>
      <c r="G7" s="31">
        <f>SUM(I7:T7)</f>
        <v>960000000</v>
      </c>
      <c r="H7" s="31">
        <f>+U7</f>
        <v>600000000</v>
      </c>
      <c r="I7" s="58"/>
      <c r="J7" s="59"/>
      <c r="K7" s="59"/>
      <c r="L7" s="60"/>
      <c r="M7" s="61"/>
      <c r="N7" s="60"/>
      <c r="O7" s="61"/>
      <c r="P7" s="60"/>
      <c r="Q7" s="61">
        <v>450000000</v>
      </c>
      <c r="R7" s="60"/>
      <c r="S7" s="61"/>
      <c r="T7" s="60">
        <v>510000000</v>
      </c>
      <c r="U7" s="51">
        <f>+(D7)-Q7-T7</f>
        <v>600000000</v>
      </c>
      <c r="V7" s="25">
        <f>SUM(L7:T7)</f>
        <v>960000000</v>
      </c>
      <c r="X7" s="23">
        <f>SUM(I7:T10)</f>
        <v>960000000</v>
      </c>
    </row>
    <row r="8" spans="1:24">
      <c r="A8" s="285"/>
      <c r="B8" s="285"/>
      <c r="C8" s="20" t="s">
        <v>26</v>
      </c>
      <c r="D8" s="29">
        <v>680000000</v>
      </c>
      <c r="E8" s="280"/>
      <c r="F8" s="297"/>
      <c r="G8" s="31">
        <f t="shared" ref="G8:G10" si="0">SUM(I8:T8)</f>
        <v>0</v>
      </c>
      <c r="H8" s="31">
        <f t="shared" ref="H8:H12" si="1">+U8</f>
        <v>0</v>
      </c>
      <c r="I8" s="58"/>
      <c r="J8" s="59"/>
      <c r="K8" s="59"/>
      <c r="L8" s="60"/>
      <c r="M8" s="61"/>
      <c r="N8" s="60"/>
      <c r="O8" s="61"/>
      <c r="P8" s="60"/>
      <c r="Q8" s="61"/>
      <c r="R8" s="60"/>
      <c r="S8" s="61"/>
      <c r="T8" s="60"/>
      <c r="U8" s="51"/>
      <c r="V8" s="25">
        <f t="shared" ref="V8:V23" si="2">SUM(L8:T8)</f>
        <v>0</v>
      </c>
      <c r="X8" s="87"/>
    </row>
    <row r="9" spans="1:24">
      <c r="A9" s="285"/>
      <c r="B9" s="285"/>
      <c r="C9" s="20" t="s">
        <v>27</v>
      </c>
      <c r="D9" s="29">
        <v>200000000</v>
      </c>
      <c r="E9" s="280"/>
      <c r="F9" s="297"/>
      <c r="G9" s="31">
        <f t="shared" si="0"/>
        <v>0</v>
      </c>
      <c r="H9" s="31">
        <f t="shared" si="1"/>
        <v>0</v>
      </c>
      <c r="I9" s="58"/>
      <c r="J9" s="59"/>
      <c r="K9" s="59"/>
      <c r="L9" s="60"/>
      <c r="M9" s="61"/>
      <c r="N9" s="60"/>
      <c r="O9" s="61"/>
      <c r="P9" s="60"/>
      <c r="Q9" s="61"/>
      <c r="R9" s="60"/>
      <c r="S9" s="61"/>
      <c r="T9" s="60"/>
      <c r="U9" s="51"/>
      <c r="V9" s="25">
        <f t="shared" si="2"/>
        <v>0</v>
      </c>
      <c r="X9" s="87"/>
    </row>
    <row r="10" spans="1:24" ht="28">
      <c r="A10" s="285"/>
      <c r="B10" s="286"/>
      <c r="C10" s="33" t="s">
        <v>28</v>
      </c>
      <c r="D10" s="29">
        <v>100000000</v>
      </c>
      <c r="E10" s="281"/>
      <c r="F10" s="298"/>
      <c r="G10" s="31">
        <f t="shared" si="0"/>
        <v>0</v>
      </c>
      <c r="H10" s="31">
        <f t="shared" si="1"/>
        <v>0</v>
      </c>
      <c r="I10" s="59"/>
      <c r="J10" s="59"/>
      <c r="K10" s="59"/>
      <c r="L10" s="60"/>
      <c r="M10" s="61"/>
      <c r="N10" s="60"/>
      <c r="O10" s="61"/>
      <c r="P10" s="60"/>
      <c r="Q10" s="61"/>
      <c r="R10" s="60"/>
      <c r="S10" s="61"/>
      <c r="T10" s="60"/>
      <c r="U10" s="51"/>
      <c r="V10" s="25">
        <f t="shared" si="2"/>
        <v>0</v>
      </c>
      <c r="W10" s="88">
        <f>+V7+V10</f>
        <v>960000000</v>
      </c>
      <c r="X10" s="87"/>
    </row>
    <row r="11" spans="1:24">
      <c r="A11" s="285"/>
      <c r="B11" s="287" t="s">
        <v>29</v>
      </c>
      <c r="C11" s="20" t="s">
        <v>30</v>
      </c>
      <c r="D11" s="35">
        <v>130900000</v>
      </c>
      <c r="E11" s="282">
        <v>0.9</v>
      </c>
      <c r="F11" s="271">
        <f>+(D11+D12)*0.9</f>
        <v>232101000</v>
      </c>
      <c r="G11" s="37">
        <f t="shared" ref="G11:G16" si="3">SUM(I11:T11)</f>
        <v>0</v>
      </c>
      <c r="H11" s="37">
        <f t="shared" si="1"/>
        <v>0</v>
      </c>
      <c r="I11" s="58"/>
      <c r="J11" s="59"/>
      <c r="K11" s="59"/>
      <c r="L11" s="60"/>
      <c r="M11" s="61"/>
      <c r="N11" s="60"/>
      <c r="O11" s="61"/>
      <c r="P11" s="60"/>
      <c r="Q11" s="61"/>
      <c r="R11" s="60"/>
      <c r="S11" s="61"/>
      <c r="T11" s="60"/>
      <c r="U11" s="51"/>
      <c r="V11" s="25">
        <f t="shared" si="2"/>
        <v>0</v>
      </c>
      <c r="W11" s="25">
        <f>+V11+W23</f>
        <v>0</v>
      </c>
      <c r="X11" s="23">
        <f>SUM(I11:T12)+SUM(I22:T23)</f>
        <v>0</v>
      </c>
    </row>
    <row r="12" spans="1:24">
      <c r="A12" s="285"/>
      <c r="B12" s="287"/>
      <c r="C12" s="20" t="s">
        <v>31</v>
      </c>
      <c r="D12" s="35">
        <v>126990000</v>
      </c>
      <c r="E12" s="282"/>
      <c r="F12" s="271"/>
      <c r="G12" s="37">
        <f t="shared" si="3"/>
        <v>0</v>
      </c>
      <c r="H12" s="37">
        <f t="shared" si="1"/>
        <v>0</v>
      </c>
      <c r="I12" s="58"/>
      <c r="J12" s="59"/>
      <c r="K12" s="59"/>
      <c r="L12" s="60"/>
      <c r="M12" s="61"/>
      <c r="N12" s="60"/>
      <c r="O12" s="61"/>
      <c r="P12" s="60"/>
      <c r="Q12" s="61"/>
      <c r="R12" s="60"/>
      <c r="S12" s="61"/>
      <c r="T12" s="60"/>
      <c r="U12" s="51"/>
      <c r="V12" s="25">
        <f t="shared" si="2"/>
        <v>0</v>
      </c>
      <c r="W12" s="25"/>
      <c r="X12" s="87"/>
    </row>
    <row r="13" spans="1:24" ht="28">
      <c r="A13" s="285"/>
      <c r="B13" s="19" t="s">
        <v>32</v>
      </c>
      <c r="C13" s="20" t="s">
        <v>33</v>
      </c>
      <c r="D13" s="29">
        <v>360000000</v>
      </c>
      <c r="E13" s="36">
        <v>1</v>
      </c>
      <c r="F13" s="37">
        <f>E13*D13</f>
        <v>360000000</v>
      </c>
      <c r="G13" s="37">
        <f t="shared" si="3"/>
        <v>0</v>
      </c>
      <c r="H13" s="37"/>
      <c r="I13" s="59"/>
      <c r="J13" s="58"/>
      <c r="K13" s="58"/>
      <c r="L13" s="62"/>
      <c r="M13" s="63"/>
      <c r="N13" s="62"/>
      <c r="O13" s="63"/>
      <c r="P13" s="62"/>
      <c r="Q13" s="63"/>
      <c r="R13" s="62"/>
      <c r="S13" s="63"/>
      <c r="T13" s="62"/>
      <c r="U13" s="37"/>
      <c r="V13" s="88">
        <f t="shared" si="2"/>
        <v>0</v>
      </c>
      <c r="X13" s="23">
        <f>SUM(I13:T13)</f>
        <v>0</v>
      </c>
    </row>
    <row r="14" spans="1:24" ht="28">
      <c r="A14" s="285"/>
      <c r="B14" s="283" t="s">
        <v>34</v>
      </c>
      <c r="C14" s="38" t="s">
        <v>35</v>
      </c>
      <c r="D14" s="35">
        <v>112000000</v>
      </c>
      <c r="E14" s="282">
        <v>1</v>
      </c>
      <c r="F14" s="271">
        <v>202000000</v>
      </c>
      <c r="G14" s="37">
        <f t="shared" si="3"/>
        <v>0</v>
      </c>
      <c r="H14" s="37">
        <f>SUM(U14)</f>
        <v>0</v>
      </c>
      <c r="I14" s="64"/>
      <c r="J14" s="65"/>
      <c r="K14" s="65"/>
      <c r="L14" s="66"/>
      <c r="M14" s="67"/>
      <c r="N14" s="66"/>
      <c r="O14" s="67"/>
      <c r="P14" s="66"/>
      <c r="Q14" s="67"/>
      <c r="R14" s="66"/>
      <c r="S14" s="67"/>
      <c r="T14" s="66"/>
      <c r="U14" s="30"/>
      <c r="V14" s="25">
        <f t="shared" si="2"/>
        <v>0</v>
      </c>
      <c r="X14" s="23">
        <f>SUM(I14:T15)</f>
        <v>0</v>
      </c>
    </row>
    <row r="15" spans="1:24">
      <c r="A15" s="285"/>
      <c r="B15" s="283"/>
      <c r="C15" s="20" t="s">
        <v>36</v>
      </c>
      <c r="D15" s="35">
        <v>90000000</v>
      </c>
      <c r="E15" s="282"/>
      <c r="F15" s="271"/>
      <c r="G15" s="37">
        <f t="shared" si="3"/>
        <v>0</v>
      </c>
      <c r="H15" s="37">
        <f>SUM(U15)</f>
        <v>0</v>
      </c>
      <c r="I15" s="68"/>
      <c r="J15" s="69"/>
      <c r="K15" s="69"/>
      <c r="L15" s="70"/>
      <c r="M15" s="71"/>
      <c r="N15" s="70"/>
      <c r="O15" s="71"/>
      <c r="P15" s="70"/>
      <c r="Q15" s="71"/>
      <c r="R15" s="70"/>
      <c r="S15" s="71"/>
      <c r="T15" s="70"/>
      <c r="U15" s="34"/>
      <c r="V15" s="25">
        <f t="shared" si="2"/>
        <v>0</v>
      </c>
      <c r="W15" s="88">
        <f>+V15+11200000</f>
        <v>11200000</v>
      </c>
      <c r="X15" s="87"/>
    </row>
    <row r="16" spans="1:24" ht="28">
      <c r="A16" s="285"/>
      <c r="B16" s="283" t="s">
        <v>37</v>
      </c>
      <c r="C16" s="20" t="s">
        <v>38</v>
      </c>
      <c r="D16" s="35">
        <v>153000000</v>
      </c>
      <c r="E16" s="282">
        <v>0.75</v>
      </c>
      <c r="F16" s="271">
        <f>243000000*0.75</f>
        <v>182250000</v>
      </c>
      <c r="G16" s="37">
        <f t="shared" si="3"/>
        <v>0</v>
      </c>
      <c r="H16" s="37">
        <f>SUM(U16)</f>
        <v>0</v>
      </c>
      <c r="I16" s="64"/>
      <c r="J16" s="65"/>
      <c r="K16" s="65"/>
      <c r="L16" s="66"/>
      <c r="M16" s="67"/>
      <c r="N16" s="66"/>
      <c r="O16" s="67"/>
      <c r="P16" s="66"/>
      <c r="Q16" s="67"/>
      <c r="R16" s="66"/>
      <c r="S16" s="67"/>
      <c r="T16" s="66"/>
      <c r="U16" s="30"/>
      <c r="V16" s="25">
        <f t="shared" si="2"/>
        <v>0</v>
      </c>
      <c r="X16" s="23">
        <f>SUM(I16:T18)</f>
        <v>0</v>
      </c>
    </row>
    <row r="17" spans="1:24">
      <c r="A17" s="285"/>
      <c r="B17" s="283"/>
      <c r="C17" s="20" t="s">
        <v>39</v>
      </c>
      <c r="D17" s="35">
        <v>50000000</v>
      </c>
      <c r="E17" s="282"/>
      <c r="F17" s="271"/>
      <c r="G17" s="37">
        <f t="shared" ref="G17:G19" si="4">SUM(I17:T17)</f>
        <v>0</v>
      </c>
      <c r="H17" s="37">
        <f t="shared" ref="H17:H19" si="5">SUM(U17)</f>
        <v>0</v>
      </c>
      <c r="I17" s="72"/>
      <c r="J17" s="73"/>
      <c r="K17" s="73"/>
      <c r="L17" s="74"/>
      <c r="M17" s="75"/>
      <c r="N17" s="74"/>
      <c r="O17" s="75"/>
      <c r="P17" s="74"/>
      <c r="Q17" s="75"/>
      <c r="R17" s="74"/>
      <c r="S17" s="75"/>
      <c r="T17" s="74"/>
      <c r="U17" s="32"/>
      <c r="V17" s="25">
        <f t="shared" si="2"/>
        <v>0</v>
      </c>
      <c r="W17" s="88">
        <f>+W18+122400000</f>
        <v>122400000</v>
      </c>
      <c r="X17" s="87"/>
    </row>
    <row r="18" spans="1:24">
      <c r="A18" s="285"/>
      <c r="B18" s="283"/>
      <c r="C18" s="20" t="s">
        <v>40</v>
      </c>
      <c r="D18" s="35">
        <v>40000000</v>
      </c>
      <c r="E18" s="282"/>
      <c r="F18" s="271"/>
      <c r="G18" s="37">
        <f t="shared" si="4"/>
        <v>0</v>
      </c>
      <c r="H18" s="37">
        <f t="shared" si="5"/>
        <v>0</v>
      </c>
      <c r="I18" s="68"/>
      <c r="J18" s="69"/>
      <c r="K18" s="69"/>
      <c r="L18" s="70"/>
      <c r="M18" s="71"/>
      <c r="N18" s="70"/>
      <c r="O18" s="71"/>
      <c r="P18" s="70"/>
      <c r="Q18" s="71"/>
      <c r="R18" s="70"/>
      <c r="S18" s="71"/>
      <c r="T18" s="70"/>
      <c r="U18" s="34"/>
      <c r="V18" s="25">
        <f t="shared" si="2"/>
        <v>0</v>
      </c>
      <c r="W18" s="25">
        <f>+V16+V18</f>
        <v>0</v>
      </c>
      <c r="X18" s="87"/>
    </row>
    <row r="19" spans="1:24">
      <c r="A19" s="285"/>
      <c r="B19" s="288" t="s">
        <v>41</v>
      </c>
      <c r="C19" s="20" t="s">
        <v>42</v>
      </c>
      <c r="D19" s="35">
        <v>282000000</v>
      </c>
      <c r="E19" s="282">
        <v>1</v>
      </c>
      <c r="F19" s="271">
        <v>437000000</v>
      </c>
      <c r="G19" s="31">
        <f t="shared" si="4"/>
        <v>0</v>
      </c>
      <c r="H19" s="31">
        <f t="shared" si="5"/>
        <v>0</v>
      </c>
      <c r="I19" s="64"/>
      <c r="J19" s="65"/>
      <c r="K19" s="65"/>
      <c r="L19" s="66"/>
      <c r="M19" s="67"/>
      <c r="N19" s="66"/>
      <c r="O19" s="67"/>
      <c r="P19" s="66"/>
      <c r="Q19" s="67"/>
      <c r="R19" s="66"/>
      <c r="S19" s="67"/>
      <c r="T19" s="66"/>
      <c r="U19" s="30"/>
      <c r="V19" s="25">
        <f t="shared" si="2"/>
        <v>0</v>
      </c>
      <c r="X19" s="23">
        <f>SUM(I19:T21)</f>
        <v>0</v>
      </c>
    </row>
    <row r="20" spans="1:24">
      <c r="A20" s="285"/>
      <c r="B20" s="288"/>
      <c r="C20" s="20" t="s">
        <v>43</v>
      </c>
      <c r="D20" s="35">
        <v>35000000</v>
      </c>
      <c r="E20" s="282"/>
      <c r="F20" s="271"/>
      <c r="G20" s="31">
        <f t="shared" ref="G20:G21" si="6">SUM(I20:T20)</f>
        <v>0</v>
      </c>
      <c r="H20" s="31">
        <f t="shared" ref="H20:H21" si="7">SUM(U20)</f>
        <v>0</v>
      </c>
      <c r="I20" s="72"/>
      <c r="J20" s="73"/>
      <c r="K20" s="73"/>
      <c r="L20" s="74"/>
      <c r="M20" s="75"/>
      <c r="N20" s="74"/>
      <c r="O20" s="75"/>
      <c r="P20" s="74"/>
      <c r="Q20" s="75"/>
      <c r="R20" s="74"/>
      <c r="S20" s="75"/>
      <c r="T20" s="74"/>
      <c r="U20" s="32"/>
      <c r="V20" s="25">
        <f t="shared" si="2"/>
        <v>0</v>
      </c>
      <c r="W20" s="88">
        <f>+W21+287250000</f>
        <v>287250000</v>
      </c>
      <c r="X20" s="87"/>
    </row>
    <row r="21" spans="1:24">
      <c r="A21" s="285"/>
      <c r="B21" s="288"/>
      <c r="C21" s="20" t="s">
        <v>44</v>
      </c>
      <c r="D21" s="35">
        <v>120000000</v>
      </c>
      <c r="E21" s="282"/>
      <c r="F21" s="271"/>
      <c r="G21" s="31">
        <f t="shared" si="6"/>
        <v>0</v>
      </c>
      <c r="H21" s="31">
        <f t="shared" si="7"/>
        <v>0</v>
      </c>
      <c r="I21" s="68"/>
      <c r="J21" s="69"/>
      <c r="K21" s="69"/>
      <c r="L21" s="70"/>
      <c r="M21" s="71"/>
      <c r="N21" s="70"/>
      <c r="O21" s="71"/>
      <c r="P21" s="70"/>
      <c r="Q21" s="71"/>
      <c r="R21" s="70"/>
      <c r="S21" s="71"/>
      <c r="T21" s="70"/>
      <c r="U21" s="34"/>
      <c r="V21" s="25">
        <f t="shared" si="2"/>
        <v>0</v>
      </c>
      <c r="W21" s="25">
        <f>+V21+V20</f>
        <v>0</v>
      </c>
      <c r="X21" s="87"/>
    </row>
    <row r="22" spans="1:24" ht="28">
      <c r="A22" s="285"/>
      <c r="B22" s="289" t="s">
        <v>45</v>
      </c>
      <c r="C22" s="33" t="s">
        <v>46</v>
      </c>
      <c r="D22" s="29">
        <v>130900000</v>
      </c>
      <c r="E22" s="279">
        <v>1</v>
      </c>
      <c r="F22" s="296">
        <v>243900000</v>
      </c>
      <c r="G22" s="30">
        <f t="shared" ref="G22:G24" si="8">SUM(I22:T22)</f>
        <v>0</v>
      </c>
      <c r="H22" s="30">
        <f>+U22</f>
        <v>0</v>
      </c>
      <c r="I22" s="58"/>
      <c r="J22" s="58"/>
      <c r="K22" s="58"/>
      <c r="L22" s="62"/>
      <c r="M22" s="63"/>
      <c r="N22" s="62"/>
      <c r="O22" s="63"/>
      <c r="P22" s="62"/>
      <c r="Q22" s="63"/>
      <c r="R22" s="62"/>
      <c r="S22" s="63"/>
      <c r="T22" s="62"/>
      <c r="U22" s="37"/>
      <c r="V22" s="25">
        <f t="shared" si="2"/>
        <v>0</v>
      </c>
      <c r="X22" s="87"/>
    </row>
    <row r="23" spans="1:24">
      <c r="A23" s="285"/>
      <c r="B23" s="290"/>
      <c r="C23" s="33" t="s">
        <v>47</v>
      </c>
      <c r="D23" s="29">
        <v>113000000</v>
      </c>
      <c r="E23" s="281"/>
      <c r="F23" s="298"/>
      <c r="G23" s="30">
        <f t="shared" si="8"/>
        <v>0</v>
      </c>
      <c r="H23" s="30">
        <f>+U23</f>
        <v>0</v>
      </c>
      <c r="I23" s="58"/>
      <c r="J23" s="58"/>
      <c r="K23" s="58"/>
      <c r="L23" s="62"/>
      <c r="M23" s="63"/>
      <c r="N23" s="62"/>
      <c r="O23" s="63"/>
      <c r="P23" s="62"/>
      <c r="Q23" s="63"/>
      <c r="R23" s="62"/>
      <c r="S23" s="63"/>
      <c r="T23" s="62"/>
      <c r="U23" s="37"/>
      <c r="V23" s="25">
        <f t="shared" si="2"/>
        <v>0</v>
      </c>
      <c r="W23" s="25">
        <f>+V22+V23</f>
        <v>0</v>
      </c>
      <c r="X23" s="23"/>
    </row>
    <row r="24" spans="1:24" ht="42">
      <c r="A24" s="286"/>
      <c r="B24" s="39" t="s">
        <v>48</v>
      </c>
      <c r="C24" s="33" t="s">
        <v>49</v>
      </c>
      <c r="D24" s="29">
        <f>294000000-79260000</f>
        <v>214740000</v>
      </c>
      <c r="E24" s="36">
        <v>1</v>
      </c>
      <c r="F24" s="37">
        <f>+D24</f>
        <v>214740000</v>
      </c>
      <c r="G24" s="30">
        <f t="shared" si="8"/>
        <v>0</v>
      </c>
      <c r="H24" s="30">
        <f>+U24</f>
        <v>0</v>
      </c>
      <c r="I24" s="58"/>
      <c r="J24" s="58"/>
      <c r="K24" s="58"/>
      <c r="L24" s="62"/>
      <c r="M24" s="63"/>
      <c r="N24" s="62"/>
      <c r="O24" s="63"/>
      <c r="P24" s="62"/>
      <c r="Q24" s="63"/>
      <c r="R24" s="62"/>
      <c r="S24" s="63"/>
      <c r="T24" s="62"/>
      <c r="U24" s="37"/>
      <c r="X24" s="23">
        <f>SUM(I24:T24)</f>
        <v>0</v>
      </c>
    </row>
    <row r="25" spans="1:24">
      <c r="A25" s="284" t="s">
        <v>50</v>
      </c>
      <c r="B25" s="288" t="s">
        <v>51</v>
      </c>
      <c r="C25" s="28" t="s">
        <v>52</v>
      </c>
      <c r="D25" s="40">
        <v>2270000000</v>
      </c>
      <c r="E25" s="282">
        <v>0.6</v>
      </c>
      <c r="F25" s="271">
        <v>1361000000</v>
      </c>
      <c r="G25" s="30"/>
      <c r="H25" s="30"/>
      <c r="I25" s="58"/>
      <c r="J25" s="59"/>
      <c r="K25" s="59"/>
      <c r="L25" s="60"/>
      <c r="M25" s="61"/>
      <c r="N25" s="60">
        <f>+D25*0.1</f>
        <v>227000000</v>
      </c>
      <c r="O25" s="61"/>
      <c r="P25" s="60"/>
      <c r="Q25" s="61">
        <f>+D25*0.2</f>
        <v>454000000</v>
      </c>
      <c r="R25" s="60"/>
      <c r="S25" s="61"/>
      <c r="T25" s="60"/>
      <c r="U25" s="51">
        <f>+D25*0.7</f>
        <v>1589000000</v>
      </c>
      <c r="V25" s="25">
        <f>SUM(L25:T25)</f>
        <v>681000000</v>
      </c>
      <c r="X25" s="87"/>
    </row>
    <row r="26" spans="1:24">
      <c r="A26" s="285"/>
      <c r="B26" s="288"/>
      <c r="C26" s="20" t="s">
        <v>53</v>
      </c>
      <c r="D26" s="35"/>
      <c r="E26" s="282"/>
      <c r="F26" s="271"/>
      <c r="G26" s="30"/>
      <c r="H26" s="30"/>
      <c r="I26" s="58">
        <v>90000000</v>
      </c>
      <c r="J26" s="59">
        <v>90000000</v>
      </c>
      <c r="K26" s="59"/>
      <c r="L26" s="60"/>
      <c r="M26" s="61"/>
      <c r="N26" s="60"/>
      <c r="O26" s="61"/>
      <c r="P26" s="60"/>
      <c r="Q26" s="61"/>
      <c r="R26" s="60"/>
      <c r="S26" s="61"/>
      <c r="T26" s="60"/>
      <c r="U26" s="51"/>
      <c r="V26" s="25">
        <f t="shared" ref="V26:V27" si="9">SUM(L26:T26)</f>
        <v>0</v>
      </c>
      <c r="W26" s="88">
        <f>+W27+180000000</f>
        <v>936000000</v>
      </c>
      <c r="X26" s="87"/>
    </row>
    <row r="27" spans="1:24" ht="28">
      <c r="A27" s="285"/>
      <c r="B27" s="288"/>
      <c r="C27" s="20" t="s">
        <v>54</v>
      </c>
      <c r="D27" s="35"/>
      <c r="E27" s="282"/>
      <c r="F27" s="271"/>
      <c r="G27" s="30"/>
      <c r="H27" s="30"/>
      <c r="I27" s="58"/>
      <c r="J27" s="59"/>
      <c r="K27" s="59"/>
      <c r="L27" s="60"/>
      <c r="M27" s="61">
        <v>35000000</v>
      </c>
      <c r="N27" s="60"/>
      <c r="O27" s="61"/>
      <c r="P27" s="60"/>
      <c r="Q27" s="61"/>
      <c r="R27" s="60"/>
      <c r="S27" s="61">
        <v>40000000</v>
      </c>
      <c r="T27" s="60"/>
      <c r="U27" s="51"/>
      <c r="V27" s="25">
        <f t="shared" si="9"/>
        <v>75000000</v>
      </c>
      <c r="W27" s="25">
        <f>+V25+V27</f>
        <v>756000000</v>
      </c>
      <c r="X27" s="23">
        <f>SUM(I25:T27)</f>
        <v>936000000</v>
      </c>
    </row>
    <row r="28" spans="1:24" ht="56">
      <c r="A28" s="285"/>
      <c r="B28" s="41" t="s">
        <v>55</v>
      </c>
      <c r="C28" s="20"/>
      <c r="D28" s="29">
        <v>208000000</v>
      </c>
      <c r="E28" s="36">
        <v>1</v>
      </c>
      <c r="F28" s="37"/>
      <c r="G28" s="30"/>
      <c r="H28" s="30"/>
      <c r="I28" s="58"/>
      <c r="J28" s="58"/>
      <c r="K28" s="58"/>
      <c r="L28" s="62"/>
      <c r="M28" s="63"/>
      <c r="N28" s="62"/>
      <c r="O28" s="63"/>
      <c r="P28" s="62"/>
      <c r="Q28" s="63"/>
      <c r="R28" s="62"/>
      <c r="S28" s="63"/>
      <c r="T28" s="62"/>
      <c r="U28" s="37"/>
      <c r="X28" s="23">
        <f>SUM(I28:T28)</f>
        <v>0</v>
      </c>
    </row>
    <row r="29" spans="1:24" ht="42">
      <c r="A29" s="286"/>
      <c r="B29" s="28" t="s">
        <v>56</v>
      </c>
      <c r="C29" s="33" t="s">
        <v>49</v>
      </c>
      <c r="D29" s="29">
        <v>187980000</v>
      </c>
      <c r="E29" s="36">
        <v>1</v>
      </c>
      <c r="F29" s="37"/>
      <c r="G29" s="30"/>
      <c r="H29" s="30"/>
      <c r="I29" s="58"/>
      <c r="J29" s="58"/>
      <c r="K29" s="58"/>
      <c r="L29" s="62"/>
      <c r="M29" s="63"/>
      <c r="N29" s="62"/>
      <c r="O29" s="63"/>
      <c r="P29" s="62"/>
      <c r="Q29" s="63"/>
      <c r="R29" s="62"/>
      <c r="S29" s="63"/>
      <c r="T29" s="62"/>
      <c r="U29" s="37"/>
      <c r="X29" s="23">
        <f>SUM(I29:T29)</f>
        <v>0</v>
      </c>
    </row>
    <row r="30" spans="1:24" ht="42">
      <c r="A30" s="283" t="s">
        <v>57</v>
      </c>
      <c r="B30" s="20" t="s">
        <v>58</v>
      </c>
      <c r="C30" s="33" t="s">
        <v>59</v>
      </c>
      <c r="D30" s="29">
        <v>957000000</v>
      </c>
      <c r="E30" s="36">
        <v>0.5</v>
      </c>
      <c r="F30" s="37"/>
      <c r="G30" s="30"/>
      <c r="H30" s="30"/>
      <c r="I30" s="58"/>
      <c r="J30" s="58"/>
      <c r="K30" s="58"/>
      <c r="L30" s="62"/>
      <c r="M30" s="63"/>
      <c r="N30" s="62"/>
      <c r="O30" s="63"/>
      <c r="P30" s="62"/>
      <c r="Q30" s="63"/>
      <c r="R30" s="62"/>
      <c r="S30" s="63"/>
      <c r="T30" s="62"/>
      <c r="U30" s="37"/>
      <c r="V30" s="89">
        <f>SUM(L30:T30)</f>
        <v>0</v>
      </c>
      <c r="X30" s="23">
        <f>SUM(I30:T30)</f>
        <v>0</v>
      </c>
    </row>
    <row r="31" spans="1:24" ht="28">
      <c r="A31" s="283"/>
      <c r="B31" s="20" t="s">
        <v>60</v>
      </c>
      <c r="C31" s="33" t="s">
        <v>61</v>
      </c>
      <c r="D31" s="29">
        <v>200000000</v>
      </c>
      <c r="E31" s="36">
        <v>0.5</v>
      </c>
      <c r="F31" s="37"/>
      <c r="G31" s="30"/>
      <c r="H31" s="30"/>
      <c r="I31" s="58"/>
      <c r="J31" s="58"/>
      <c r="K31" s="58"/>
      <c r="L31" s="62"/>
      <c r="M31" s="63"/>
      <c r="N31" s="62"/>
      <c r="O31" s="63"/>
      <c r="P31" s="62"/>
      <c r="Q31" s="63"/>
      <c r="R31" s="62"/>
      <c r="S31" s="63"/>
      <c r="T31" s="62"/>
      <c r="U31" s="37"/>
      <c r="V31" s="89">
        <f>SUM(L31:T31)</f>
        <v>0</v>
      </c>
      <c r="X31" s="23">
        <f>SUM(I31:T31)</f>
        <v>0</v>
      </c>
    </row>
    <row r="32" spans="1:24" ht="42">
      <c r="A32" s="283"/>
      <c r="B32" s="28" t="s">
        <v>62</v>
      </c>
      <c r="C32" s="20"/>
      <c r="D32" s="29">
        <f>129000000+203010000</f>
        <v>332010000</v>
      </c>
      <c r="E32" s="36">
        <v>0.8</v>
      </c>
      <c r="F32" s="37"/>
      <c r="G32" s="30"/>
      <c r="H32" s="30"/>
      <c r="I32" s="58"/>
      <c r="J32" s="58"/>
      <c r="K32" s="58"/>
      <c r="L32" s="62"/>
      <c r="M32" s="63"/>
      <c r="N32" s="62"/>
      <c r="O32" s="63"/>
      <c r="P32" s="62"/>
      <c r="Q32" s="63"/>
      <c r="R32" s="62"/>
      <c r="S32" s="63"/>
      <c r="T32" s="62"/>
      <c r="U32" s="37"/>
      <c r="X32" s="23">
        <f>SUM(I32:T32)</f>
        <v>0</v>
      </c>
    </row>
    <row r="33" spans="1:24">
      <c r="A33" s="283" t="s">
        <v>63</v>
      </c>
      <c r="B33" s="20" t="s">
        <v>64</v>
      </c>
      <c r="C33" s="20" t="s">
        <v>65</v>
      </c>
      <c r="D33" s="29">
        <v>1500000000</v>
      </c>
      <c r="E33" s="36">
        <v>0.25</v>
      </c>
      <c r="F33" s="37"/>
      <c r="G33" s="30"/>
      <c r="H33" s="30"/>
      <c r="I33" s="58"/>
      <c r="J33" s="58"/>
      <c r="K33" s="58"/>
      <c r="L33" s="62"/>
      <c r="M33" s="63"/>
      <c r="N33" s="62"/>
      <c r="O33" s="63"/>
      <c r="P33" s="62"/>
      <c r="Q33" s="63"/>
      <c r="R33" s="62"/>
      <c r="S33" s="63"/>
      <c r="T33" s="62"/>
      <c r="U33" s="37"/>
      <c r="X33" s="87"/>
    </row>
    <row r="34" spans="1:24">
      <c r="A34" s="283"/>
      <c r="B34" s="42" t="s">
        <v>66</v>
      </c>
      <c r="C34" s="42" t="s">
        <v>67</v>
      </c>
      <c r="D34" s="29">
        <v>6468000000</v>
      </c>
      <c r="E34" s="36"/>
      <c r="F34" s="37"/>
      <c r="G34" s="30"/>
      <c r="H34" s="30"/>
      <c r="I34" s="58"/>
      <c r="J34" s="58"/>
      <c r="K34" s="76"/>
      <c r="L34" s="77"/>
      <c r="M34" s="78"/>
      <c r="N34" s="77"/>
      <c r="O34" s="78"/>
      <c r="P34" s="77"/>
      <c r="Q34" s="78"/>
      <c r="R34" s="77"/>
      <c r="S34" s="78"/>
      <c r="T34" s="77"/>
      <c r="U34" s="37"/>
      <c r="V34" s="56">
        <f>SUM(L34:T34)</f>
        <v>0</v>
      </c>
      <c r="X34" s="87"/>
    </row>
    <row r="35" spans="1:24" ht="42">
      <c r="A35" s="21" t="s">
        <v>68</v>
      </c>
      <c r="B35" s="43" t="s">
        <v>69</v>
      </c>
      <c r="C35" s="44" t="s">
        <v>49</v>
      </c>
      <c r="D35" s="29">
        <v>995000000</v>
      </c>
      <c r="E35" s="36">
        <v>1</v>
      </c>
      <c r="F35" s="37"/>
      <c r="G35" s="30"/>
      <c r="H35" s="30"/>
      <c r="I35" s="58"/>
      <c r="J35" s="58"/>
      <c r="K35" s="58"/>
      <c r="L35" s="62"/>
      <c r="M35" s="63"/>
      <c r="N35" s="62"/>
      <c r="O35" s="63"/>
      <c r="P35" s="62"/>
      <c r="Q35" s="63"/>
      <c r="R35" s="62"/>
      <c r="S35" s="63"/>
      <c r="T35" s="62"/>
      <c r="U35" s="37"/>
      <c r="V35" s="90">
        <f t="shared" ref="V35:V43" si="10">SUM(L35:T35)</f>
        <v>0</v>
      </c>
      <c r="X35" s="23">
        <f>SUM(I35:T35)</f>
        <v>0</v>
      </c>
    </row>
    <row r="36" spans="1:24">
      <c r="A36" s="284" t="s">
        <v>70</v>
      </c>
      <c r="B36" s="291" t="s">
        <v>71</v>
      </c>
      <c r="C36" s="108" t="s">
        <v>72</v>
      </c>
      <c r="D36" s="277">
        <f>12277000000-2502000000</f>
        <v>9775000000</v>
      </c>
      <c r="E36" s="282">
        <v>1</v>
      </c>
      <c r="F36" s="271"/>
      <c r="G36" s="30"/>
      <c r="H36" s="30"/>
      <c r="I36" s="58"/>
      <c r="J36" s="58"/>
      <c r="K36" s="76"/>
      <c r="L36" s="77"/>
      <c r="M36" s="78"/>
      <c r="N36" s="77"/>
      <c r="O36" s="78"/>
      <c r="P36" s="77"/>
      <c r="Q36" s="78"/>
      <c r="R36" s="62"/>
      <c r="S36" s="63"/>
      <c r="T36" s="62"/>
      <c r="U36" s="37"/>
      <c r="V36" s="56">
        <f t="shared" si="10"/>
        <v>0</v>
      </c>
      <c r="X36" s="87"/>
    </row>
    <row r="37" spans="1:24">
      <c r="A37" s="285"/>
      <c r="B37" s="292"/>
      <c r="C37" s="108" t="s">
        <v>73</v>
      </c>
      <c r="D37" s="277"/>
      <c r="E37" s="282"/>
      <c r="F37" s="271"/>
      <c r="G37" s="30"/>
      <c r="H37" s="30"/>
      <c r="I37" s="58"/>
      <c r="J37" s="58"/>
      <c r="K37" s="58"/>
      <c r="L37" s="62"/>
      <c r="M37" s="63"/>
      <c r="N37" s="62"/>
      <c r="O37" s="63"/>
      <c r="P37" s="62"/>
      <c r="Q37" s="63"/>
      <c r="R37" s="62"/>
      <c r="S37" s="63"/>
      <c r="T37" s="62"/>
      <c r="U37" s="37"/>
      <c r="V37" s="25">
        <f t="shared" si="10"/>
        <v>0</v>
      </c>
      <c r="X37" s="87"/>
    </row>
    <row r="38" spans="1:24">
      <c r="A38" s="285"/>
      <c r="B38" s="292" t="s">
        <v>74</v>
      </c>
      <c r="C38" s="108" t="s">
        <v>75</v>
      </c>
      <c r="D38" s="29">
        <v>900000000</v>
      </c>
      <c r="E38" s="36">
        <v>0.1</v>
      </c>
      <c r="F38" s="37"/>
      <c r="G38" s="30"/>
      <c r="H38" s="30"/>
      <c r="I38" s="58"/>
      <c r="J38" s="58"/>
      <c r="K38" s="58"/>
      <c r="L38" s="62"/>
      <c r="M38" s="63"/>
      <c r="N38" s="62"/>
      <c r="O38" s="63"/>
      <c r="P38" s="62"/>
      <c r="Q38" s="63"/>
      <c r="R38" s="77"/>
      <c r="S38" s="63"/>
      <c r="T38" s="62"/>
      <c r="U38" s="37"/>
      <c r="V38" s="56">
        <f t="shared" si="10"/>
        <v>0</v>
      </c>
      <c r="X38" s="87"/>
    </row>
    <row r="39" spans="1:24">
      <c r="A39" s="285"/>
      <c r="B39" s="292"/>
      <c r="C39" s="109" t="s">
        <v>76</v>
      </c>
      <c r="D39" s="29">
        <v>352000000</v>
      </c>
      <c r="E39" s="36">
        <v>0.25</v>
      </c>
      <c r="F39" s="37"/>
      <c r="G39" s="30"/>
      <c r="H39" s="30"/>
      <c r="I39" s="58"/>
      <c r="J39" s="58"/>
      <c r="K39" s="58"/>
      <c r="L39" s="62"/>
      <c r="M39" s="63"/>
      <c r="N39" s="62"/>
      <c r="O39" s="63"/>
      <c r="P39" s="62"/>
      <c r="Q39" s="63"/>
      <c r="R39" s="62"/>
      <c r="S39" s="78"/>
      <c r="T39" s="77"/>
      <c r="U39" s="37"/>
      <c r="V39" s="91">
        <f t="shared" si="10"/>
        <v>0</v>
      </c>
      <c r="X39" s="23">
        <f>SUM(I36:T42)+SUM(I34:T34)</f>
        <v>0</v>
      </c>
    </row>
    <row r="40" spans="1:24" ht="42">
      <c r="A40" s="285"/>
      <c r="B40" s="292"/>
      <c r="C40" s="110" t="s">
        <v>77</v>
      </c>
      <c r="D40" s="29">
        <v>176000000</v>
      </c>
      <c r="E40" s="36">
        <v>1</v>
      </c>
      <c r="F40" s="37"/>
      <c r="G40" s="30"/>
      <c r="H40" s="30"/>
      <c r="I40" s="58"/>
      <c r="J40" s="58"/>
      <c r="K40" s="58"/>
      <c r="L40" s="62"/>
      <c r="M40" s="78"/>
      <c r="N40" s="62"/>
      <c r="O40" s="63"/>
      <c r="P40" s="77"/>
      <c r="Q40" s="63"/>
      <c r="R40" s="77"/>
      <c r="S40" s="63"/>
      <c r="T40" s="77"/>
      <c r="U40" s="37"/>
      <c r="V40" s="91">
        <f t="shared" si="10"/>
        <v>0</v>
      </c>
      <c r="W40" s="88">
        <f>+W42+786850000</f>
        <v>786850000</v>
      </c>
      <c r="X40" s="87"/>
    </row>
    <row r="41" spans="1:24">
      <c r="A41" s="285"/>
      <c r="B41" s="293"/>
      <c r="C41" s="45" t="s">
        <v>78</v>
      </c>
      <c r="D41" s="46">
        <v>452000000</v>
      </c>
      <c r="E41" s="36">
        <v>0.75</v>
      </c>
      <c r="F41" s="37"/>
      <c r="G41" s="30"/>
      <c r="H41" s="30"/>
      <c r="I41" s="79"/>
      <c r="J41" s="79"/>
      <c r="K41" s="76"/>
      <c r="L41" s="77"/>
      <c r="M41" s="78"/>
      <c r="N41" s="77"/>
      <c r="O41" s="78"/>
      <c r="P41" s="77"/>
      <c r="Q41" s="78"/>
      <c r="R41" s="62"/>
      <c r="S41" s="92"/>
      <c r="T41" s="93"/>
      <c r="U41" s="94"/>
      <c r="V41" s="56">
        <f t="shared" si="10"/>
        <v>0</v>
      </c>
      <c r="X41" s="87"/>
    </row>
    <row r="42" spans="1:24" ht="42">
      <c r="A42" s="286"/>
      <c r="B42" s="42" t="s">
        <v>79</v>
      </c>
      <c r="C42" s="110" t="s">
        <v>80</v>
      </c>
      <c r="D42" s="29">
        <v>696000000</v>
      </c>
      <c r="E42" s="36">
        <v>1</v>
      </c>
      <c r="F42" s="37"/>
      <c r="G42" s="30"/>
      <c r="H42" s="30"/>
      <c r="I42" s="58"/>
      <c r="J42" s="58"/>
      <c r="K42" s="80"/>
      <c r="L42" s="77"/>
      <c r="M42" s="78"/>
      <c r="N42" s="77"/>
      <c r="O42" s="78"/>
      <c r="P42" s="62"/>
      <c r="Q42" s="78"/>
      <c r="R42" s="77"/>
      <c r="S42" s="78"/>
      <c r="T42" s="77"/>
      <c r="U42" s="37"/>
      <c r="V42" s="95">
        <f t="shared" si="10"/>
        <v>0</v>
      </c>
      <c r="W42" s="96">
        <f>+V42+V41+V40+V39+V38+V37+V36+V34</f>
        <v>0</v>
      </c>
      <c r="X42" s="87"/>
    </row>
    <row r="43" spans="1:24">
      <c r="A43" s="283" t="s">
        <v>81</v>
      </c>
      <c r="B43" s="47" t="s">
        <v>82</v>
      </c>
      <c r="C43" s="47" t="s">
        <v>83</v>
      </c>
      <c r="D43" s="29">
        <v>500000000</v>
      </c>
      <c r="E43" s="36">
        <v>1</v>
      </c>
      <c r="F43" s="37"/>
      <c r="G43" s="30"/>
      <c r="H43" s="30"/>
      <c r="I43" s="58"/>
      <c r="J43" s="58"/>
      <c r="K43" s="81"/>
      <c r="L43" s="82"/>
      <c r="M43" s="83"/>
      <c r="N43" s="82"/>
      <c r="O43" s="83"/>
      <c r="P43" s="82"/>
      <c r="Q43" s="83"/>
      <c r="R43" s="82"/>
      <c r="S43" s="83"/>
      <c r="T43" s="82"/>
      <c r="U43" s="37"/>
      <c r="V43" s="97">
        <f t="shared" si="10"/>
        <v>0</v>
      </c>
      <c r="W43" s="98">
        <f>+W42+856450000</f>
        <v>856450000</v>
      </c>
      <c r="X43" s="87"/>
    </row>
    <row r="44" spans="1:24" ht="28">
      <c r="A44" s="283"/>
      <c r="B44" s="47" t="s">
        <v>82</v>
      </c>
      <c r="C44" s="47" t="s">
        <v>84</v>
      </c>
      <c r="D44" s="29">
        <v>400000000</v>
      </c>
      <c r="E44" s="36">
        <v>1</v>
      </c>
      <c r="F44" s="37"/>
      <c r="G44" s="30"/>
      <c r="H44" s="30"/>
      <c r="I44" s="58"/>
      <c r="J44" s="58"/>
      <c r="K44" s="58"/>
      <c r="L44" s="82"/>
      <c r="M44" s="83"/>
      <c r="N44" s="82"/>
      <c r="O44" s="83"/>
      <c r="P44" s="82"/>
      <c r="Q44" s="83"/>
      <c r="R44" s="82"/>
      <c r="S44" s="83"/>
      <c r="T44" s="82"/>
      <c r="U44" s="37"/>
      <c r="V44" s="97">
        <f t="shared" ref="V44:V47" si="11">SUM(L44:T44)</f>
        <v>0</v>
      </c>
      <c r="W44" s="25">
        <f>+W42+681450</f>
        <v>681450</v>
      </c>
      <c r="X44" s="87"/>
    </row>
    <row r="45" spans="1:24" ht="28">
      <c r="A45" s="283"/>
      <c r="B45" s="47" t="s">
        <v>82</v>
      </c>
      <c r="C45" s="47" t="s">
        <v>85</v>
      </c>
      <c r="D45" s="29">
        <v>500000000</v>
      </c>
      <c r="E45" s="36">
        <v>1</v>
      </c>
      <c r="F45" s="37"/>
      <c r="G45" s="30"/>
      <c r="H45" s="30"/>
      <c r="I45" s="58"/>
      <c r="J45" s="81"/>
      <c r="K45" s="58"/>
      <c r="L45" s="82"/>
      <c r="M45" s="83"/>
      <c r="N45" s="82"/>
      <c r="O45" s="83"/>
      <c r="P45" s="82"/>
      <c r="Q45" s="83"/>
      <c r="R45" s="82"/>
      <c r="S45" s="83"/>
      <c r="T45" s="82"/>
      <c r="U45" s="37"/>
      <c r="V45" s="97">
        <f t="shared" si="11"/>
        <v>0</v>
      </c>
      <c r="W45" s="99">
        <f>+W46+J3</f>
        <v>0</v>
      </c>
      <c r="X45" s="23">
        <f>SUM(I43:T46)</f>
        <v>0</v>
      </c>
    </row>
    <row r="46" spans="1:24" ht="42">
      <c r="A46" s="283"/>
      <c r="B46" s="47" t="s">
        <v>82</v>
      </c>
      <c r="C46" s="47" t="s">
        <v>86</v>
      </c>
      <c r="D46" s="29">
        <v>508000000</v>
      </c>
      <c r="E46" s="36">
        <v>1</v>
      </c>
      <c r="F46" s="37"/>
      <c r="G46" s="30"/>
      <c r="H46" s="30"/>
      <c r="I46" s="58"/>
      <c r="J46" s="58"/>
      <c r="K46" s="81"/>
      <c r="L46" s="82"/>
      <c r="M46" s="83"/>
      <c r="N46" s="82"/>
      <c r="O46" s="83"/>
      <c r="P46" s="82"/>
      <c r="Q46" s="83"/>
      <c r="R46" s="82"/>
      <c r="S46" s="83"/>
      <c r="T46" s="82"/>
      <c r="U46" s="37"/>
      <c r="V46" s="97">
        <f t="shared" si="11"/>
        <v>0</v>
      </c>
      <c r="W46" s="88">
        <f>+V43+V44+V45+V46</f>
        <v>0</v>
      </c>
      <c r="X46" s="87"/>
    </row>
    <row r="47" spans="1:24" ht="56">
      <c r="A47" s="283"/>
      <c r="B47" s="20" t="s">
        <v>87</v>
      </c>
      <c r="C47" s="20" t="s">
        <v>88</v>
      </c>
      <c r="D47" s="29">
        <v>334740000</v>
      </c>
      <c r="E47" s="36">
        <v>1</v>
      </c>
      <c r="F47" s="37"/>
      <c r="G47" s="30"/>
      <c r="H47" s="30"/>
      <c r="I47" s="58"/>
      <c r="J47" s="58"/>
      <c r="K47" s="58"/>
      <c r="L47" s="62"/>
      <c r="M47" s="63"/>
      <c r="N47" s="62"/>
      <c r="O47" s="63"/>
      <c r="P47" s="62"/>
      <c r="Q47" s="63"/>
      <c r="R47" s="62"/>
      <c r="S47" s="63"/>
      <c r="T47" s="62"/>
      <c r="U47" s="37"/>
      <c r="V47" s="25">
        <f t="shared" si="11"/>
        <v>0</v>
      </c>
      <c r="W47" s="88"/>
      <c r="X47" s="87"/>
    </row>
    <row r="48" spans="1:24" ht="28">
      <c r="A48" s="283"/>
      <c r="B48" s="20" t="s">
        <v>87</v>
      </c>
      <c r="C48" s="20" t="s">
        <v>89</v>
      </c>
      <c r="D48" s="29">
        <v>109600000</v>
      </c>
      <c r="E48" s="36">
        <v>1</v>
      </c>
      <c r="F48" s="37"/>
      <c r="G48" s="30"/>
      <c r="H48" s="30"/>
      <c r="I48" s="58"/>
      <c r="J48" s="58"/>
      <c r="K48" s="58"/>
      <c r="L48" s="62"/>
      <c r="M48" s="63"/>
      <c r="N48" s="62"/>
      <c r="O48" s="63"/>
      <c r="P48" s="62"/>
      <c r="Q48" s="63"/>
      <c r="R48" s="62"/>
      <c r="S48" s="63"/>
      <c r="T48" s="62"/>
      <c r="U48" s="37"/>
      <c r="V48" s="25">
        <f t="shared" ref="V48:V59" si="12">SUM(L48:T48)</f>
        <v>0</v>
      </c>
      <c r="W48" s="88">
        <f>+W49+164385000</f>
        <v>164385000</v>
      </c>
      <c r="X48" s="23">
        <f>SUM(I47:T49)</f>
        <v>0</v>
      </c>
    </row>
    <row r="49" spans="1:24" ht="42">
      <c r="A49" s="283"/>
      <c r="B49" s="20" t="s">
        <v>87</v>
      </c>
      <c r="C49" s="20" t="s">
        <v>90</v>
      </c>
      <c r="D49" s="29">
        <v>213200000</v>
      </c>
      <c r="E49" s="36">
        <v>1</v>
      </c>
      <c r="F49" s="37"/>
      <c r="G49" s="30"/>
      <c r="H49" s="30"/>
      <c r="I49" s="58"/>
      <c r="J49" s="58"/>
      <c r="K49" s="58"/>
      <c r="L49" s="62"/>
      <c r="M49" s="63"/>
      <c r="N49" s="62"/>
      <c r="O49" s="63"/>
      <c r="P49" s="62"/>
      <c r="Q49" s="63"/>
      <c r="R49" s="62"/>
      <c r="S49" s="63"/>
      <c r="T49" s="62"/>
      <c r="U49" s="37"/>
      <c r="V49" s="25">
        <f t="shared" si="12"/>
        <v>0</v>
      </c>
      <c r="W49" s="25">
        <f>+V49+V48+V47</f>
        <v>0</v>
      </c>
      <c r="X49" s="87"/>
    </row>
    <row r="50" spans="1:24" ht="42">
      <c r="A50" s="283"/>
      <c r="B50" s="48" t="s">
        <v>91</v>
      </c>
      <c r="C50" s="48" t="s">
        <v>92</v>
      </c>
      <c r="D50" s="29">
        <v>545000000</v>
      </c>
      <c r="E50" s="36"/>
      <c r="F50" s="37"/>
      <c r="G50" s="30"/>
      <c r="H50" s="30"/>
      <c r="I50" s="58"/>
      <c r="J50" s="58"/>
      <c r="K50" s="58"/>
      <c r="L50" s="62"/>
      <c r="M50" s="63"/>
      <c r="N50" s="62"/>
      <c r="O50" s="63"/>
      <c r="P50" s="62"/>
      <c r="Q50" s="63"/>
      <c r="R50" s="62"/>
      <c r="S50" s="63"/>
      <c r="T50" s="62"/>
      <c r="U50" s="37"/>
      <c r="V50" s="88">
        <f t="shared" si="12"/>
        <v>0</v>
      </c>
      <c r="X50" s="23">
        <f>SUM(I50:T50)</f>
        <v>0</v>
      </c>
    </row>
    <row r="51" spans="1:24" ht="28">
      <c r="A51" s="283"/>
      <c r="B51" s="49" t="s">
        <v>93</v>
      </c>
      <c r="C51" s="49" t="s">
        <v>94</v>
      </c>
      <c r="D51" s="29">
        <v>183000000</v>
      </c>
      <c r="E51" s="36"/>
      <c r="F51" s="37"/>
      <c r="G51" s="30"/>
      <c r="H51" s="30"/>
      <c r="I51" s="58"/>
      <c r="J51" s="58"/>
      <c r="K51" s="58"/>
      <c r="L51" s="62"/>
      <c r="M51" s="63"/>
      <c r="N51" s="62"/>
      <c r="O51" s="63"/>
      <c r="P51" s="62"/>
      <c r="Q51" s="63"/>
      <c r="R51" s="62"/>
      <c r="S51" s="63"/>
      <c r="T51" s="62"/>
      <c r="U51" s="37"/>
      <c r="V51" s="88">
        <f t="shared" si="12"/>
        <v>0</v>
      </c>
      <c r="X51" s="23">
        <f>SUM(I51:T51)</f>
        <v>0</v>
      </c>
    </row>
    <row r="52" spans="1:24" ht="28">
      <c r="A52" s="283"/>
      <c r="B52" s="20" t="s">
        <v>95</v>
      </c>
      <c r="C52" s="20" t="s">
        <v>96</v>
      </c>
      <c r="D52" s="50">
        <v>1100000000</v>
      </c>
      <c r="E52" s="36"/>
      <c r="F52" s="272"/>
      <c r="G52" s="30"/>
      <c r="H52" s="30"/>
      <c r="I52" s="59"/>
      <c r="J52" s="59"/>
      <c r="K52" s="59"/>
      <c r="L52" s="60"/>
      <c r="M52" s="61"/>
      <c r="N52" s="60"/>
      <c r="O52" s="61"/>
      <c r="P52" s="60"/>
      <c r="Q52" s="61"/>
      <c r="R52" s="60"/>
      <c r="S52" s="61"/>
      <c r="T52" s="60"/>
      <c r="U52" s="51"/>
      <c r="V52" s="25">
        <f t="shared" si="12"/>
        <v>0</v>
      </c>
      <c r="X52" s="87"/>
    </row>
    <row r="53" spans="1:24" ht="42">
      <c r="A53" s="283"/>
      <c r="B53" s="20" t="s">
        <v>95</v>
      </c>
      <c r="C53" s="20" t="s">
        <v>97</v>
      </c>
      <c r="D53" s="50">
        <v>1293000000</v>
      </c>
      <c r="E53" s="36"/>
      <c r="F53" s="272"/>
      <c r="G53" s="30"/>
      <c r="H53" s="30"/>
      <c r="I53" s="59"/>
      <c r="J53" s="59"/>
      <c r="K53" s="59"/>
      <c r="L53" s="60"/>
      <c r="M53" s="61"/>
      <c r="N53" s="60"/>
      <c r="O53" s="61"/>
      <c r="P53" s="60"/>
      <c r="Q53" s="61"/>
      <c r="R53" s="60"/>
      <c r="S53" s="61"/>
      <c r="T53" s="60"/>
      <c r="U53" s="51"/>
      <c r="V53" s="25">
        <f t="shared" si="12"/>
        <v>0</v>
      </c>
      <c r="X53" s="23">
        <f>SUM(I52:T57)</f>
        <v>0</v>
      </c>
    </row>
    <row r="54" spans="1:24" ht="42">
      <c r="A54" s="283"/>
      <c r="B54" s="20" t="s">
        <v>95</v>
      </c>
      <c r="C54" s="20" t="s">
        <v>98</v>
      </c>
      <c r="D54" s="50">
        <v>257000000</v>
      </c>
      <c r="E54" s="36"/>
      <c r="F54" s="272"/>
      <c r="G54" s="30"/>
      <c r="H54" s="30"/>
      <c r="I54" s="59"/>
      <c r="J54" s="59"/>
      <c r="K54" s="59"/>
      <c r="L54" s="60"/>
      <c r="M54" s="61"/>
      <c r="N54" s="60"/>
      <c r="O54" s="61"/>
      <c r="P54" s="60"/>
      <c r="Q54" s="61"/>
      <c r="R54" s="60"/>
      <c r="S54" s="61"/>
      <c r="T54" s="60"/>
      <c r="U54" s="51"/>
      <c r="V54" s="25">
        <f t="shared" si="12"/>
        <v>0</v>
      </c>
      <c r="X54" s="87"/>
    </row>
    <row r="55" spans="1:24">
      <c r="A55" s="283"/>
      <c r="B55" s="20" t="s">
        <v>95</v>
      </c>
      <c r="C55" s="20" t="s">
        <v>99</v>
      </c>
      <c r="D55" s="50">
        <v>60000000</v>
      </c>
      <c r="E55" s="36"/>
      <c r="F55" s="272"/>
      <c r="G55" s="30"/>
      <c r="H55" s="30"/>
      <c r="I55" s="59"/>
      <c r="J55" s="59"/>
      <c r="K55" s="59"/>
      <c r="L55" s="60"/>
      <c r="M55" s="61"/>
      <c r="N55" s="60"/>
      <c r="O55" s="61"/>
      <c r="P55" s="60"/>
      <c r="Q55" s="61"/>
      <c r="R55" s="60"/>
      <c r="S55" s="61"/>
      <c r="T55" s="60"/>
      <c r="U55" s="51"/>
      <c r="V55" s="88">
        <f t="shared" si="12"/>
        <v>0</v>
      </c>
      <c r="X55" s="87"/>
    </row>
    <row r="56" spans="1:24" ht="42">
      <c r="A56" s="283"/>
      <c r="B56" s="20" t="s">
        <v>95</v>
      </c>
      <c r="C56" s="20" t="s">
        <v>100</v>
      </c>
      <c r="D56" s="50">
        <v>25000000</v>
      </c>
      <c r="E56" s="36"/>
      <c r="F56" s="272"/>
      <c r="G56" s="30"/>
      <c r="H56" s="30"/>
      <c r="I56" s="59"/>
      <c r="J56" s="59"/>
      <c r="K56" s="59"/>
      <c r="L56" s="60"/>
      <c r="M56" s="61"/>
      <c r="N56" s="60"/>
      <c r="O56" s="61"/>
      <c r="P56" s="60"/>
      <c r="Q56" s="61"/>
      <c r="R56" s="60"/>
      <c r="S56" s="61"/>
      <c r="T56" s="60"/>
      <c r="U56" s="51"/>
      <c r="V56" s="25">
        <f t="shared" si="12"/>
        <v>0</v>
      </c>
      <c r="X56" s="87"/>
    </row>
    <row r="57" spans="1:24" ht="42">
      <c r="A57" s="283"/>
      <c r="B57" s="20" t="s">
        <v>95</v>
      </c>
      <c r="C57" s="20" t="s">
        <v>101</v>
      </c>
      <c r="D57" s="50">
        <v>45000000</v>
      </c>
      <c r="E57" s="36"/>
      <c r="F57" s="272"/>
      <c r="G57" s="30"/>
      <c r="H57" s="30"/>
      <c r="I57" s="59"/>
      <c r="J57" s="59"/>
      <c r="K57" s="59"/>
      <c r="L57" s="60"/>
      <c r="M57" s="61"/>
      <c r="N57" s="60"/>
      <c r="O57" s="61"/>
      <c r="P57" s="60"/>
      <c r="Q57" s="61"/>
      <c r="R57" s="60"/>
      <c r="S57" s="61"/>
      <c r="T57" s="60"/>
      <c r="U57" s="51"/>
      <c r="V57" s="25">
        <f t="shared" si="12"/>
        <v>0</v>
      </c>
      <c r="W57" s="88">
        <f>+V57+V56+V55+V54+V53+V52</f>
        <v>0</v>
      </c>
      <c r="X57" s="87"/>
    </row>
    <row r="58" spans="1:24" ht="30" customHeight="1">
      <c r="A58" s="283"/>
      <c r="B58" s="20" t="s">
        <v>102</v>
      </c>
      <c r="C58" s="20" t="s">
        <v>103</v>
      </c>
      <c r="D58" s="29">
        <v>436000000</v>
      </c>
      <c r="E58" s="36">
        <v>0.68</v>
      </c>
      <c r="F58" s="37"/>
      <c r="G58" s="30"/>
      <c r="H58" s="30"/>
      <c r="I58" s="58"/>
      <c r="J58" s="58"/>
      <c r="K58" s="58"/>
      <c r="L58" s="62"/>
      <c r="M58" s="63"/>
      <c r="N58" s="62"/>
      <c r="O58" s="63"/>
      <c r="P58" s="62"/>
      <c r="Q58" s="63"/>
      <c r="R58" s="62"/>
      <c r="S58" s="63"/>
      <c r="T58" s="62"/>
      <c r="U58" s="37"/>
      <c r="V58" s="88">
        <f t="shared" si="12"/>
        <v>0</v>
      </c>
      <c r="W58" s="88"/>
      <c r="X58" s="23">
        <f>SUM(I58:T58)</f>
        <v>0</v>
      </c>
    </row>
    <row r="59" spans="1:24" ht="28">
      <c r="A59" s="283"/>
      <c r="B59" s="20" t="s">
        <v>104</v>
      </c>
      <c r="C59" s="20" t="s">
        <v>105</v>
      </c>
      <c r="D59" s="29">
        <v>83000000</v>
      </c>
      <c r="E59" s="36">
        <v>1</v>
      </c>
      <c r="F59" s="37"/>
      <c r="G59" s="30"/>
      <c r="H59" s="30"/>
      <c r="I59" s="58"/>
      <c r="J59" s="58"/>
      <c r="K59" s="58"/>
      <c r="L59" s="62"/>
      <c r="M59" s="63"/>
      <c r="N59" s="62"/>
      <c r="O59" s="63"/>
      <c r="P59" s="62"/>
      <c r="Q59" s="63"/>
      <c r="R59" s="62"/>
      <c r="S59" s="63"/>
      <c r="T59" s="62"/>
      <c r="U59" s="37"/>
      <c r="V59" s="88">
        <f t="shared" si="12"/>
        <v>0</v>
      </c>
      <c r="X59" s="23">
        <f>SUM(I59:T59)</f>
        <v>0</v>
      </c>
    </row>
    <row r="60" spans="1:24" ht="42">
      <c r="A60" s="283"/>
      <c r="B60" s="28" t="s">
        <v>106</v>
      </c>
      <c r="C60" s="20" t="s">
        <v>107</v>
      </c>
      <c r="D60" s="29">
        <v>390780000</v>
      </c>
      <c r="E60" s="36">
        <v>0.8</v>
      </c>
      <c r="F60" s="37"/>
      <c r="G60" s="30"/>
      <c r="H60" s="30"/>
      <c r="I60" s="58"/>
      <c r="J60" s="58"/>
      <c r="K60" s="58"/>
      <c r="L60" s="62"/>
      <c r="M60" s="63"/>
      <c r="N60" s="62"/>
      <c r="O60" s="63"/>
      <c r="P60" s="62"/>
      <c r="Q60" s="63"/>
      <c r="R60" s="62"/>
      <c r="S60" s="63"/>
      <c r="T60" s="62"/>
      <c r="U60" s="37"/>
      <c r="X60" s="23">
        <f>SUM(I60:T60)</f>
        <v>0</v>
      </c>
    </row>
    <row r="61" spans="1:24">
      <c r="A61" s="19"/>
      <c r="B61" s="20"/>
      <c r="C61" s="52"/>
      <c r="D61" s="29"/>
      <c r="E61" s="36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X61" s="87"/>
    </row>
    <row r="62" spans="1:24">
      <c r="A62" s="19"/>
      <c r="B62" s="41" t="s">
        <v>22</v>
      </c>
      <c r="C62" s="53"/>
      <c r="D62" s="54">
        <f>SUM(D7:D61)</f>
        <v>36950840000</v>
      </c>
      <c r="E62" s="54">
        <f t="shared" ref="E62:I62" si="13">SUM(E7:E61)</f>
        <v>26.279999999999998</v>
      </c>
      <c r="F62" s="54">
        <f t="shared" si="13"/>
        <v>4248991000</v>
      </c>
      <c r="G62" s="54">
        <f t="shared" si="13"/>
        <v>960000000</v>
      </c>
      <c r="H62" s="54">
        <f t="shared" si="13"/>
        <v>600000000</v>
      </c>
      <c r="I62" s="54">
        <f t="shared" si="13"/>
        <v>90000000</v>
      </c>
      <c r="J62" s="54">
        <f t="shared" ref="J62:U62" si="14">SUM(J7:J61)</f>
        <v>90000000</v>
      </c>
      <c r="K62" s="54">
        <f t="shared" si="14"/>
        <v>0</v>
      </c>
      <c r="L62" s="54">
        <f t="shared" si="14"/>
        <v>0</v>
      </c>
      <c r="M62" s="54">
        <f t="shared" si="14"/>
        <v>35000000</v>
      </c>
      <c r="N62" s="54">
        <f t="shared" si="14"/>
        <v>227000000</v>
      </c>
      <c r="O62" s="54">
        <f t="shared" si="14"/>
        <v>0</v>
      </c>
      <c r="P62" s="54">
        <f t="shared" si="14"/>
        <v>0</v>
      </c>
      <c r="Q62" s="54">
        <f t="shared" si="14"/>
        <v>904000000</v>
      </c>
      <c r="R62" s="54">
        <f t="shared" si="14"/>
        <v>0</v>
      </c>
      <c r="S62" s="54">
        <f t="shared" si="14"/>
        <v>40000000</v>
      </c>
      <c r="T62" s="54">
        <f t="shared" si="14"/>
        <v>510000000</v>
      </c>
      <c r="U62" s="54">
        <f t="shared" si="14"/>
        <v>2189000000</v>
      </c>
      <c r="X62" s="100">
        <f>SUM(X7:X60)</f>
        <v>1896000000</v>
      </c>
    </row>
    <row r="64" spans="1:24">
      <c r="H64" s="25"/>
      <c r="J64" s="84"/>
      <c r="K64" s="54">
        <f>SUM(I62:K62)</f>
        <v>180000000</v>
      </c>
      <c r="M64" s="84"/>
      <c r="N64" s="54">
        <f>SUM(L62:N62)</f>
        <v>262000000</v>
      </c>
      <c r="P64" s="84"/>
      <c r="Q64" s="54">
        <f>SUM(O62:Q62)</f>
        <v>904000000</v>
      </c>
      <c r="S64" s="84"/>
      <c r="T64" s="54">
        <f>SUM(R62:T62)</f>
        <v>550000000</v>
      </c>
      <c r="V64" s="101">
        <f>K64+N64+Q64+T64</f>
        <v>1896000000</v>
      </c>
    </row>
    <row r="66" spans="9:22">
      <c r="I66" s="102" t="s">
        <v>108</v>
      </c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</row>
    <row r="67" spans="9:22">
      <c r="I67" s="104" t="s">
        <v>23</v>
      </c>
      <c r="J67" s="104"/>
      <c r="K67" s="104"/>
      <c r="L67" s="105">
        <f t="shared" ref="L67:R67" si="15">+L24</f>
        <v>0</v>
      </c>
      <c r="M67" s="105">
        <f t="shared" si="15"/>
        <v>0</v>
      </c>
      <c r="N67" s="106">
        <f t="shared" si="15"/>
        <v>0</v>
      </c>
      <c r="O67" s="106">
        <f t="shared" si="15"/>
        <v>0</v>
      </c>
      <c r="P67" s="106">
        <f t="shared" si="15"/>
        <v>0</v>
      </c>
      <c r="Q67" s="106">
        <f t="shared" si="15"/>
        <v>0</v>
      </c>
      <c r="R67" s="106">
        <f t="shared" si="15"/>
        <v>0</v>
      </c>
      <c r="S67" s="104"/>
      <c r="T67" s="106"/>
      <c r="V67" s="24">
        <f>SUM(K67:T67)</f>
        <v>0</v>
      </c>
    </row>
    <row r="68" spans="9:22">
      <c r="I68" s="103" t="s">
        <v>50</v>
      </c>
      <c r="J68" s="103"/>
      <c r="K68" s="103"/>
      <c r="L68" s="103"/>
      <c r="M68" s="107">
        <f>+M29</f>
        <v>0</v>
      </c>
      <c r="N68" s="107">
        <f>+N29</f>
        <v>0</v>
      </c>
      <c r="O68" s="103"/>
      <c r="P68" s="107">
        <f>+P29</f>
        <v>0</v>
      </c>
      <c r="Q68" s="107">
        <f>+Q29</f>
        <v>0</v>
      </c>
      <c r="R68" s="103"/>
      <c r="S68" s="103"/>
      <c r="T68" s="103"/>
      <c r="V68" s="24">
        <f t="shared" ref="V68:V70" si="16">SUM(K68:T68)</f>
        <v>0</v>
      </c>
    </row>
    <row r="69" spans="9:22">
      <c r="I69" s="104" t="s">
        <v>57</v>
      </c>
      <c r="J69" s="104"/>
      <c r="K69" s="106">
        <f>+K32</f>
        <v>0</v>
      </c>
      <c r="L69" s="104"/>
      <c r="M69" s="104"/>
      <c r="N69" s="106">
        <f>+N32</f>
        <v>0</v>
      </c>
      <c r="O69" s="104"/>
      <c r="P69" s="104"/>
      <c r="Q69" s="106">
        <f>+Q32</f>
        <v>0</v>
      </c>
      <c r="R69" s="104"/>
      <c r="S69" s="104"/>
      <c r="T69" s="106">
        <f>+T32</f>
        <v>0</v>
      </c>
      <c r="V69" s="24">
        <f t="shared" si="16"/>
        <v>0</v>
      </c>
    </row>
    <row r="70" spans="9:22">
      <c r="I70" s="103" t="s">
        <v>81</v>
      </c>
      <c r="J70" s="103"/>
      <c r="K70" s="107">
        <f>+K60</f>
        <v>0</v>
      </c>
      <c r="L70" s="103"/>
      <c r="M70" s="103"/>
      <c r="N70" s="107">
        <f>+N60</f>
        <v>0</v>
      </c>
      <c r="O70" s="103"/>
      <c r="P70" s="103"/>
      <c r="Q70" s="107">
        <f>+Q60</f>
        <v>0</v>
      </c>
      <c r="R70" s="103"/>
      <c r="S70" s="103"/>
      <c r="T70" s="107">
        <f>+T60</f>
        <v>0</v>
      </c>
      <c r="V70" s="24">
        <f t="shared" si="16"/>
        <v>0</v>
      </c>
    </row>
    <row r="71" spans="9:22">
      <c r="V71" s="26">
        <f>SUM(V67:V70)</f>
        <v>0</v>
      </c>
    </row>
  </sheetData>
  <mergeCells count="42">
    <mergeCell ref="I5:T5"/>
    <mergeCell ref="A5:A6"/>
    <mergeCell ref="A7:A24"/>
    <mergeCell ref="A25:A29"/>
    <mergeCell ref="A30:A32"/>
    <mergeCell ref="F5:F6"/>
    <mergeCell ref="F7:F10"/>
    <mergeCell ref="F11:F12"/>
    <mergeCell ref="F14:F15"/>
    <mergeCell ref="F16:F18"/>
    <mergeCell ref="F19:F21"/>
    <mergeCell ref="F22:F23"/>
    <mergeCell ref="F25:F27"/>
    <mergeCell ref="A33:A34"/>
    <mergeCell ref="A36:A42"/>
    <mergeCell ref="A43:A60"/>
    <mergeCell ref="B5:B6"/>
    <mergeCell ref="B7:B10"/>
    <mergeCell ref="B11:B12"/>
    <mergeCell ref="B14:B15"/>
    <mergeCell ref="B16:B18"/>
    <mergeCell ref="B19:B21"/>
    <mergeCell ref="B22:B23"/>
    <mergeCell ref="B25:B27"/>
    <mergeCell ref="B36:B37"/>
    <mergeCell ref="B38:B41"/>
    <mergeCell ref="F36:F37"/>
    <mergeCell ref="F52:F57"/>
    <mergeCell ref="G5:G6"/>
    <mergeCell ref="H5:H6"/>
    <mergeCell ref="C1:C2"/>
    <mergeCell ref="C5:C6"/>
    <mergeCell ref="D36:D37"/>
    <mergeCell ref="E5:E6"/>
    <mergeCell ref="E7:E10"/>
    <mergeCell ref="E11:E12"/>
    <mergeCell ref="E14:E15"/>
    <mergeCell ref="E16:E18"/>
    <mergeCell ref="E19:E21"/>
    <mergeCell ref="E22:E23"/>
    <mergeCell ref="E25:E27"/>
    <mergeCell ref="E36:E37"/>
  </mergeCells>
  <pageMargins left="0.7" right="0.7" top="0.75" bottom="0.75" header="0.3" footer="0.3"/>
  <pageSetup paperSize="8" scale="6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21"/>
  <sheetViews>
    <sheetView tabSelected="1" topLeftCell="A2" workbookViewId="0">
      <pane xSplit="2" ySplit="5" topLeftCell="D16" activePane="bottomRight" state="frozen"/>
      <selection pane="topRight"/>
      <selection pane="bottomLeft"/>
      <selection pane="bottomRight" activeCell="K23" sqref="K23"/>
    </sheetView>
  </sheetViews>
  <sheetFormatPr defaultColWidth="9.1796875" defaultRowHeight="14.5"/>
  <cols>
    <col min="1" max="1" width="10.1796875" style="169" customWidth="1"/>
    <col min="2" max="2" width="25.1796875" style="170" customWidth="1"/>
    <col min="3" max="3" width="43.453125" style="170" customWidth="1"/>
    <col min="4" max="4" width="15.453125" style="170" customWidth="1"/>
    <col min="5" max="5" width="12.26953125" style="170" hidden="1" customWidth="1"/>
    <col min="6" max="6" width="20.1796875" style="170" hidden="1" customWidth="1"/>
    <col min="7" max="7" width="15.453125" style="170" hidden="1" customWidth="1"/>
    <col min="8" max="8" width="14.7265625" style="170" hidden="1" customWidth="1"/>
    <col min="9" max="10" width="16.54296875" style="170" customWidth="1"/>
    <col min="11" max="14" width="14.26953125" style="170" customWidth="1"/>
    <col min="15" max="15" width="15.7265625" style="170" customWidth="1"/>
    <col min="16" max="21" width="15.453125" style="170" hidden="1" customWidth="1"/>
    <col min="22" max="22" width="15.26953125" style="170" hidden="1" customWidth="1"/>
    <col min="23" max="23" width="16.54296875" style="170" hidden="1" customWidth="1"/>
    <col min="24" max="24" width="0" style="170" hidden="1" customWidth="1"/>
    <col min="25" max="25" width="14.26953125" style="170" hidden="1" customWidth="1"/>
    <col min="26" max="26" width="0" style="170" hidden="1" customWidth="1"/>
    <col min="27" max="27" width="15.26953125" style="174" hidden="1" customWidth="1"/>
    <col min="28" max="16384" width="9.1796875" style="170"/>
  </cols>
  <sheetData>
    <row r="1" spans="1:27" ht="28.5" customHeight="1">
      <c r="C1" s="299">
        <v>1000000</v>
      </c>
    </row>
    <row r="2" spans="1:27" ht="15" customHeight="1">
      <c r="C2" s="299"/>
      <c r="D2" s="175"/>
      <c r="F2" s="174"/>
      <c r="G2" s="174"/>
      <c r="H2" s="174"/>
      <c r="J2" s="176"/>
      <c r="K2" s="176"/>
      <c r="L2" s="176"/>
      <c r="M2" s="176"/>
      <c r="N2" s="176"/>
      <c r="O2" s="176" t="s">
        <v>176</v>
      </c>
      <c r="P2" s="176"/>
    </row>
    <row r="3" spans="1:27" ht="15" customHeight="1">
      <c r="C3" s="302" t="s">
        <v>170</v>
      </c>
      <c r="D3" s="302"/>
      <c r="E3" s="302"/>
      <c r="F3" s="302"/>
      <c r="G3" s="302"/>
      <c r="H3" s="302"/>
      <c r="I3" s="302"/>
      <c r="J3" s="302"/>
      <c r="K3" s="302"/>
    </row>
    <row r="4" spans="1:27" ht="15" thickBot="1">
      <c r="C4" s="306" t="s">
        <v>172</v>
      </c>
      <c r="D4" s="306"/>
      <c r="E4" s="306"/>
      <c r="F4" s="306"/>
      <c r="G4" s="306"/>
      <c r="H4" s="306"/>
      <c r="I4" s="306"/>
      <c r="J4" s="306"/>
    </row>
    <row r="5" spans="1:27" ht="28.5" customHeight="1">
      <c r="A5" s="307" t="s">
        <v>1</v>
      </c>
      <c r="B5" s="300" t="s">
        <v>2</v>
      </c>
      <c r="C5" s="300" t="s">
        <v>3</v>
      </c>
      <c r="D5" s="177" t="s">
        <v>111</v>
      </c>
      <c r="E5" s="309" t="s">
        <v>5</v>
      </c>
      <c r="F5" s="300" t="s">
        <v>112</v>
      </c>
      <c r="G5" s="311" t="s">
        <v>131</v>
      </c>
      <c r="H5" s="311" t="s">
        <v>7</v>
      </c>
      <c r="I5" s="303" t="s">
        <v>8</v>
      </c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5"/>
      <c r="V5" s="178"/>
    </row>
    <row r="6" spans="1:27" ht="30.75" customHeight="1" thickBot="1">
      <c r="A6" s="308"/>
      <c r="B6" s="301"/>
      <c r="C6" s="301"/>
      <c r="D6" s="179" t="s">
        <v>9</v>
      </c>
      <c r="E6" s="310"/>
      <c r="F6" s="301"/>
      <c r="G6" s="312"/>
      <c r="H6" s="312"/>
      <c r="I6" s="179" t="s">
        <v>10</v>
      </c>
      <c r="J6" s="179" t="s">
        <v>11</v>
      </c>
      <c r="K6" s="179" t="s">
        <v>12</v>
      </c>
      <c r="L6" s="179" t="s">
        <v>13</v>
      </c>
      <c r="M6" s="179" t="s">
        <v>14</v>
      </c>
      <c r="N6" s="179" t="s">
        <v>15</v>
      </c>
      <c r="O6" s="179" t="s">
        <v>169</v>
      </c>
      <c r="P6" s="180" t="s">
        <v>16</v>
      </c>
      <c r="Q6" s="180" t="s">
        <v>17</v>
      </c>
      <c r="R6" s="180" t="s">
        <v>18</v>
      </c>
      <c r="S6" s="180" t="s">
        <v>19</v>
      </c>
      <c r="T6" s="180" t="s">
        <v>20</v>
      </c>
      <c r="U6" s="181" t="s">
        <v>21</v>
      </c>
      <c r="V6" s="178">
        <v>2025</v>
      </c>
      <c r="W6" s="170" t="s">
        <v>130</v>
      </c>
    </row>
    <row r="7" spans="1:27">
      <c r="A7" s="126" t="s">
        <v>23</v>
      </c>
      <c r="B7" s="127" t="s">
        <v>24</v>
      </c>
      <c r="C7" s="128" t="s">
        <v>25</v>
      </c>
      <c r="D7" s="129">
        <v>2000000000</v>
      </c>
      <c r="E7" s="182"/>
      <c r="F7" s="183"/>
      <c r="G7" s="184"/>
      <c r="H7" s="184"/>
      <c r="I7" s="185">
        <v>470000000</v>
      </c>
      <c r="J7" s="186">
        <v>140000000</v>
      </c>
      <c r="K7" s="186"/>
      <c r="L7" s="186">
        <v>400000000</v>
      </c>
      <c r="M7" s="186"/>
      <c r="N7" s="186"/>
      <c r="O7" s="130">
        <f>SUM(I7:N7)</f>
        <v>1010000000</v>
      </c>
      <c r="P7" s="187">
        <v>660000000</v>
      </c>
      <c r="Q7" s="186"/>
      <c r="R7" s="186"/>
      <c r="S7" s="186"/>
      <c r="T7" s="186">
        <v>330000000</v>
      </c>
      <c r="U7" s="186"/>
      <c r="V7" s="186">
        <f t="shared" ref="V7:V18" si="0">SUM(I7:U7)</f>
        <v>3010000000</v>
      </c>
      <c r="W7" s="188">
        <f>SUM(V7:V10)/$V$19</f>
        <v>0.29427045873564084</v>
      </c>
      <c r="X7" s="170">
        <v>831</v>
      </c>
      <c r="Y7" s="189">
        <f>SUM(V7:V8)</f>
        <v>4541035000</v>
      </c>
      <c r="Z7" s="176">
        <f>+Y7/$Y$10</f>
        <v>0.88260526896318492</v>
      </c>
      <c r="AA7" s="190" t="e">
        <f>+Z7*$AA$10</f>
        <v>#REF!</v>
      </c>
    </row>
    <row r="8" spans="1:27">
      <c r="A8" s="132" t="s">
        <v>23</v>
      </c>
      <c r="B8" s="133" t="s">
        <v>24</v>
      </c>
      <c r="C8" s="134" t="s">
        <v>132</v>
      </c>
      <c r="D8" s="135">
        <v>1020690000</v>
      </c>
      <c r="E8" s="191"/>
      <c r="F8" s="192"/>
      <c r="G8" s="193"/>
      <c r="H8" s="193"/>
      <c r="I8" s="194"/>
      <c r="J8" s="195"/>
      <c r="K8" s="195"/>
      <c r="L8" s="195"/>
      <c r="M8" s="195"/>
      <c r="N8" s="195">
        <v>510345000</v>
      </c>
      <c r="O8" s="136">
        <f t="shared" ref="O8:O19" si="1">SUM(I8:N8)</f>
        <v>510345000</v>
      </c>
      <c r="P8" s="196"/>
      <c r="Q8" s="195"/>
      <c r="R8" s="195"/>
      <c r="S8" s="195"/>
      <c r="T8" s="195"/>
      <c r="U8" s="195">
        <v>510345000</v>
      </c>
      <c r="V8" s="195">
        <f t="shared" si="0"/>
        <v>1531035000</v>
      </c>
      <c r="W8" s="197"/>
      <c r="X8" s="170">
        <v>832</v>
      </c>
      <c r="Y8" s="189">
        <f>+V9</f>
        <v>184000000</v>
      </c>
      <c r="Z8" s="176">
        <f>+Y8/$Y$10</f>
        <v>3.5762633295983406E-2</v>
      </c>
      <c r="AA8" s="190" t="e">
        <f>+Z8*$AA$10</f>
        <v>#REF!</v>
      </c>
    </row>
    <row r="9" spans="1:27">
      <c r="A9" s="132" t="s">
        <v>23</v>
      </c>
      <c r="B9" s="133" t="s">
        <v>29</v>
      </c>
      <c r="C9" s="134" t="s">
        <v>30</v>
      </c>
      <c r="D9" s="135">
        <v>123000000</v>
      </c>
      <c r="E9" s="191"/>
      <c r="F9" s="192"/>
      <c r="G9" s="193"/>
      <c r="H9" s="193"/>
      <c r="I9" s="194"/>
      <c r="J9" s="195"/>
      <c r="K9" s="195"/>
      <c r="L9" s="195"/>
      <c r="M9" s="195"/>
      <c r="N9" s="195">
        <v>61000000</v>
      </c>
      <c r="O9" s="136">
        <f t="shared" si="1"/>
        <v>61000000</v>
      </c>
      <c r="P9" s="196"/>
      <c r="Q9" s="195"/>
      <c r="R9" s="195"/>
      <c r="S9" s="195"/>
      <c r="T9" s="195"/>
      <c r="U9" s="195">
        <v>62000000</v>
      </c>
      <c r="V9" s="195">
        <f t="shared" si="0"/>
        <v>184000000</v>
      </c>
      <c r="W9" s="197"/>
      <c r="X9" s="170">
        <v>838</v>
      </c>
      <c r="Y9" s="189">
        <f>+V10</f>
        <v>420000000</v>
      </c>
      <c r="Z9" s="176">
        <f>+Y9/$Y$10</f>
        <v>8.1632097740831688E-2</v>
      </c>
      <c r="AA9" s="190" t="e">
        <f>+Z9*$AA$10</f>
        <v>#REF!</v>
      </c>
    </row>
    <row r="10" spans="1:27" ht="28.5" thickBot="1">
      <c r="A10" s="138" t="s">
        <v>23</v>
      </c>
      <c r="B10" s="139" t="s">
        <v>133</v>
      </c>
      <c r="C10" s="140" t="s">
        <v>134</v>
      </c>
      <c r="D10" s="141">
        <v>280000000</v>
      </c>
      <c r="E10" s="198"/>
      <c r="F10" s="199"/>
      <c r="G10" s="200"/>
      <c r="H10" s="200"/>
      <c r="I10" s="200"/>
      <c r="J10" s="199"/>
      <c r="K10" s="199"/>
      <c r="L10" s="199"/>
      <c r="M10" s="199"/>
      <c r="N10" s="199">
        <v>140000000</v>
      </c>
      <c r="O10" s="142">
        <f t="shared" si="1"/>
        <v>140000000</v>
      </c>
      <c r="P10" s="201"/>
      <c r="Q10" s="199"/>
      <c r="R10" s="199"/>
      <c r="S10" s="199"/>
      <c r="T10" s="199"/>
      <c r="U10" s="199">
        <v>140000000</v>
      </c>
      <c r="V10" s="199">
        <f t="shared" si="0"/>
        <v>420000000</v>
      </c>
      <c r="W10" s="202"/>
      <c r="Y10" s="203">
        <f>SUM(Y7:Y9)</f>
        <v>5145035000</v>
      </c>
      <c r="AA10" s="204" t="e">
        <f>+#REF!</f>
        <v>#REF!</v>
      </c>
    </row>
    <row r="11" spans="1:27" ht="15" thickBot="1">
      <c r="A11" s="126" t="s">
        <v>50</v>
      </c>
      <c r="B11" s="128" t="s">
        <v>51</v>
      </c>
      <c r="C11" s="128" t="s">
        <v>175</v>
      </c>
      <c r="D11" s="143">
        <v>1400000000</v>
      </c>
      <c r="E11" s="205"/>
      <c r="F11" s="185"/>
      <c r="G11" s="183"/>
      <c r="H11" s="183"/>
      <c r="I11" s="185">
        <v>470000000</v>
      </c>
      <c r="J11" s="186"/>
      <c r="K11" s="186"/>
      <c r="L11" s="186"/>
      <c r="M11" s="186"/>
      <c r="N11" s="186"/>
      <c r="O11" s="130">
        <f t="shared" si="1"/>
        <v>470000000</v>
      </c>
      <c r="P11" s="187">
        <v>100000000</v>
      </c>
      <c r="Q11" s="186"/>
      <c r="R11" s="186"/>
      <c r="S11" s="186"/>
      <c r="T11" s="186">
        <v>300000000</v>
      </c>
      <c r="U11" s="186">
        <v>530000000</v>
      </c>
      <c r="V11" s="186">
        <f t="shared" si="0"/>
        <v>1870000000</v>
      </c>
      <c r="W11" s="188">
        <f>SUM(V11:V11)/$V$19</f>
        <v>0.10695471611673163</v>
      </c>
      <c r="X11" s="170">
        <v>841</v>
      </c>
      <c r="Y11" s="189">
        <f>+V11</f>
        <v>1870000000</v>
      </c>
      <c r="Z11" s="176">
        <f>+Y11/$Y$12</f>
        <v>1</v>
      </c>
      <c r="AA11" s="174" t="e">
        <f>+Z11*$AA$12</f>
        <v>#REF!</v>
      </c>
    </row>
    <row r="12" spans="1:27" ht="15" thickBot="1">
      <c r="A12" s="144" t="s">
        <v>68</v>
      </c>
      <c r="B12" s="128" t="s">
        <v>66</v>
      </c>
      <c r="C12" s="128" t="s">
        <v>67</v>
      </c>
      <c r="D12" s="129">
        <v>4000000000</v>
      </c>
      <c r="E12" s="205"/>
      <c r="F12" s="185"/>
      <c r="G12" s="183"/>
      <c r="H12" s="183"/>
      <c r="I12" s="185">
        <v>600000000</v>
      </c>
      <c r="J12" s="185">
        <v>600000000</v>
      </c>
      <c r="K12" s="185">
        <v>280000000</v>
      </c>
      <c r="L12" s="185">
        <v>280000000</v>
      </c>
      <c r="M12" s="185">
        <v>280000000</v>
      </c>
      <c r="N12" s="185">
        <v>280000000</v>
      </c>
      <c r="O12" s="130">
        <f t="shared" si="1"/>
        <v>2320000000</v>
      </c>
      <c r="P12" s="206">
        <v>280000000</v>
      </c>
      <c r="Q12" s="185">
        <v>280000000</v>
      </c>
      <c r="R12" s="185">
        <v>280000000</v>
      </c>
      <c r="S12" s="185">
        <v>280000000</v>
      </c>
      <c r="T12" s="185">
        <v>280000000</v>
      </c>
      <c r="U12" s="185">
        <v>280000000</v>
      </c>
      <c r="V12" s="186">
        <f t="shared" si="0"/>
        <v>6320000000</v>
      </c>
      <c r="W12" s="188">
        <f>SUM(V12:V12)/$V$19</f>
        <v>0.36147262345333903</v>
      </c>
      <c r="Y12" s="203">
        <f>SUM(Y11:Y11)</f>
        <v>1870000000</v>
      </c>
      <c r="AA12" s="204" t="e">
        <f>+#REF!</f>
        <v>#REF!</v>
      </c>
    </row>
    <row r="13" spans="1:27" ht="15.5" thickTop="1" thickBot="1">
      <c r="A13" s="144" t="s">
        <v>70</v>
      </c>
      <c r="B13" s="147" t="s">
        <v>70</v>
      </c>
      <c r="C13" s="128" t="s">
        <v>116</v>
      </c>
      <c r="D13" s="129">
        <v>1062000000</v>
      </c>
      <c r="E13" s="205"/>
      <c r="F13" s="185"/>
      <c r="G13" s="183"/>
      <c r="H13" s="183"/>
      <c r="I13" s="185"/>
      <c r="J13" s="185"/>
      <c r="K13" s="185">
        <f>+D13</f>
        <v>1062000000</v>
      </c>
      <c r="L13" s="185"/>
      <c r="M13" s="185"/>
      <c r="N13" s="185"/>
      <c r="O13" s="130">
        <f t="shared" si="1"/>
        <v>1062000000</v>
      </c>
      <c r="P13" s="206"/>
      <c r="Q13" s="185"/>
      <c r="R13" s="185"/>
      <c r="S13" s="185"/>
      <c r="T13" s="185"/>
      <c r="U13" s="185"/>
      <c r="V13" s="186">
        <f t="shared" si="0"/>
        <v>2124000000</v>
      </c>
      <c r="W13" s="188">
        <f>SUM(V13:V13)/V19</f>
        <v>0.12148225509729305</v>
      </c>
    </row>
    <row r="14" spans="1:27" ht="15" thickBot="1">
      <c r="A14" s="144" t="s">
        <v>57</v>
      </c>
      <c r="B14" s="147" t="s">
        <v>58</v>
      </c>
      <c r="C14" s="128" t="s">
        <v>139</v>
      </c>
      <c r="D14" s="129">
        <v>375000000</v>
      </c>
      <c r="E14" s="205"/>
      <c r="F14" s="185"/>
      <c r="G14" s="183"/>
      <c r="H14" s="183"/>
      <c r="I14" s="185"/>
      <c r="J14" s="185"/>
      <c r="K14" s="185"/>
      <c r="L14" s="185"/>
      <c r="M14" s="185"/>
      <c r="N14" s="185">
        <f>+D14*0.2</f>
        <v>75000000</v>
      </c>
      <c r="O14" s="130">
        <f t="shared" si="1"/>
        <v>75000000</v>
      </c>
      <c r="P14" s="206"/>
      <c r="Q14" s="185"/>
      <c r="R14" s="185"/>
      <c r="S14" s="185"/>
      <c r="T14" s="185"/>
      <c r="U14" s="185">
        <f>+D14-N14</f>
        <v>300000000</v>
      </c>
      <c r="V14" s="186">
        <f t="shared" si="0"/>
        <v>450000000</v>
      </c>
      <c r="W14" s="188">
        <f>SUM(V14:V14)/V19</f>
        <v>2.5737765910443442E-2</v>
      </c>
      <c r="X14" s="170">
        <v>821</v>
      </c>
      <c r="Y14" s="189">
        <f>SUM(V14:V14)</f>
        <v>450000000</v>
      </c>
      <c r="Z14" s="176" t="e">
        <f>+Y14/#REF!</f>
        <v>#REF!</v>
      </c>
      <c r="AA14" s="174" t="e">
        <f>+Z14*#REF!</f>
        <v>#REF!</v>
      </c>
    </row>
    <row r="15" spans="1:27" ht="28">
      <c r="A15" s="144" t="s">
        <v>81</v>
      </c>
      <c r="B15" s="147" t="s">
        <v>141</v>
      </c>
      <c r="C15" s="128" t="s">
        <v>122</v>
      </c>
      <c r="D15" s="129">
        <v>400000000</v>
      </c>
      <c r="E15" s="205"/>
      <c r="F15" s="185"/>
      <c r="G15" s="183"/>
      <c r="H15" s="183"/>
      <c r="I15" s="185"/>
      <c r="J15" s="185"/>
      <c r="K15" s="185"/>
      <c r="L15" s="185"/>
      <c r="M15" s="185"/>
      <c r="N15" s="185"/>
      <c r="O15" s="130">
        <f t="shared" si="1"/>
        <v>0</v>
      </c>
      <c r="P15" s="206"/>
      <c r="Q15" s="185">
        <f>+D15</f>
        <v>400000000</v>
      </c>
      <c r="R15" s="185"/>
      <c r="S15" s="185"/>
      <c r="T15" s="185"/>
      <c r="U15" s="185"/>
      <c r="V15" s="186">
        <f t="shared" si="0"/>
        <v>400000000</v>
      </c>
      <c r="W15" s="188">
        <f>SUM(V15:V18)/V19</f>
        <v>9.0082180686552049E-2</v>
      </c>
    </row>
    <row r="16" spans="1:27" ht="28">
      <c r="A16" s="148" t="s">
        <v>81</v>
      </c>
      <c r="B16" s="149" t="s">
        <v>141</v>
      </c>
      <c r="C16" s="134" t="s">
        <v>124</v>
      </c>
      <c r="D16" s="135">
        <v>350000000</v>
      </c>
      <c r="E16" s="207"/>
      <c r="F16" s="194"/>
      <c r="G16" s="192"/>
      <c r="H16" s="192"/>
      <c r="I16" s="194"/>
      <c r="J16" s="194"/>
      <c r="K16" s="194"/>
      <c r="L16" s="194"/>
      <c r="M16" s="194"/>
      <c r="N16" s="194"/>
      <c r="O16" s="136">
        <f t="shared" si="1"/>
        <v>0</v>
      </c>
      <c r="P16" s="208"/>
      <c r="Q16" s="194"/>
      <c r="R16" s="194"/>
      <c r="S16" s="194">
        <f>+D16</f>
        <v>350000000</v>
      </c>
      <c r="T16" s="194"/>
      <c r="U16" s="194"/>
      <c r="V16" s="195">
        <f t="shared" si="0"/>
        <v>350000000</v>
      </c>
      <c r="W16" s="197"/>
    </row>
    <row r="17" spans="1:27" ht="28">
      <c r="A17" s="148" t="s">
        <v>81</v>
      </c>
      <c r="B17" s="149" t="s">
        <v>95</v>
      </c>
      <c r="C17" s="134" t="s">
        <v>100</v>
      </c>
      <c r="D17" s="135">
        <v>350000000</v>
      </c>
      <c r="E17" s="207"/>
      <c r="F17" s="194"/>
      <c r="G17" s="192"/>
      <c r="H17" s="192"/>
      <c r="I17" s="194"/>
      <c r="J17" s="194"/>
      <c r="K17" s="194"/>
      <c r="L17" s="194"/>
      <c r="M17" s="194"/>
      <c r="N17" s="194">
        <f>+D17/2</f>
        <v>175000000</v>
      </c>
      <c r="O17" s="136">
        <f t="shared" si="1"/>
        <v>175000000</v>
      </c>
      <c r="P17" s="208"/>
      <c r="Q17" s="194"/>
      <c r="R17" s="194"/>
      <c r="S17" s="194"/>
      <c r="T17" s="194"/>
      <c r="U17" s="194">
        <v>175000000</v>
      </c>
      <c r="V17" s="195">
        <f t="shared" si="0"/>
        <v>525000000</v>
      </c>
      <c r="W17" s="197"/>
      <c r="X17" s="170">
        <v>811</v>
      </c>
      <c r="Y17" s="189">
        <f>+V17</f>
        <v>525000000</v>
      </c>
      <c r="Z17" s="176">
        <f>+Y17/$Y$18</f>
        <v>1</v>
      </c>
      <c r="AA17" s="174" t="e">
        <f>+Z17*$AA$18</f>
        <v>#REF!</v>
      </c>
    </row>
    <row r="18" spans="1:27" ht="15" thickBot="1">
      <c r="A18" s="132" t="s">
        <v>81</v>
      </c>
      <c r="B18" s="133" t="s">
        <v>143</v>
      </c>
      <c r="C18" s="155" t="s">
        <v>126</v>
      </c>
      <c r="D18" s="156">
        <v>300000000</v>
      </c>
      <c r="E18" s="191"/>
      <c r="F18" s="193"/>
      <c r="G18" s="192"/>
      <c r="H18" s="192"/>
      <c r="I18" s="193"/>
      <c r="J18" s="193"/>
      <c r="K18" s="193"/>
      <c r="L18" s="193"/>
      <c r="M18" s="193"/>
      <c r="N18" s="193"/>
      <c r="O18" s="157">
        <f t="shared" si="1"/>
        <v>0</v>
      </c>
      <c r="P18" s="209"/>
      <c r="Q18" s="200"/>
      <c r="R18" s="200"/>
      <c r="S18" s="200"/>
      <c r="T18" s="200">
        <f>+D18</f>
        <v>300000000</v>
      </c>
      <c r="U18" s="200"/>
      <c r="V18" s="199">
        <f t="shared" si="0"/>
        <v>300000000</v>
      </c>
      <c r="W18" s="202"/>
      <c r="Y18" s="203">
        <f>SUM(Y17:Y17)</f>
        <v>525000000</v>
      </c>
      <c r="AA18" s="204" t="e">
        <f>+#REF!</f>
        <v>#REF!</v>
      </c>
    </row>
    <row r="19" spans="1:27" ht="21" customHeight="1" thickBot="1">
      <c r="A19" s="161"/>
      <c r="B19" s="162" t="s">
        <v>22</v>
      </c>
      <c r="C19" s="163"/>
      <c r="D19" s="164">
        <f t="shared" ref="D19:N19" si="2">SUM(D7:D18)</f>
        <v>11660690000</v>
      </c>
      <c r="E19" s="164">
        <f t="shared" si="2"/>
        <v>0</v>
      </c>
      <c r="F19" s="164">
        <f t="shared" si="2"/>
        <v>0</v>
      </c>
      <c r="G19" s="164">
        <f t="shared" si="2"/>
        <v>0</v>
      </c>
      <c r="H19" s="164">
        <f t="shared" si="2"/>
        <v>0</v>
      </c>
      <c r="I19" s="164">
        <f t="shared" si="2"/>
        <v>1540000000</v>
      </c>
      <c r="J19" s="164">
        <f t="shared" si="2"/>
        <v>740000000</v>
      </c>
      <c r="K19" s="164">
        <f t="shared" si="2"/>
        <v>1342000000</v>
      </c>
      <c r="L19" s="164">
        <f t="shared" si="2"/>
        <v>680000000</v>
      </c>
      <c r="M19" s="164">
        <f t="shared" si="2"/>
        <v>280000000</v>
      </c>
      <c r="N19" s="164">
        <f t="shared" si="2"/>
        <v>1241345000</v>
      </c>
      <c r="O19" s="166">
        <f t="shared" si="1"/>
        <v>5823345000</v>
      </c>
      <c r="P19" s="210">
        <f t="shared" ref="P19:W19" si="3">SUM(P7:P18)</f>
        <v>1040000000</v>
      </c>
      <c r="Q19" s="211">
        <f t="shared" si="3"/>
        <v>680000000</v>
      </c>
      <c r="R19" s="211">
        <f t="shared" si="3"/>
        <v>280000000</v>
      </c>
      <c r="S19" s="211">
        <f t="shared" si="3"/>
        <v>630000000</v>
      </c>
      <c r="T19" s="211">
        <f t="shared" si="3"/>
        <v>1210000000</v>
      </c>
      <c r="U19" s="211">
        <f t="shared" si="3"/>
        <v>1997345000</v>
      </c>
      <c r="V19" s="211">
        <f t="shared" si="3"/>
        <v>17484035000</v>
      </c>
      <c r="W19" s="212">
        <f t="shared" si="3"/>
        <v>1</v>
      </c>
    </row>
    <row r="21" spans="1:27">
      <c r="H21" s="189"/>
      <c r="I21" s="213">
        <f>+I19</f>
        <v>1540000000</v>
      </c>
      <c r="J21" s="214">
        <f t="shared" ref="J21:U21" si="4">+I21+J19</f>
        <v>2280000000</v>
      </c>
      <c r="K21" s="214">
        <f t="shared" si="4"/>
        <v>3622000000</v>
      </c>
      <c r="L21" s="214">
        <f t="shared" si="4"/>
        <v>4302000000</v>
      </c>
      <c r="M21" s="214">
        <f t="shared" si="4"/>
        <v>4582000000</v>
      </c>
      <c r="N21" s="214">
        <f t="shared" si="4"/>
        <v>5823345000</v>
      </c>
      <c r="O21" s="214"/>
      <c r="P21" s="214">
        <f>+N21+P19</f>
        <v>6863345000</v>
      </c>
      <c r="Q21" s="214">
        <f t="shared" si="4"/>
        <v>7543345000</v>
      </c>
      <c r="R21" s="214">
        <f t="shared" si="4"/>
        <v>7823345000</v>
      </c>
      <c r="S21" s="214">
        <f t="shared" si="4"/>
        <v>8453345000</v>
      </c>
      <c r="T21" s="214">
        <f t="shared" si="4"/>
        <v>9663345000</v>
      </c>
      <c r="U21" s="214">
        <f t="shared" si="4"/>
        <v>11660690000</v>
      </c>
      <c r="W21" s="213"/>
    </row>
  </sheetData>
  <mergeCells count="11">
    <mergeCell ref="A5:A6"/>
    <mergeCell ref="E5:E6"/>
    <mergeCell ref="F5:F6"/>
    <mergeCell ref="G5:G6"/>
    <mergeCell ref="H5:H6"/>
    <mergeCell ref="B5:B6"/>
    <mergeCell ref="C1:C2"/>
    <mergeCell ref="C5:C6"/>
    <mergeCell ref="C3:K3"/>
    <mergeCell ref="I5:U5"/>
    <mergeCell ref="C4:J4"/>
  </mergeCells>
  <pageMargins left="0.17" right="0.17" top="0.28999999999999998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60"/>
  <sheetViews>
    <sheetView topLeftCell="A2" workbookViewId="0">
      <pane xSplit="2" ySplit="5" topLeftCell="C18" activePane="bottomRight" state="frozen"/>
      <selection pane="topRight"/>
      <selection pane="bottomLeft"/>
      <selection pane="bottomRight" activeCell="O30" sqref="A30:O60"/>
    </sheetView>
  </sheetViews>
  <sheetFormatPr defaultColWidth="9.1796875" defaultRowHeight="14.5"/>
  <cols>
    <col min="1" max="1" width="10.1796875" style="116" customWidth="1"/>
    <col min="2" max="2" width="25.1796875" style="117" customWidth="1"/>
    <col min="3" max="3" width="43.453125" style="117" customWidth="1"/>
    <col min="4" max="4" width="15.453125" style="117" customWidth="1"/>
    <col min="5" max="5" width="12.26953125" style="117" hidden="1" customWidth="1"/>
    <col min="6" max="6" width="20.1796875" style="117" hidden="1" customWidth="1"/>
    <col min="7" max="7" width="15.453125" style="117" hidden="1" customWidth="1"/>
    <col min="8" max="8" width="14.7265625" style="117" hidden="1" customWidth="1"/>
    <col min="9" max="10" width="16.54296875" style="117" customWidth="1"/>
    <col min="11" max="14" width="14.26953125" style="117" customWidth="1"/>
    <col min="15" max="15" width="15.7265625" style="117" customWidth="1"/>
    <col min="16" max="21" width="15.453125" style="117" hidden="1" customWidth="1"/>
    <col min="22" max="22" width="15.26953125" style="117" hidden="1" customWidth="1"/>
    <col min="23" max="23" width="16.54296875" style="118" hidden="1" customWidth="1"/>
    <col min="24" max="24" width="0" style="117" hidden="1" customWidth="1"/>
    <col min="25" max="25" width="14.26953125" style="117" hidden="1" customWidth="1"/>
    <col min="26" max="26" width="0" style="117" hidden="1" customWidth="1"/>
    <col min="27" max="27" width="15.26953125" style="119" hidden="1" customWidth="1"/>
    <col min="28" max="16384" width="9.1796875" style="117"/>
  </cols>
  <sheetData>
    <row r="1" spans="1:27" ht="28.5" customHeight="1">
      <c r="C1" s="326">
        <v>1000000</v>
      </c>
    </row>
    <row r="2" spans="1:27" ht="15" customHeight="1">
      <c r="C2" s="326"/>
      <c r="D2" s="1"/>
      <c r="F2" s="119"/>
      <c r="G2" s="119"/>
      <c r="H2" s="119"/>
      <c r="J2" s="120"/>
      <c r="K2" s="120"/>
      <c r="L2" s="120"/>
      <c r="M2" s="120"/>
      <c r="N2" s="120"/>
      <c r="O2" s="120" t="s">
        <v>177</v>
      </c>
      <c r="P2" s="120"/>
    </row>
    <row r="3" spans="1:27" ht="15" customHeight="1">
      <c r="C3" s="327" t="s">
        <v>171</v>
      </c>
      <c r="D3" s="328"/>
      <c r="E3" s="328"/>
      <c r="F3" s="328"/>
      <c r="G3" s="328"/>
      <c r="H3" s="328"/>
      <c r="I3" s="328"/>
      <c r="J3" s="328"/>
      <c r="K3" s="328"/>
    </row>
    <row r="4" spans="1:27" ht="15" thickBot="1">
      <c r="C4" s="316" t="s">
        <v>172</v>
      </c>
      <c r="D4" s="316"/>
      <c r="E4" s="316"/>
      <c r="F4" s="316"/>
      <c r="G4" s="316"/>
      <c r="H4" s="316"/>
      <c r="I4" s="316"/>
      <c r="J4" s="316"/>
    </row>
    <row r="5" spans="1:27" ht="28.5" customHeight="1">
      <c r="A5" s="329" t="s">
        <v>1</v>
      </c>
      <c r="B5" s="331" t="s">
        <v>2</v>
      </c>
      <c r="C5" s="331" t="s">
        <v>3</v>
      </c>
      <c r="D5" s="121" t="s">
        <v>111</v>
      </c>
      <c r="E5" s="333" t="s">
        <v>5</v>
      </c>
      <c r="F5" s="331" t="s">
        <v>112</v>
      </c>
      <c r="G5" s="335" t="s">
        <v>131</v>
      </c>
      <c r="H5" s="335" t="s">
        <v>7</v>
      </c>
      <c r="I5" s="337" t="s">
        <v>8</v>
      </c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9"/>
      <c r="V5" s="122"/>
    </row>
    <row r="6" spans="1:27" ht="30.75" customHeight="1" thickBot="1">
      <c r="A6" s="330"/>
      <c r="B6" s="332"/>
      <c r="C6" s="332"/>
      <c r="D6" s="123" t="s">
        <v>9</v>
      </c>
      <c r="E6" s="334"/>
      <c r="F6" s="332"/>
      <c r="G6" s="336"/>
      <c r="H6" s="336"/>
      <c r="I6" s="123" t="s">
        <v>10</v>
      </c>
      <c r="J6" s="123" t="s">
        <v>11</v>
      </c>
      <c r="K6" s="123" t="s">
        <v>12</v>
      </c>
      <c r="L6" s="123" t="s">
        <v>13</v>
      </c>
      <c r="M6" s="123" t="s">
        <v>14</v>
      </c>
      <c r="N6" s="123" t="s">
        <v>15</v>
      </c>
      <c r="O6" s="123" t="s">
        <v>169</v>
      </c>
      <c r="P6" s="124" t="s">
        <v>16</v>
      </c>
      <c r="Q6" s="124" t="s">
        <v>17</v>
      </c>
      <c r="R6" s="124" t="s">
        <v>18</v>
      </c>
      <c r="S6" s="124" t="s">
        <v>19</v>
      </c>
      <c r="T6" s="124" t="s">
        <v>20</v>
      </c>
      <c r="U6" s="125" t="s">
        <v>21</v>
      </c>
      <c r="V6" s="122">
        <v>2025</v>
      </c>
      <c r="W6" s="118" t="s">
        <v>130</v>
      </c>
    </row>
    <row r="7" spans="1:27" s="118" customFormat="1" ht="28.5" thickBot="1">
      <c r="A7" s="215" t="s">
        <v>50</v>
      </c>
      <c r="B7" s="216" t="s">
        <v>64</v>
      </c>
      <c r="C7" s="216" t="s">
        <v>135</v>
      </c>
      <c r="D7" s="217">
        <v>90000000</v>
      </c>
      <c r="E7" s="113"/>
      <c r="F7" s="114"/>
      <c r="G7" s="115"/>
      <c r="H7" s="115"/>
      <c r="I7" s="114"/>
      <c r="J7" s="115"/>
      <c r="K7" s="115"/>
      <c r="L7" s="115"/>
      <c r="M7" s="115"/>
      <c r="N7" s="218">
        <v>45000000</v>
      </c>
      <c r="O7" s="219">
        <f t="shared" ref="O7:O26" si="0">SUM(I7:N7)</f>
        <v>45000000</v>
      </c>
      <c r="P7" s="220"/>
      <c r="Q7" s="115"/>
      <c r="R7" s="115"/>
      <c r="S7" s="115"/>
      <c r="T7" s="115"/>
      <c r="U7" s="218">
        <v>45000000</v>
      </c>
      <c r="V7" s="5">
        <f t="shared" ref="V7:V25" si="1">SUM(I7:U7)</f>
        <v>135000000</v>
      </c>
      <c r="W7" s="14"/>
      <c r="X7" s="118">
        <v>845</v>
      </c>
      <c r="Y7" s="137">
        <f>+V7</f>
        <v>135000000</v>
      </c>
      <c r="Z7" s="120" t="e">
        <f>+Y7/#REF!</f>
        <v>#REF!</v>
      </c>
      <c r="AA7" s="119" t="e">
        <f>+Z7*#REF!</f>
        <v>#REF!</v>
      </c>
    </row>
    <row r="8" spans="1:27" s="118" customFormat="1" ht="15" thickBot="1">
      <c r="A8" s="221" t="s">
        <v>68</v>
      </c>
      <c r="B8" s="222"/>
      <c r="C8" s="222" t="s">
        <v>136</v>
      </c>
      <c r="D8" s="223">
        <v>506000000</v>
      </c>
      <c r="E8" s="3"/>
      <c r="F8" s="4"/>
      <c r="G8" s="5"/>
      <c r="H8" s="5"/>
      <c r="I8" s="4"/>
      <c r="J8" s="160"/>
      <c r="K8" s="160"/>
      <c r="L8" s="160"/>
      <c r="M8" s="160"/>
      <c r="N8" s="160">
        <v>253000000</v>
      </c>
      <c r="O8" s="142">
        <f t="shared" si="0"/>
        <v>253000000</v>
      </c>
      <c r="P8" s="224"/>
      <c r="Q8" s="4"/>
      <c r="R8" s="4"/>
      <c r="S8" s="4"/>
      <c r="T8" s="4"/>
      <c r="U8" s="160">
        <v>253000000</v>
      </c>
      <c r="V8" s="5">
        <f t="shared" si="1"/>
        <v>759000000</v>
      </c>
      <c r="W8" s="14"/>
      <c r="AA8" s="154"/>
    </row>
    <row r="9" spans="1:27">
      <c r="A9" s="225" t="s">
        <v>70</v>
      </c>
      <c r="B9" s="226" t="s">
        <v>70</v>
      </c>
      <c r="C9" s="227" t="s">
        <v>117</v>
      </c>
      <c r="D9" s="228">
        <v>655000000</v>
      </c>
      <c r="E9" s="6"/>
      <c r="F9" s="7"/>
      <c r="G9" s="8"/>
      <c r="H9" s="8"/>
      <c r="I9" s="7"/>
      <c r="J9" s="150"/>
      <c r="K9" s="150"/>
      <c r="L9" s="150"/>
      <c r="M9" s="150"/>
      <c r="N9" s="150"/>
      <c r="O9" s="136">
        <f t="shared" si="0"/>
        <v>0</v>
      </c>
      <c r="P9" s="229">
        <v>210000000</v>
      </c>
      <c r="Q9" s="150"/>
      <c r="R9" s="150">
        <v>210000000</v>
      </c>
      <c r="S9" s="150"/>
      <c r="T9" s="150">
        <v>235000000</v>
      </c>
      <c r="U9" s="150"/>
      <c r="V9" s="15">
        <f t="shared" si="1"/>
        <v>655000000</v>
      </c>
      <c r="W9" s="13"/>
    </row>
    <row r="10" spans="1:27" ht="28">
      <c r="A10" s="225" t="s">
        <v>70</v>
      </c>
      <c r="B10" s="226" t="s">
        <v>70</v>
      </c>
      <c r="C10" s="227" t="s">
        <v>119</v>
      </c>
      <c r="D10" s="228">
        <v>576000000</v>
      </c>
      <c r="E10" s="6"/>
      <c r="F10" s="7"/>
      <c r="G10" s="8"/>
      <c r="H10" s="8"/>
      <c r="I10" s="150">
        <v>288000000</v>
      </c>
      <c r="J10" s="150">
        <v>288000000</v>
      </c>
      <c r="K10" s="150"/>
      <c r="L10" s="150"/>
      <c r="M10" s="150"/>
      <c r="N10" s="150"/>
      <c r="O10" s="136">
        <f t="shared" si="0"/>
        <v>576000000</v>
      </c>
      <c r="P10" s="229"/>
      <c r="Q10" s="150"/>
      <c r="R10" s="150"/>
      <c r="S10" s="150"/>
      <c r="T10" s="150"/>
      <c r="U10" s="150"/>
      <c r="V10" s="15">
        <f t="shared" si="1"/>
        <v>1152000000</v>
      </c>
      <c r="W10" s="13"/>
    </row>
    <row r="11" spans="1:27">
      <c r="A11" s="225" t="s">
        <v>70</v>
      </c>
      <c r="B11" s="226" t="s">
        <v>70</v>
      </c>
      <c r="C11" s="227" t="s">
        <v>137</v>
      </c>
      <c r="D11" s="228">
        <v>400000000</v>
      </c>
      <c r="E11" s="6"/>
      <c r="F11" s="7"/>
      <c r="G11" s="8"/>
      <c r="H11" s="8"/>
      <c r="I11" s="7"/>
      <c r="J11" s="150"/>
      <c r="K11" s="150"/>
      <c r="L11" s="150"/>
      <c r="M11" s="150"/>
      <c r="N11" s="150">
        <v>100000000</v>
      </c>
      <c r="O11" s="136">
        <f t="shared" si="0"/>
        <v>100000000</v>
      </c>
      <c r="P11" s="229">
        <v>200000000</v>
      </c>
      <c r="Q11" s="150">
        <v>100000000</v>
      </c>
      <c r="R11" s="150"/>
      <c r="S11" s="150"/>
      <c r="T11" s="150"/>
      <c r="U11" s="150"/>
      <c r="V11" s="15">
        <f t="shared" si="1"/>
        <v>500000000</v>
      </c>
      <c r="W11" s="13"/>
    </row>
    <row r="12" spans="1:27">
      <c r="A12" s="225" t="s">
        <v>70</v>
      </c>
      <c r="B12" s="226" t="s">
        <v>70</v>
      </c>
      <c r="C12" s="230" t="s">
        <v>118</v>
      </c>
      <c r="D12" s="228">
        <v>596000000</v>
      </c>
      <c r="E12" s="6"/>
      <c r="F12" s="7"/>
      <c r="G12" s="8"/>
      <c r="H12" s="8"/>
      <c r="I12" s="7"/>
      <c r="J12" s="150"/>
      <c r="K12" s="150"/>
      <c r="L12" s="150"/>
      <c r="M12" s="150"/>
      <c r="N12" s="150"/>
      <c r="O12" s="136">
        <f t="shared" si="0"/>
        <v>0</v>
      </c>
      <c r="P12" s="229"/>
      <c r="Q12" s="150">
        <f>+D12*0.4</f>
        <v>238400000</v>
      </c>
      <c r="R12" s="150"/>
      <c r="S12" s="150"/>
      <c r="T12" s="150"/>
      <c r="U12" s="150">
        <f>+D12-Q12</f>
        <v>357600000</v>
      </c>
      <c r="V12" s="15">
        <f t="shared" si="1"/>
        <v>596000000</v>
      </c>
      <c r="W12" s="13"/>
    </row>
    <row r="13" spans="1:27">
      <c r="A13" s="225" t="s">
        <v>70</v>
      </c>
      <c r="B13" s="226" t="s">
        <v>70</v>
      </c>
      <c r="C13" s="230" t="s">
        <v>120</v>
      </c>
      <c r="D13" s="228">
        <v>1150000000</v>
      </c>
      <c r="E13" s="6"/>
      <c r="F13" s="7"/>
      <c r="G13" s="8"/>
      <c r="H13" s="8"/>
      <c r="I13" s="150">
        <f t="shared" ref="I13:U13" si="2">+$D$13/12</f>
        <v>95833333.333333328</v>
      </c>
      <c r="J13" s="150">
        <f t="shared" si="2"/>
        <v>95833333.333333328</v>
      </c>
      <c r="K13" s="150">
        <f t="shared" si="2"/>
        <v>95833333.333333328</v>
      </c>
      <c r="L13" s="150">
        <f t="shared" si="2"/>
        <v>95833333.333333328</v>
      </c>
      <c r="M13" s="150">
        <f t="shared" si="2"/>
        <v>95833333.333333328</v>
      </c>
      <c r="N13" s="150">
        <f t="shared" si="2"/>
        <v>95833333.333333328</v>
      </c>
      <c r="O13" s="136">
        <f t="shared" si="0"/>
        <v>575000000</v>
      </c>
      <c r="P13" s="229">
        <f t="shared" si="2"/>
        <v>95833333.333333328</v>
      </c>
      <c r="Q13" s="150">
        <f t="shared" si="2"/>
        <v>95833333.333333328</v>
      </c>
      <c r="R13" s="150">
        <f t="shared" si="2"/>
        <v>95833333.333333328</v>
      </c>
      <c r="S13" s="150">
        <f t="shared" si="2"/>
        <v>95833333.333333328</v>
      </c>
      <c r="T13" s="150">
        <f t="shared" si="2"/>
        <v>95833333.333333328</v>
      </c>
      <c r="U13" s="150">
        <f t="shared" si="2"/>
        <v>95833333.333333328</v>
      </c>
      <c r="V13" s="15">
        <f t="shared" si="1"/>
        <v>1724999999.9999995</v>
      </c>
      <c r="W13" s="13"/>
    </row>
    <row r="14" spans="1:27">
      <c r="A14" s="225" t="s">
        <v>70</v>
      </c>
      <c r="B14" s="226" t="s">
        <v>70</v>
      </c>
      <c r="C14" s="230" t="s">
        <v>121</v>
      </c>
      <c r="D14" s="228">
        <v>100000000</v>
      </c>
      <c r="E14" s="6"/>
      <c r="F14" s="7"/>
      <c r="G14" s="8"/>
      <c r="H14" s="8"/>
      <c r="I14" s="7"/>
      <c r="J14" s="150"/>
      <c r="K14" s="150">
        <f>+D14/2</f>
        <v>50000000</v>
      </c>
      <c r="L14" s="150"/>
      <c r="M14" s="150"/>
      <c r="N14" s="150"/>
      <c r="O14" s="136">
        <f t="shared" si="0"/>
        <v>50000000</v>
      </c>
      <c r="P14" s="229">
        <f>+K14</f>
        <v>50000000</v>
      </c>
      <c r="Q14" s="150"/>
      <c r="R14" s="150"/>
      <c r="S14" s="150"/>
      <c r="T14" s="150"/>
      <c r="U14" s="150"/>
      <c r="V14" s="15">
        <f t="shared" si="1"/>
        <v>150000000</v>
      </c>
      <c r="W14" s="13"/>
    </row>
    <row r="15" spans="1:27" s="118" customFormat="1" ht="15" thickBot="1">
      <c r="A15" s="221" t="s">
        <v>70</v>
      </c>
      <c r="B15" s="231" t="s">
        <v>70</v>
      </c>
      <c r="C15" s="232" t="s">
        <v>138</v>
      </c>
      <c r="D15" s="223">
        <v>1562630000</v>
      </c>
      <c r="E15" s="3"/>
      <c r="F15" s="4"/>
      <c r="G15" s="5"/>
      <c r="H15" s="5"/>
      <c r="I15" s="4"/>
      <c r="J15" s="160"/>
      <c r="K15" s="160">
        <v>390657500</v>
      </c>
      <c r="L15" s="160"/>
      <c r="M15" s="160"/>
      <c r="N15" s="160">
        <v>390657500</v>
      </c>
      <c r="O15" s="142">
        <f t="shared" si="0"/>
        <v>781315000</v>
      </c>
      <c r="P15" s="233"/>
      <c r="Q15" s="160"/>
      <c r="R15" s="160">
        <v>390657500</v>
      </c>
      <c r="S15" s="160"/>
      <c r="T15" s="160"/>
      <c r="U15" s="160">
        <v>390657500</v>
      </c>
      <c r="V15" s="5">
        <f t="shared" si="1"/>
        <v>2343945000</v>
      </c>
      <c r="W15" s="14"/>
      <c r="AA15" s="154"/>
    </row>
    <row r="16" spans="1:27">
      <c r="A16" s="225" t="s">
        <v>57</v>
      </c>
      <c r="B16" s="226" t="s">
        <v>58</v>
      </c>
      <c r="C16" s="227" t="s">
        <v>113</v>
      </c>
      <c r="D16" s="228">
        <v>180000000</v>
      </c>
      <c r="E16" s="6"/>
      <c r="F16" s="7"/>
      <c r="G16" s="8"/>
      <c r="H16" s="8"/>
      <c r="I16" s="7"/>
      <c r="J16" s="7"/>
      <c r="K16" s="7"/>
      <c r="L16" s="7"/>
      <c r="M16" s="7"/>
      <c r="N16" s="150"/>
      <c r="O16" s="136">
        <f t="shared" si="0"/>
        <v>0</v>
      </c>
      <c r="P16" s="151"/>
      <c r="Q16" s="150">
        <f>+D16</f>
        <v>180000000</v>
      </c>
      <c r="R16" s="7"/>
      <c r="S16" s="7"/>
      <c r="T16" s="7"/>
      <c r="U16" s="150"/>
      <c r="V16" s="15">
        <f t="shared" si="1"/>
        <v>180000000</v>
      </c>
      <c r="W16" s="13"/>
      <c r="X16" s="117">
        <v>822</v>
      </c>
      <c r="Y16" s="131">
        <f>+V18</f>
        <v>525000000</v>
      </c>
      <c r="Z16" s="120">
        <f>+Y16/$Y$17</f>
        <v>1</v>
      </c>
      <c r="AA16" s="119" t="e">
        <f>+Z16*$AA$17</f>
        <v>#REF!</v>
      </c>
    </row>
    <row r="17" spans="1:27" ht="28.5" thickBot="1">
      <c r="A17" s="225" t="s">
        <v>57</v>
      </c>
      <c r="B17" s="226" t="s">
        <v>58</v>
      </c>
      <c r="C17" s="227" t="s">
        <v>114</v>
      </c>
      <c r="D17" s="228">
        <v>110000000</v>
      </c>
      <c r="E17" s="6"/>
      <c r="F17" s="7"/>
      <c r="G17" s="8"/>
      <c r="H17" s="8"/>
      <c r="I17" s="7"/>
      <c r="J17" s="7"/>
      <c r="K17" s="7"/>
      <c r="L17" s="7"/>
      <c r="M17" s="7"/>
      <c r="N17" s="150">
        <f>+D17*0.2</f>
        <v>22000000</v>
      </c>
      <c r="O17" s="136">
        <f t="shared" si="0"/>
        <v>22000000</v>
      </c>
      <c r="P17" s="151"/>
      <c r="Q17" s="150"/>
      <c r="R17" s="7"/>
      <c r="S17" s="7"/>
      <c r="T17" s="7"/>
      <c r="U17" s="150">
        <f>+D17-N17</f>
        <v>88000000</v>
      </c>
      <c r="V17" s="15">
        <f t="shared" si="1"/>
        <v>132000000</v>
      </c>
      <c r="W17" s="13"/>
      <c r="Y17" s="145">
        <f>SUM(Y16:Y16)</f>
        <v>525000000</v>
      </c>
      <c r="AA17" s="146" t="e">
        <f>+#REF!</f>
        <v>#REF!</v>
      </c>
    </row>
    <row r="18" spans="1:27" s="118" customFormat="1" ht="15.5" thickTop="1" thickBot="1">
      <c r="A18" s="221" t="s">
        <v>57</v>
      </c>
      <c r="B18" s="231" t="s">
        <v>140</v>
      </c>
      <c r="C18" s="222" t="s">
        <v>115</v>
      </c>
      <c r="D18" s="223">
        <v>350000000</v>
      </c>
      <c r="E18" s="3"/>
      <c r="F18" s="4"/>
      <c r="G18" s="5"/>
      <c r="H18" s="5"/>
      <c r="I18" s="4"/>
      <c r="J18" s="4"/>
      <c r="K18" s="4"/>
      <c r="L18" s="4"/>
      <c r="M18" s="4"/>
      <c r="N18" s="160">
        <f>+D18/2</f>
        <v>175000000</v>
      </c>
      <c r="O18" s="142">
        <f t="shared" si="0"/>
        <v>175000000</v>
      </c>
      <c r="P18" s="224"/>
      <c r="Q18" s="160"/>
      <c r="R18" s="4"/>
      <c r="S18" s="4"/>
      <c r="T18" s="4"/>
      <c r="U18" s="160">
        <v>175000000</v>
      </c>
      <c r="V18" s="5">
        <f t="shared" si="1"/>
        <v>525000000</v>
      </c>
      <c r="W18" s="14"/>
      <c r="AA18" s="154"/>
    </row>
    <row r="19" spans="1:27">
      <c r="A19" s="225" t="s">
        <v>81</v>
      </c>
      <c r="B19" s="226" t="s">
        <v>141</v>
      </c>
      <c r="C19" s="227" t="s">
        <v>123</v>
      </c>
      <c r="D19" s="228">
        <v>400000000</v>
      </c>
      <c r="E19" s="6"/>
      <c r="F19" s="7"/>
      <c r="G19" s="8"/>
      <c r="H19" s="8"/>
      <c r="I19" s="7"/>
      <c r="J19" s="7"/>
      <c r="K19" s="7"/>
      <c r="L19" s="7"/>
      <c r="M19" s="7"/>
      <c r="N19" s="150"/>
      <c r="O19" s="136">
        <f t="shared" si="0"/>
        <v>0</v>
      </c>
      <c r="P19" s="151"/>
      <c r="Q19" s="7"/>
      <c r="R19" s="7"/>
      <c r="S19" s="150">
        <f>+D19</f>
        <v>400000000</v>
      </c>
      <c r="T19" s="7"/>
      <c r="U19" s="150"/>
      <c r="V19" s="15">
        <f t="shared" si="1"/>
        <v>400000000</v>
      </c>
      <c r="W19" s="13"/>
    </row>
    <row r="20" spans="1:27" s="118" customFormat="1">
      <c r="A20" s="234" t="s">
        <v>81</v>
      </c>
      <c r="B20" s="235" t="s">
        <v>141</v>
      </c>
      <c r="C20" s="236" t="s">
        <v>125</v>
      </c>
      <c r="D20" s="237">
        <v>100000000</v>
      </c>
      <c r="E20" s="9"/>
      <c r="F20" s="10"/>
      <c r="G20" s="2"/>
      <c r="H20" s="2"/>
      <c r="I20" s="10"/>
      <c r="J20" s="10"/>
      <c r="K20" s="10"/>
      <c r="L20" s="10"/>
      <c r="M20" s="10"/>
      <c r="N20" s="150">
        <v>50000000</v>
      </c>
      <c r="O20" s="136">
        <f t="shared" si="0"/>
        <v>50000000</v>
      </c>
      <c r="P20" s="152"/>
      <c r="Q20" s="10"/>
      <c r="R20" s="10"/>
      <c r="S20" s="150"/>
      <c r="T20" s="10"/>
      <c r="U20" s="150">
        <v>50000000</v>
      </c>
      <c r="V20" s="12">
        <f t="shared" si="1"/>
        <v>150000000</v>
      </c>
      <c r="W20" s="13"/>
      <c r="X20" s="118">
        <v>813</v>
      </c>
      <c r="Y20" s="137">
        <f>SUM(V19:V20)</f>
        <v>550000000</v>
      </c>
      <c r="Z20" s="153">
        <f>+Y20/$Y$25</f>
        <v>0.23389325962151819</v>
      </c>
      <c r="AA20" s="154" t="e">
        <f>+Z20*$AA$25</f>
        <v>#REF!</v>
      </c>
    </row>
    <row r="21" spans="1:27" s="118" customFormat="1">
      <c r="A21" s="234" t="s">
        <v>81</v>
      </c>
      <c r="B21" s="235" t="s">
        <v>87</v>
      </c>
      <c r="C21" s="236" t="s">
        <v>142</v>
      </c>
      <c r="D21" s="237">
        <v>251000000</v>
      </c>
      <c r="E21" s="9"/>
      <c r="F21" s="10"/>
      <c r="G21" s="2"/>
      <c r="H21" s="2"/>
      <c r="I21" s="10"/>
      <c r="J21" s="10"/>
      <c r="K21" s="10"/>
      <c r="L21" s="10"/>
      <c r="M21" s="10"/>
      <c r="N21" s="150">
        <f>+D21/2</f>
        <v>125500000</v>
      </c>
      <c r="O21" s="136">
        <f t="shared" si="0"/>
        <v>125500000</v>
      </c>
      <c r="P21" s="152"/>
      <c r="Q21" s="10"/>
      <c r="R21" s="10"/>
      <c r="S21" s="10"/>
      <c r="T21" s="10"/>
      <c r="U21" s="150">
        <v>125500000</v>
      </c>
      <c r="V21" s="12">
        <f t="shared" si="1"/>
        <v>376500000</v>
      </c>
      <c r="W21" s="13"/>
      <c r="X21" s="118">
        <v>816</v>
      </c>
      <c r="Y21" s="137">
        <f>+V21</f>
        <v>376500000</v>
      </c>
      <c r="Z21" s="153">
        <f>+Y21/$Y$25</f>
        <v>0.16011056772273016</v>
      </c>
      <c r="AA21" s="154" t="e">
        <f>+Z21*$AA$25</f>
        <v>#REF!</v>
      </c>
    </row>
    <row r="22" spans="1:27" s="118" customFormat="1" ht="42">
      <c r="A22" s="234" t="s">
        <v>81</v>
      </c>
      <c r="B22" s="235" t="s">
        <v>143</v>
      </c>
      <c r="C22" s="236" t="s">
        <v>144</v>
      </c>
      <c r="D22" s="237">
        <v>400000000</v>
      </c>
      <c r="E22" s="9"/>
      <c r="F22" s="10"/>
      <c r="G22" s="2"/>
      <c r="H22" s="2"/>
      <c r="I22" s="10"/>
      <c r="J22" s="10"/>
      <c r="K22" s="150">
        <v>100000000</v>
      </c>
      <c r="L22" s="10"/>
      <c r="M22" s="10"/>
      <c r="N22" s="150">
        <v>100000000</v>
      </c>
      <c r="O22" s="136">
        <f t="shared" si="0"/>
        <v>200000000</v>
      </c>
      <c r="P22" s="152"/>
      <c r="Q22" s="10"/>
      <c r="R22" s="150">
        <v>100000000</v>
      </c>
      <c r="S22" s="10"/>
      <c r="T22" s="10"/>
      <c r="U22" s="150">
        <v>100000000</v>
      </c>
      <c r="V22" s="12">
        <f t="shared" si="1"/>
        <v>600000000</v>
      </c>
      <c r="W22" s="13"/>
      <c r="X22" s="118">
        <v>817</v>
      </c>
      <c r="Y22" s="137">
        <f>+V22+V25</f>
        <v>900000000</v>
      </c>
      <c r="Z22" s="153">
        <f>+Y22/$Y$25</f>
        <v>0.38273442483521158</v>
      </c>
      <c r="AA22" s="154" t="e">
        <f>+Z22*$AA$25</f>
        <v>#REF!</v>
      </c>
    </row>
    <row r="23" spans="1:27" s="118" customFormat="1">
      <c r="A23" s="234" t="s">
        <v>81</v>
      </c>
      <c r="B23" s="235" t="s">
        <v>127</v>
      </c>
      <c r="C23" s="236" t="s">
        <v>128</v>
      </c>
      <c r="D23" s="237">
        <v>240000000</v>
      </c>
      <c r="E23" s="9"/>
      <c r="F23" s="10"/>
      <c r="G23" s="2"/>
      <c r="H23" s="2"/>
      <c r="I23" s="10"/>
      <c r="J23" s="10"/>
      <c r="K23" s="10"/>
      <c r="L23" s="10"/>
      <c r="M23" s="10"/>
      <c r="N23" s="150">
        <v>120000000</v>
      </c>
      <c r="O23" s="136">
        <f t="shared" si="0"/>
        <v>120000000</v>
      </c>
      <c r="P23" s="152"/>
      <c r="Q23" s="10"/>
      <c r="R23" s="10"/>
      <c r="S23" s="10"/>
      <c r="T23" s="10"/>
      <c r="U23" s="150">
        <v>120000000</v>
      </c>
      <c r="V23" s="12">
        <f t="shared" si="1"/>
        <v>360000000</v>
      </c>
      <c r="W23" s="13"/>
      <c r="X23" s="118">
        <v>812</v>
      </c>
      <c r="Y23" s="137">
        <f>+V23</f>
        <v>360000000</v>
      </c>
      <c r="Z23" s="153">
        <f>+Y23/$Y$25</f>
        <v>0.15309376993408463</v>
      </c>
      <c r="AA23" s="154" t="e">
        <f>+Z23*$AA$25</f>
        <v>#REF!</v>
      </c>
    </row>
    <row r="24" spans="1:27" s="118" customFormat="1" ht="28">
      <c r="A24" s="234" t="s">
        <v>81</v>
      </c>
      <c r="B24" s="235" t="s">
        <v>104</v>
      </c>
      <c r="C24" s="236" t="s">
        <v>129</v>
      </c>
      <c r="D24" s="237">
        <v>110000000</v>
      </c>
      <c r="E24" s="9"/>
      <c r="F24" s="10"/>
      <c r="G24" s="2"/>
      <c r="H24" s="2"/>
      <c r="I24" s="10"/>
      <c r="J24" s="10"/>
      <c r="K24" s="10"/>
      <c r="L24" s="10"/>
      <c r="M24" s="10"/>
      <c r="N24" s="150">
        <v>55000000</v>
      </c>
      <c r="O24" s="136">
        <f t="shared" si="0"/>
        <v>55000000</v>
      </c>
      <c r="P24" s="152"/>
      <c r="Q24" s="10"/>
      <c r="R24" s="10"/>
      <c r="S24" s="10"/>
      <c r="T24" s="10"/>
      <c r="U24" s="150">
        <v>55000000</v>
      </c>
      <c r="V24" s="12">
        <f t="shared" si="1"/>
        <v>165000000</v>
      </c>
      <c r="W24" s="13"/>
      <c r="X24" s="118">
        <v>819</v>
      </c>
      <c r="Y24" s="137">
        <f>+V24</f>
        <v>165000000</v>
      </c>
      <c r="Z24" s="153">
        <f>+Y24/$Y$25</f>
        <v>7.0167977886455457E-2</v>
      </c>
      <c r="AA24" s="154" t="e">
        <f>+Z24*$AA$25</f>
        <v>#REF!</v>
      </c>
    </row>
    <row r="25" spans="1:27" ht="15" thickBot="1">
      <c r="A25" s="238" t="s">
        <v>81</v>
      </c>
      <c r="B25" s="239" t="s">
        <v>143</v>
      </c>
      <c r="C25" s="240" t="s">
        <v>126</v>
      </c>
      <c r="D25" s="241">
        <v>300000000</v>
      </c>
      <c r="E25" s="111"/>
      <c r="F25" s="112"/>
      <c r="G25" s="8"/>
      <c r="H25" s="8"/>
      <c r="I25" s="112"/>
      <c r="J25" s="112"/>
      <c r="K25" s="112"/>
      <c r="L25" s="112"/>
      <c r="M25" s="112"/>
      <c r="N25" s="112"/>
      <c r="O25" s="157">
        <f t="shared" si="0"/>
        <v>0</v>
      </c>
      <c r="P25" s="158"/>
      <c r="Q25" s="159"/>
      <c r="R25" s="159"/>
      <c r="S25" s="159"/>
      <c r="T25" s="160">
        <f>+D25</f>
        <v>300000000</v>
      </c>
      <c r="U25" s="160"/>
      <c r="V25" s="11">
        <f t="shared" si="1"/>
        <v>300000000</v>
      </c>
      <c r="W25" s="14"/>
      <c r="Y25" s="145">
        <f>SUM(Y20:Y24)</f>
        <v>2351500000</v>
      </c>
      <c r="AA25" s="146" t="e">
        <f>+#REF!</f>
        <v>#REF!</v>
      </c>
    </row>
    <row r="26" spans="1:27" ht="21" customHeight="1" thickBot="1">
      <c r="A26" s="242"/>
      <c r="B26" s="243" t="s">
        <v>22</v>
      </c>
      <c r="C26" s="163"/>
      <c r="D26" s="165">
        <f t="shared" ref="D26:N26" si="3">SUM(D7:D25)</f>
        <v>8076630000</v>
      </c>
      <c r="E26" s="165">
        <f t="shared" si="3"/>
        <v>0</v>
      </c>
      <c r="F26" s="165">
        <f t="shared" si="3"/>
        <v>0</v>
      </c>
      <c r="G26" s="165">
        <f t="shared" si="3"/>
        <v>0</v>
      </c>
      <c r="H26" s="165">
        <f t="shared" si="3"/>
        <v>0</v>
      </c>
      <c r="I26" s="165">
        <f t="shared" si="3"/>
        <v>383833333.33333331</v>
      </c>
      <c r="J26" s="165">
        <f t="shared" si="3"/>
        <v>383833333.33333331</v>
      </c>
      <c r="K26" s="165">
        <f t="shared" si="3"/>
        <v>636490833.33333325</v>
      </c>
      <c r="L26" s="165">
        <f t="shared" si="3"/>
        <v>95833333.333333328</v>
      </c>
      <c r="M26" s="165">
        <f t="shared" si="3"/>
        <v>95833333.333333328</v>
      </c>
      <c r="N26" s="165">
        <f t="shared" si="3"/>
        <v>1531990833.3333333</v>
      </c>
      <c r="O26" s="166">
        <f t="shared" si="0"/>
        <v>3127815000</v>
      </c>
      <c r="P26" s="167">
        <f t="shared" ref="P26:W26" si="4">SUM(P7:P25)</f>
        <v>555833333.33333325</v>
      </c>
      <c r="Q26" s="168">
        <f t="shared" si="4"/>
        <v>614233333.33333325</v>
      </c>
      <c r="R26" s="168">
        <f t="shared" si="4"/>
        <v>796490833.33333325</v>
      </c>
      <c r="S26" s="168">
        <f t="shared" si="4"/>
        <v>495833333.33333331</v>
      </c>
      <c r="T26" s="168">
        <f t="shared" si="4"/>
        <v>630833333.33333325</v>
      </c>
      <c r="U26" s="168">
        <f t="shared" si="4"/>
        <v>1855590833.3333335</v>
      </c>
      <c r="V26" s="168">
        <f t="shared" si="4"/>
        <v>11204445000</v>
      </c>
      <c r="W26" s="16">
        <f t="shared" si="4"/>
        <v>0</v>
      </c>
    </row>
    <row r="28" spans="1:27">
      <c r="H28" s="131"/>
      <c r="I28" s="171">
        <f>+I26</f>
        <v>383833333.33333331</v>
      </c>
      <c r="J28" s="172">
        <f t="shared" ref="J28:U28" si="5">+I28+J26</f>
        <v>767666666.66666663</v>
      </c>
      <c r="K28" s="172">
        <f t="shared" si="5"/>
        <v>1404157500</v>
      </c>
      <c r="L28" s="172">
        <f t="shared" si="5"/>
        <v>1499990833.3333333</v>
      </c>
      <c r="M28" s="172">
        <f t="shared" si="5"/>
        <v>1595824166.6666665</v>
      </c>
      <c r="N28" s="172">
        <f t="shared" si="5"/>
        <v>3127815000</v>
      </c>
      <c r="O28" s="172"/>
      <c r="P28" s="172">
        <f>+N28+P26</f>
        <v>3683648333.333333</v>
      </c>
      <c r="Q28" s="172">
        <f t="shared" si="5"/>
        <v>4297881666.666666</v>
      </c>
      <c r="R28" s="172">
        <f t="shared" si="5"/>
        <v>5094372499.999999</v>
      </c>
      <c r="S28" s="172">
        <f t="shared" si="5"/>
        <v>5590205833.3333321</v>
      </c>
      <c r="T28" s="172">
        <f t="shared" si="5"/>
        <v>6221039166.6666651</v>
      </c>
      <c r="U28" s="172">
        <f t="shared" si="5"/>
        <v>8076629999.9999981</v>
      </c>
      <c r="W28" s="173"/>
    </row>
    <row r="30" spans="1:27">
      <c r="C30" s="327" t="s">
        <v>171</v>
      </c>
      <c r="D30" s="328"/>
      <c r="E30" s="328"/>
      <c r="F30" s="328"/>
      <c r="G30" s="328"/>
      <c r="H30" s="328"/>
      <c r="I30" s="328"/>
      <c r="J30" s="328"/>
      <c r="K30" s="328"/>
    </row>
    <row r="31" spans="1:27" ht="19" thickBot="1">
      <c r="B31" s="244" t="s">
        <v>145</v>
      </c>
      <c r="C31" s="316" t="s">
        <v>173</v>
      </c>
      <c r="D31" s="316"/>
      <c r="E31" s="316"/>
      <c r="F31" s="316"/>
      <c r="G31" s="316"/>
      <c r="H31" s="316"/>
      <c r="I31" s="316"/>
      <c r="J31" s="316"/>
    </row>
    <row r="32" spans="1:27" ht="15" thickBot="1">
      <c r="A32" s="317" t="s">
        <v>146</v>
      </c>
      <c r="B32" s="245" t="s">
        <v>24</v>
      </c>
      <c r="C32" s="313" t="s">
        <v>174</v>
      </c>
      <c r="D32" s="246"/>
      <c r="E32" s="247"/>
      <c r="F32" s="247"/>
      <c r="G32" s="247"/>
      <c r="H32" s="247"/>
      <c r="I32" s="248">
        <v>2472078.5</v>
      </c>
      <c r="J32" s="248">
        <v>2472078.5</v>
      </c>
      <c r="K32" s="248">
        <v>2472078.5</v>
      </c>
      <c r="L32" s="248">
        <v>2472078.5</v>
      </c>
      <c r="M32" s="248">
        <v>2472078.5</v>
      </c>
      <c r="N32" s="248">
        <v>2472078.5</v>
      </c>
      <c r="O32" s="249">
        <f>SUM(I32:N32)</f>
        <v>14832471</v>
      </c>
    </row>
    <row r="33" spans="1:15" ht="15" thickBot="1">
      <c r="A33" s="318"/>
      <c r="B33" s="250" t="s">
        <v>29</v>
      </c>
      <c r="C33" s="314"/>
      <c r="D33" s="230"/>
      <c r="E33" s="230"/>
      <c r="F33" s="230"/>
      <c r="G33" s="230"/>
      <c r="H33" s="230"/>
      <c r="I33" s="251">
        <v>13433181.1666667</v>
      </c>
      <c r="J33" s="251">
        <v>13433181.1666667</v>
      </c>
      <c r="K33" s="251">
        <v>13433181.1666667</v>
      </c>
      <c r="L33" s="251">
        <v>13433181.1666667</v>
      </c>
      <c r="M33" s="251">
        <v>13433181.1666667</v>
      </c>
      <c r="N33" s="251">
        <v>13433181.1666667</v>
      </c>
      <c r="O33" s="249">
        <f t="shared" ref="O33:O57" si="6">SUM(I33:N33)</f>
        <v>80599087.000000194</v>
      </c>
    </row>
    <row r="34" spans="1:15" ht="15" thickBot="1">
      <c r="A34" s="318"/>
      <c r="B34" s="250" t="s">
        <v>147</v>
      </c>
      <c r="C34" s="314"/>
      <c r="D34" s="230"/>
      <c r="E34" s="230"/>
      <c r="F34" s="230"/>
      <c r="G34" s="230"/>
      <c r="H34" s="230"/>
      <c r="I34" s="251">
        <v>1146084.91666667</v>
      </c>
      <c r="J34" s="251">
        <v>1146084.91666667</v>
      </c>
      <c r="K34" s="251">
        <v>1146084.91666667</v>
      </c>
      <c r="L34" s="251">
        <v>1146084.91666667</v>
      </c>
      <c r="M34" s="251">
        <v>1146084.91666667</v>
      </c>
      <c r="N34" s="251">
        <v>1146084.91666667</v>
      </c>
      <c r="O34" s="249">
        <f t="shared" si="6"/>
        <v>6876509.5000000196</v>
      </c>
    </row>
    <row r="35" spans="1:15" ht="15" thickBot="1">
      <c r="A35" s="318"/>
      <c r="B35" s="250" t="s">
        <v>32</v>
      </c>
      <c r="C35" s="314"/>
      <c r="D35" s="230"/>
      <c r="E35" s="230"/>
      <c r="F35" s="230"/>
      <c r="G35" s="230"/>
      <c r="H35" s="230"/>
      <c r="I35" s="251">
        <v>1199391.16666667</v>
      </c>
      <c r="J35" s="251">
        <v>1199391.16666667</v>
      </c>
      <c r="K35" s="251">
        <v>1199391.16666667</v>
      </c>
      <c r="L35" s="251">
        <v>1199391.16666667</v>
      </c>
      <c r="M35" s="251">
        <v>1199391.16666667</v>
      </c>
      <c r="N35" s="251">
        <v>1199391.16666667</v>
      </c>
      <c r="O35" s="249">
        <f t="shared" si="6"/>
        <v>7196347.0000000196</v>
      </c>
    </row>
    <row r="36" spans="1:15" ht="15" thickBot="1">
      <c r="A36" s="318"/>
      <c r="B36" s="250" t="s">
        <v>148</v>
      </c>
      <c r="C36" s="314"/>
      <c r="D36" s="230"/>
      <c r="E36" s="230"/>
      <c r="F36" s="230"/>
      <c r="G36" s="230"/>
      <c r="H36" s="230"/>
      <c r="I36" s="251">
        <v>1066125.5</v>
      </c>
      <c r="J36" s="251">
        <v>1066125.5</v>
      </c>
      <c r="K36" s="251">
        <v>1066125.5</v>
      </c>
      <c r="L36" s="251">
        <v>1066125.5</v>
      </c>
      <c r="M36" s="251">
        <v>1066125.5</v>
      </c>
      <c r="N36" s="251">
        <v>1066125.5</v>
      </c>
      <c r="O36" s="249">
        <f t="shared" si="6"/>
        <v>6396753</v>
      </c>
    </row>
    <row r="37" spans="1:15" ht="15" thickBot="1">
      <c r="A37" s="318"/>
      <c r="B37" s="250" t="s">
        <v>149</v>
      </c>
      <c r="C37" s="314"/>
      <c r="D37" s="230"/>
      <c r="E37" s="230"/>
      <c r="F37" s="230"/>
      <c r="G37" s="230"/>
      <c r="H37" s="230"/>
      <c r="I37" s="251">
        <v>4750921.6666666698</v>
      </c>
      <c r="J37" s="251">
        <v>4750921.6666666698</v>
      </c>
      <c r="K37" s="251">
        <v>4750921.6666666698</v>
      </c>
      <c r="L37" s="251">
        <v>4750921.6666666698</v>
      </c>
      <c r="M37" s="251">
        <v>4750921.6666666698</v>
      </c>
      <c r="N37" s="251">
        <v>4750921.6666666698</v>
      </c>
      <c r="O37" s="249">
        <f t="shared" si="6"/>
        <v>28505530.000000022</v>
      </c>
    </row>
    <row r="38" spans="1:15" ht="15" thickBot="1">
      <c r="A38" s="318"/>
      <c r="B38" s="250" t="s">
        <v>150</v>
      </c>
      <c r="C38" s="314"/>
      <c r="D38" s="230"/>
      <c r="E38" s="230"/>
      <c r="F38" s="230"/>
      <c r="G38" s="230"/>
      <c r="H38" s="230"/>
      <c r="I38" s="251">
        <v>0</v>
      </c>
      <c r="J38" s="251">
        <v>0</v>
      </c>
      <c r="K38" s="251">
        <v>0</v>
      </c>
      <c r="L38" s="251">
        <v>0</v>
      </c>
      <c r="M38" s="251">
        <v>0</v>
      </c>
      <c r="N38" s="251">
        <v>0</v>
      </c>
      <c r="O38" s="249">
        <f t="shared" si="6"/>
        <v>0</v>
      </c>
    </row>
    <row r="39" spans="1:15" ht="15" thickBot="1">
      <c r="A39" s="319"/>
      <c r="B39" s="252" t="s">
        <v>151</v>
      </c>
      <c r="C39" s="315"/>
      <c r="D39" s="253"/>
      <c r="E39" s="253"/>
      <c r="F39" s="253"/>
      <c r="G39" s="253"/>
      <c r="H39" s="253"/>
      <c r="I39" s="254">
        <v>2198883.8333333302</v>
      </c>
      <c r="J39" s="254">
        <v>2198883.8333333302</v>
      </c>
      <c r="K39" s="254">
        <v>2198883.8333333302</v>
      </c>
      <c r="L39" s="254">
        <v>2198883.8333333302</v>
      </c>
      <c r="M39" s="254">
        <v>2198883.8333333302</v>
      </c>
      <c r="N39" s="254">
        <v>2198883.8333333302</v>
      </c>
      <c r="O39" s="249">
        <f t="shared" si="6"/>
        <v>13193302.999999981</v>
      </c>
    </row>
    <row r="40" spans="1:15" ht="15" thickBot="1">
      <c r="A40" s="320" t="s">
        <v>152</v>
      </c>
      <c r="B40" s="245" t="s">
        <v>153</v>
      </c>
      <c r="C40" s="313" t="s">
        <v>174</v>
      </c>
      <c r="D40" s="247"/>
      <c r="E40" s="247"/>
      <c r="F40" s="247"/>
      <c r="G40" s="247"/>
      <c r="H40" s="247"/>
      <c r="I40" s="248">
        <v>4421703.3333333302</v>
      </c>
      <c r="J40" s="248">
        <v>4421703.3333333302</v>
      </c>
      <c r="K40" s="248">
        <v>4421703.3333333302</v>
      </c>
      <c r="L40" s="248">
        <v>4421703.3333333302</v>
      </c>
      <c r="M40" s="248">
        <v>4421703.3333333302</v>
      </c>
      <c r="N40" s="248">
        <v>4421703.3333333302</v>
      </c>
      <c r="O40" s="249">
        <f t="shared" si="6"/>
        <v>26530219.999999978</v>
      </c>
    </row>
    <row r="41" spans="1:15" ht="15" thickBot="1">
      <c r="A41" s="321"/>
      <c r="B41" s="250" t="s">
        <v>109</v>
      </c>
      <c r="C41" s="314"/>
      <c r="D41" s="230"/>
      <c r="E41" s="230"/>
      <c r="F41" s="230"/>
      <c r="G41" s="230"/>
      <c r="H41" s="230"/>
      <c r="I41" s="251">
        <v>5414518.1666666698</v>
      </c>
      <c r="J41" s="251">
        <v>5414518.1666666698</v>
      </c>
      <c r="K41" s="251">
        <v>5414518.1666666698</v>
      </c>
      <c r="L41" s="251">
        <v>5414518.1666666698</v>
      </c>
      <c r="M41" s="251">
        <v>5414518.1666666698</v>
      </c>
      <c r="N41" s="251">
        <v>5414518.1666666698</v>
      </c>
      <c r="O41" s="249">
        <f t="shared" si="6"/>
        <v>32487109.000000022</v>
      </c>
    </row>
    <row r="42" spans="1:15" ht="15" thickBot="1">
      <c r="A42" s="321"/>
      <c r="B42" s="250" t="s">
        <v>110</v>
      </c>
      <c r="C42" s="314"/>
      <c r="D42" s="230"/>
      <c r="E42" s="230"/>
      <c r="F42" s="230"/>
      <c r="G42" s="230"/>
      <c r="H42" s="230"/>
      <c r="I42" s="251">
        <v>12127049.8333333</v>
      </c>
      <c r="J42" s="251">
        <v>12127049.8333333</v>
      </c>
      <c r="K42" s="251">
        <v>12127049.8333333</v>
      </c>
      <c r="L42" s="251">
        <v>12127049.8333333</v>
      </c>
      <c r="M42" s="251">
        <v>12127049.8333333</v>
      </c>
      <c r="N42" s="251">
        <v>12127049.8333333</v>
      </c>
      <c r="O42" s="249">
        <f t="shared" si="6"/>
        <v>72762298.999999806</v>
      </c>
    </row>
    <row r="43" spans="1:15" ht="15" thickBot="1">
      <c r="A43" s="321"/>
      <c r="B43" s="250" t="s">
        <v>154</v>
      </c>
      <c r="C43" s="314"/>
      <c r="D43" s="230"/>
      <c r="E43" s="230"/>
      <c r="F43" s="230"/>
      <c r="G43" s="230"/>
      <c r="H43" s="230"/>
      <c r="I43" s="251">
        <v>4136728.6666666698</v>
      </c>
      <c r="J43" s="251">
        <v>4136728.6666666698</v>
      </c>
      <c r="K43" s="251">
        <v>4136728.6666666698</v>
      </c>
      <c r="L43" s="251">
        <v>4136728.6666666698</v>
      </c>
      <c r="M43" s="251">
        <v>4136728.6666666698</v>
      </c>
      <c r="N43" s="251">
        <v>4136728.6666666698</v>
      </c>
      <c r="O43" s="249">
        <f t="shared" si="6"/>
        <v>24820372.000000022</v>
      </c>
    </row>
    <row r="44" spans="1:15" ht="15" thickBot="1">
      <c r="A44" s="322"/>
      <c r="B44" s="255" t="s">
        <v>155</v>
      </c>
      <c r="C44" s="315"/>
      <c r="D44" s="256"/>
      <c r="E44" s="256"/>
      <c r="F44" s="256"/>
      <c r="G44" s="256"/>
      <c r="H44" s="256"/>
      <c r="I44" s="251">
        <v>0</v>
      </c>
      <c r="J44" s="251">
        <v>0</v>
      </c>
      <c r="K44" s="251">
        <v>0</v>
      </c>
      <c r="L44" s="251">
        <v>0</v>
      </c>
      <c r="M44" s="251">
        <v>0</v>
      </c>
      <c r="N44" s="251">
        <v>0</v>
      </c>
      <c r="O44" s="249">
        <f t="shared" si="6"/>
        <v>0</v>
      </c>
    </row>
    <row r="45" spans="1:15" ht="15" thickBot="1">
      <c r="A45" s="320" t="s">
        <v>156</v>
      </c>
      <c r="B45" s="245" t="s">
        <v>157</v>
      </c>
      <c r="C45" s="313" t="s">
        <v>174</v>
      </c>
      <c r="D45" s="247"/>
      <c r="E45" s="247"/>
      <c r="F45" s="247"/>
      <c r="G45" s="247"/>
      <c r="H45" s="247"/>
      <c r="I45" s="248">
        <v>14085349.5</v>
      </c>
      <c r="J45" s="248">
        <v>14085349.5</v>
      </c>
      <c r="K45" s="248">
        <v>14085349.5</v>
      </c>
      <c r="L45" s="248">
        <v>14085349.5</v>
      </c>
      <c r="M45" s="248">
        <v>14085349.5</v>
      </c>
      <c r="N45" s="248">
        <v>14085349.5</v>
      </c>
      <c r="O45" s="249">
        <f t="shared" si="6"/>
        <v>84512097</v>
      </c>
    </row>
    <row r="46" spans="1:15" ht="15" thickBot="1">
      <c r="A46" s="321"/>
      <c r="B46" s="250" t="s">
        <v>158</v>
      </c>
      <c r="C46" s="314"/>
      <c r="D46" s="230"/>
      <c r="E46" s="230"/>
      <c r="F46" s="230"/>
      <c r="G46" s="230"/>
      <c r="H46" s="230"/>
      <c r="I46" s="251">
        <v>1449738</v>
      </c>
      <c r="J46" s="251">
        <v>1449738</v>
      </c>
      <c r="K46" s="251">
        <v>1449738</v>
      </c>
      <c r="L46" s="251">
        <v>1449738</v>
      </c>
      <c r="M46" s="251">
        <v>1449738</v>
      </c>
      <c r="N46" s="251">
        <v>1449738</v>
      </c>
      <c r="O46" s="249">
        <f t="shared" si="6"/>
        <v>8698428</v>
      </c>
    </row>
    <row r="47" spans="1:15" ht="15" thickBot="1">
      <c r="A47" s="321"/>
      <c r="B47" s="250" t="s">
        <v>159</v>
      </c>
      <c r="C47" s="314"/>
      <c r="D47" s="230"/>
      <c r="E47" s="230"/>
      <c r="F47" s="230"/>
      <c r="G47" s="230"/>
      <c r="H47" s="230"/>
      <c r="I47" s="251">
        <v>7355512.9166666698</v>
      </c>
      <c r="J47" s="251">
        <v>7355512.9166666698</v>
      </c>
      <c r="K47" s="251">
        <v>7355512.9166666698</v>
      </c>
      <c r="L47" s="251">
        <v>7355512.9166666698</v>
      </c>
      <c r="M47" s="251">
        <v>7355512.9166666698</v>
      </c>
      <c r="N47" s="251">
        <v>7355512.9166666698</v>
      </c>
      <c r="O47" s="249">
        <f t="shared" si="6"/>
        <v>44133077.500000022</v>
      </c>
    </row>
    <row r="48" spans="1:15" ht="15" thickBot="1">
      <c r="A48" s="321"/>
      <c r="B48" s="250" t="s">
        <v>160</v>
      </c>
      <c r="C48" s="314"/>
      <c r="D48" s="230"/>
      <c r="E48" s="230"/>
      <c r="F48" s="230"/>
      <c r="G48" s="230"/>
      <c r="H48" s="230"/>
      <c r="I48" s="251">
        <v>3418329.6666666698</v>
      </c>
      <c r="J48" s="251">
        <v>3418329.6666666698</v>
      </c>
      <c r="K48" s="251">
        <v>3418329.6666666698</v>
      </c>
      <c r="L48" s="251">
        <v>3418329.6666666698</v>
      </c>
      <c r="M48" s="251">
        <v>3418329.6666666698</v>
      </c>
      <c r="N48" s="251">
        <v>3418329.6666666698</v>
      </c>
      <c r="O48" s="249">
        <f t="shared" si="6"/>
        <v>20509978.000000022</v>
      </c>
    </row>
    <row r="49" spans="1:15" ht="15" thickBot="1">
      <c r="A49" s="322"/>
      <c r="B49" s="252" t="s">
        <v>161</v>
      </c>
      <c r="C49" s="315"/>
      <c r="D49" s="253"/>
      <c r="E49" s="253"/>
      <c r="F49" s="253"/>
      <c r="G49" s="253"/>
      <c r="H49" s="253"/>
      <c r="I49" s="254">
        <v>7720236.5</v>
      </c>
      <c r="J49" s="254">
        <v>7720236.5</v>
      </c>
      <c r="K49" s="254">
        <v>7720236.5</v>
      </c>
      <c r="L49" s="254">
        <v>7720236.5</v>
      </c>
      <c r="M49" s="254">
        <v>7720236.5</v>
      </c>
      <c r="N49" s="254">
        <v>7720236.5</v>
      </c>
      <c r="O49" s="249">
        <f t="shared" si="6"/>
        <v>46321419</v>
      </c>
    </row>
    <row r="50" spans="1:15" ht="15" thickBot="1">
      <c r="A50" s="323" t="s">
        <v>162</v>
      </c>
      <c r="B50" s="257" t="s">
        <v>163</v>
      </c>
      <c r="C50" s="313" t="s">
        <v>106</v>
      </c>
      <c r="D50" s="258"/>
      <c r="E50" s="258"/>
      <c r="F50" s="258"/>
      <c r="G50" s="258"/>
      <c r="H50" s="258"/>
      <c r="I50" s="259">
        <v>4749672.7291666698</v>
      </c>
      <c r="J50" s="259">
        <v>4749672.7291666698</v>
      </c>
      <c r="K50" s="259">
        <v>4749672.7291666698</v>
      </c>
      <c r="L50" s="259">
        <v>4749672.7291666698</v>
      </c>
      <c r="M50" s="259">
        <v>4749672.7291666698</v>
      </c>
      <c r="N50" s="259">
        <v>4749672.7291666698</v>
      </c>
      <c r="O50" s="249">
        <f t="shared" si="6"/>
        <v>28498036.375000022</v>
      </c>
    </row>
    <row r="51" spans="1:15" ht="15" thickBot="1">
      <c r="A51" s="324"/>
      <c r="B51" s="250" t="s">
        <v>127</v>
      </c>
      <c r="C51" s="314"/>
      <c r="D51" s="230"/>
      <c r="E51" s="230"/>
      <c r="F51" s="230"/>
      <c r="G51" s="230"/>
      <c r="H51" s="230"/>
      <c r="I51" s="251">
        <v>4540719.2758333301</v>
      </c>
      <c r="J51" s="251">
        <v>4540719.2758333301</v>
      </c>
      <c r="K51" s="251">
        <v>4540719.2758333301</v>
      </c>
      <c r="L51" s="251">
        <v>4540719.2758333301</v>
      </c>
      <c r="M51" s="251">
        <v>4540719.2758333301</v>
      </c>
      <c r="N51" s="251">
        <v>4540719.2758333301</v>
      </c>
      <c r="O51" s="249">
        <f t="shared" si="6"/>
        <v>27244315.654999983</v>
      </c>
    </row>
    <row r="52" spans="1:15" ht="15" thickBot="1">
      <c r="A52" s="324"/>
      <c r="B52" s="250" t="s">
        <v>164</v>
      </c>
      <c r="C52" s="314"/>
      <c r="D52" s="230"/>
      <c r="E52" s="230"/>
      <c r="F52" s="230"/>
      <c r="G52" s="230"/>
      <c r="H52" s="230"/>
      <c r="I52" s="251">
        <v>2941421.69</v>
      </c>
      <c r="J52" s="251">
        <v>2941421.69</v>
      </c>
      <c r="K52" s="251">
        <v>2941421.69</v>
      </c>
      <c r="L52" s="251">
        <v>2941421.69</v>
      </c>
      <c r="M52" s="251">
        <v>2941421.69</v>
      </c>
      <c r="N52" s="251">
        <v>2941421.69</v>
      </c>
      <c r="O52" s="249">
        <f t="shared" si="6"/>
        <v>17648530.140000001</v>
      </c>
    </row>
    <row r="53" spans="1:15" ht="15" thickBot="1">
      <c r="A53" s="324"/>
      <c r="B53" s="250" t="s">
        <v>165</v>
      </c>
      <c r="C53" s="314"/>
      <c r="D53" s="230"/>
      <c r="E53" s="230"/>
      <c r="F53" s="230"/>
      <c r="G53" s="230"/>
      <c r="H53" s="230"/>
      <c r="I53" s="251">
        <v>2284710.8366666702</v>
      </c>
      <c r="J53" s="251">
        <v>2284710.8366666702</v>
      </c>
      <c r="K53" s="251">
        <v>2284710.8366666702</v>
      </c>
      <c r="L53" s="251">
        <v>2284710.8366666702</v>
      </c>
      <c r="M53" s="251">
        <v>2284710.8366666702</v>
      </c>
      <c r="N53" s="251">
        <v>2284710.8366666702</v>
      </c>
      <c r="O53" s="249">
        <f t="shared" si="6"/>
        <v>13708265.02000002</v>
      </c>
    </row>
    <row r="54" spans="1:15" ht="15" thickBot="1">
      <c r="A54" s="324"/>
      <c r="B54" s="250" t="s">
        <v>166</v>
      </c>
      <c r="C54" s="314"/>
      <c r="D54" s="230"/>
      <c r="E54" s="230"/>
      <c r="F54" s="230"/>
      <c r="G54" s="230"/>
      <c r="H54" s="230"/>
      <c r="I54" s="251">
        <v>2183333.96916667</v>
      </c>
      <c r="J54" s="251">
        <v>2183333.96916667</v>
      </c>
      <c r="K54" s="251">
        <v>2183333.96916667</v>
      </c>
      <c r="L54" s="251">
        <v>2183333.96916667</v>
      </c>
      <c r="M54" s="251">
        <v>2183333.96916667</v>
      </c>
      <c r="N54" s="251">
        <v>2183333.96916667</v>
      </c>
      <c r="O54" s="249">
        <f t="shared" si="6"/>
        <v>13100003.81500002</v>
      </c>
    </row>
    <row r="55" spans="1:15" ht="15" thickBot="1">
      <c r="A55" s="324"/>
      <c r="B55" s="250" t="s">
        <v>143</v>
      </c>
      <c r="C55" s="314"/>
      <c r="D55" s="230"/>
      <c r="E55" s="230"/>
      <c r="F55" s="230"/>
      <c r="G55" s="230"/>
      <c r="H55" s="230"/>
      <c r="I55" s="251">
        <v>184269.39166666701</v>
      </c>
      <c r="J55" s="251">
        <v>184269.39166666701</v>
      </c>
      <c r="K55" s="251">
        <v>184269.39166666701</v>
      </c>
      <c r="L55" s="251">
        <v>184269.39166666701</v>
      </c>
      <c r="M55" s="251">
        <v>184269.39166666701</v>
      </c>
      <c r="N55" s="251">
        <v>184269.39166666701</v>
      </c>
      <c r="O55" s="249">
        <f t="shared" si="6"/>
        <v>1105616.3500000022</v>
      </c>
    </row>
    <row r="56" spans="1:15" ht="15" thickBot="1">
      <c r="A56" s="324"/>
      <c r="B56" s="250" t="s">
        <v>167</v>
      </c>
      <c r="C56" s="314"/>
      <c r="D56" s="230"/>
      <c r="E56" s="230"/>
      <c r="F56" s="230"/>
      <c r="G56" s="230"/>
      <c r="H56" s="230"/>
      <c r="I56" s="251">
        <v>0</v>
      </c>
      <c r="J56" s="251">
        <v>0</v>
      </c>
      <c r="K56" s="251">
        <v>0</v>
      </c>
      <c r="L56" s="251">
        <v>0</v>
      </c>
      <c r="M56" s="251">
        <v>0</v>
      </c>
      <c r="N56" s="251">
        <v>0</v>
      </c>
      <c r="O56" s="249">
        <f t="shared" si="6"/>
        <v>0</v>
      </c>
    </row>
    <row r="57" spans="1:15" ht="15" thickBot="1">
      <c r="A57" s="325"/>
      <c r="B57" s="252" t="s">
        <v>168</v>
      </c>
      <c r="C57" s="315"/>
      <c r="D57" s="253"/>
      <c r="E57" s="253"/>
      <c r="F57" s="253"/>
      <c r="G57" s="253"/>
      <c r="H57" s="253"/>
      <c r="I57" s="254">
        <v>1182538.7749999999</v>
      </c>
      <c r="J57" s="254">
        <v>1182538.7749999999</v>
      </c>
      <c r="K57" s="254">
        <v>1182538.7749999999</v>
      </c>
      <c r="L57" s="254">
        <v>1182538.7749999999</v>
      </c>
      <c r="M57" s="254">
        <v>1182538.7749999999</v>
      </c>
      <c r="N57" s="254">
        <v>1182538.7749999999</v>
      </c>
      <c r="O57" s="249">
        <f t="shared" si="6"/>
        <v>7095232.6500000004</v>
      </c>
    </row>
    <row r="58" spans="1:15" ht="15" thickBot="1">
      <c r="A58" s="260" t="s">
        <v>70</v>
      </c>
      <c r="B58" s="261"/>
      <c r="C58" s="262"/>
      <c r="D58" s="262"/>
      <c r="E58" s="262"/>
      <c r="F58" s="262"/>
      <c r="G58" s="262"/>
      <c r="H58" s="262"/>
      <c r="I58" s="263">
        <v>0</v>
      </c>
      <c r="J58" s="263">
        <v>0</v>
      </c>
      <c r="K58" s="263">
        <v>0</v>
      </c>
      <c r="L58" s="263">
        <v>0</v>
      </c>
      <c r="M58" s="263">
        <v>0</v>
      </c>
      <c r="N58" s="263">
        <v>0</v>
      </c>
      <c r="O58" s="264"/>
    </row>
    <row r="59" spans="1:15" ht="15" thickBot="1">
      <c r="A59" s="260" t="s">
        <v>68</v>
      </c>
      <c r="B59" s="261"/>
      <c r="C59" s="262"/>
      <c r="D59" s="262"/>
      <c r="E59" s="262"/>
      <c r="F59" s="262"/>
      <c r="G59" s="262"/>
      <c r="H59" s="262"/>
      <c r="I59" s="263">
        <v>0</v>
      </c>
      <c r="J59" s="263">
        <v>0</v>
      </c>
      <c r="K59" s="263">
        <v>0</v>
      </c>
      <c r="L59" s="263">
        <v>0</v>
      </c>
      <c r="M59" s="263">
        <v>0</v>
      </c>
      <c r="N59" s="263">
        <v>0</v>
      </c>
      <c r="O59" s="265">
        <v>0</v>
      </c>
    </row>
    <row r="60" spans="1:15" ht="15" thickBot="1">
      <c r="A60" s="266"/>
      <c r="B60" s="267"/>
      <c r="C60" s="268" t="s">
        <v>169</v>
      </c>
      <c r="D60" s="267"/>
      <c r="E60" s="267"/>
      <c r="F60" s="267"/>
      <c r="G60" s="267"/>
      <c r="H60" s="267"/>
      <c r="I60" s="269">
        <f>SUM(I32:I59)</f>
        <v>104462500.00083335</v>
      </c>
      <c r="J60" s="269">
        <f t="shared" ref="J60:N60" si="7">SUM(J32:J59)</f>
        <v>104462500.00083335</v>
      </c>
      <c r="K60" s="269">
        <f t="shared" si="7"/>
        <v>104462500.00083335</v>
      </c>
      <c r="L60" s="269">
        <f t="shared" si="7"/>
        <v>104462500.00083335</v>
      </c>
      <c r="M60" s="269">
        <f t="shared" si="7"/>
        <v>104462500.00083335</v>
      </c>
      <c r="N60" s="269">
        <f t="shared" si="7"/>
        <v>104462500.00083335</v>
      </c>
      <c r="O60" s="270">
        <f>SUM(O32:O59)</f>
        <v>626775000.005</v>
      </c>
    </row>
  </sheetData>
  <mergeCells count="21">
    <mergeCell ref="A32:A39"/>
    <mergeCell ref="A40:A44"/>
    <mergeCell ref="A45:A49"/>
    <mergeCell ref="A50:A57"/>
    <mergeCell ref="C1:C2"/>
    <mergeCell ref="C3:K3"/>
    <mergeCell ref="A5:A6"/>
    <mergeCell ref="B5:B6"/>
    <mergeCell ref="C5:C6"/>
    <mergeCell ref="E5:E6"/>
    <mergeCell ref="F5:F6"/>
    <mergeCell ref="G5:G6"/>
    <mergeCell ref="H5:H6"/>
    <mergeCell ref="I5:U5"/>
    <mergeCell ref="C4:J4"/>
    <mergeCell ref="C30:K30"/>
    <mergeCell ref="C50:C57"/>
    <mergeCell ref="C32:C39"/>
    <mergeCell ref="C40:C44"/>
    <mergeCell ref="C45:C49"/>
    <mergeCell ref="C31:J31"/>
  </mergeCells>
  <pageMargins left="0.17" right="0.1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CAPEX SHEDULE</vt:lpstr>
      <vt:lpstr>CAPEX SHEDULE (2025 Annex3)</vt:lpstr>
      <vt:lpstr>CAPEX SHEDULE (2025 Other)</vt:lpstr>
      <vt:lpstr>'CAPEX SHEDULE'!Print_Area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Dammika Premathilake</dc:creator>
  <cp:lastModifiedBy>Shukri Mohamed</cp:lastModifiedBy>
  <cp:lastPrinted>2024-12-19T11:41:02Z</cp:lastPrinted>
  <dcterms:created xsi:type="dcterms:W3CDTF">2024-03-02T02:08:00Z</dcterms:created>
  <dcterms:modified xsi:type="dcterms:W3CDTF">2024-12-20T05:51:45Z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3E3CCA86EB774872A7A3097BA030C213_12</vt:lpwstr>
  </property>
  <property fmtid="{D5CDD505-2E9C-101B-9397-08002B2CF9AE}" pid="3" name="KSOProductBuildVer">
    <vt:lpwstr>2057-12.2.0.19307</vt:lpwstr>
  </property>
</Properties>
</file>